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SpecHwyWaterSewer" sheetId="16" r:id="rId16"/>
    <sheet name="CapImprovUtility" sheetId="17" r:id="rId17"/>
    <sheet name="SpecLawStormSewer" sheetId="18" r:id="rId18"/>
    <sheet name="HousingGrantPoolImprov"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levy page9" sheetId="31" r:id="rId31"/>
    <sheet name="levy page10" sheetId="32" r:id="rId32"/>
    <sheet name="nonbud" sheetId="33" r:id="rId33"/>
    <sheet name="NonBudFunds" sheetId="34" r:id="rId34"/>
  </sheets>
  <definedNames>
    <definedName name="_xlnm.Print_Area" localSheetId="16">'CapImprovUtility'!$A$1:$E$53</definedName>
    <definedName name="_xlnm.Print_Area" localSheetId="4">'cert'!$A$1:$F$56</definedName>
    <definedName name="_xlnm.Print_Area" localSheetId="9">'debt'!$A$1:$M$31</definedName>
    <definedName name="_xlnm.Print_Area" localSheetId="14">'DebtSvs-Library'!$B$1:$E$75</definedName>
    <definedName name="_xlnm.Print_Area" localSheetId="12">'general'!$B$1:$E$74</definedName>
    <definedName name="_xlnm.Print_Area" localSheetId="13">'general-detail'!$A$1:$D$61</definedName>
    <definedName name="_xlnm.Print_Area" localSheetId="18">'HousingGrantPoolImprov'!$A$1:$E$59</definedName>
    <definedName name="_xlnm.Print_Area" localSheetId="2">'inputOth'!$A$1:$E$68</definedName>
    <definedName name="_xlnm.Print_Area" localSheetId="1">'inputPrYr'!$A$1:$E$64</definedName>
    <definedName name="_xlnm.Print_Area" localSheetId="31">'levy page10'!$A$1:$F$83</definedName>
    <definedName name="_xlnm.Print_Area" localSheetId="30">'levy page9'!$A$1:$F$83</definedName>
    <definedName name="_xlnm.Print_Area" localSheetId="11">'Library Grant'!$A$1:$J$40</definedName>
    <definedName name="_xlnm.Print_Area" localSheetId="10">'lpform'!$B$1:$I$22</definedName>
    <definedName name="_xlnm.Print_Area" localSheetId="27">'Mill Rate Computation'!$B$4:$K$150</definedName>
    <definedName name="_xlnm.Print_Area" localSheetId="15">'SpecHwyWaterSewer'!$A$1:$E$70</definedName>
    <definedName name="_xlnm.Print_Area" localSheetId="17">'SpecLawStormSewer'!$A$1:$E$55</definedName>
    <definedName name="_xlnm.Print_Area" localSheetId="19">'summ'!$A$1:$H$52</definedName>
    <definedName name="_xlnm.Print_Area" localSheetId="7">'Transfers'!$A$1:$F$21</definedName>
  </definedNames>
  <calcPr fullCalcOnLoad="1"/>
</workbook>
</file>

<file path=xl/sharedStrings.xml><?xml version="1.0" encoding="utf-8"?>
<sst xmlns="http://schemas.openxmlformats.org/spreadsheetml/2006/main" count="1793" uniqueCount="1122">
  <si>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</si>
  <si>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</si>
  <si>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</si>
  <si>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</si>
  <si>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</si>
  <si>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</si>
  <si>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</si>
  <si>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</si>
  <si>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</si>
  <si>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</si>
  <si>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</si>
  <si>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</si>
  <si>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</si>
  <si>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</si>
  <si>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</si>
  <si>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</si>
  <si>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</si>
  <si>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</si>
  <si>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</si>
  <si>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</si>
  <si>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</si>
  <si>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</si>
  <si>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</si>
  <si>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</si>
  <si>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</si>
  <si>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</si>
  <si>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</si>
  <si>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</si>
  <si>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</si>
  <si>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</si>
  <si>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</si>
  <si>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</si>
  <si>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</si>
  <si>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</si>
  <si>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</si>
  <si>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</si>
  <si>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</si>
  <si>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</si>
  <si>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</si>
  <si>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</si>
  <si>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</si>
  <si>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</si>
  <si>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</si>
  <si>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</si>
  <si>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</si>
  <si>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</si>
  <si>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</si>
  <si>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</si>
  <si>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</si>
  <si>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</si>
  <si>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</si>
  <si>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</si>
  <si>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</si>
  <si>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</si>
  <si>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</si>
  <si>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</si>
  <si>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</si>
  <si>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</si>
  <si>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</si>
  <si>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</si>
  <si>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</si>
  <si>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</si>
  <si>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</si>
  <si>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</si>
  <si>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</si>
  <si>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</si>
  <si>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</si>
  <si>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</si>
  <si>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</si>
  <si>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</si>
  <si>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</si>
  <si>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</si>
  <si>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</si>
  <si>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</si>
  <si>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</si>
  <si>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</si>
  <si>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</si>
  <si>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</si>
  <si>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</si>
  <si>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</si>
  <si>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</si>
  <si>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</si>
  <si>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</si>
  <si>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</si>
  <si>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</si>
  <si>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</si>
  <si>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</si>
  <si>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</si>
  <si>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</si>
  <si>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</si>
  <si>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</si>
  <si>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</si>
  <si>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</si>
  <si>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</si>
  <si>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</si>
  <si>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</si>
  <si>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</si>
  <si>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</si>
  <si>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</si>
  <si>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</si>
  <si>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</si>
  <si>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</si>
  <si>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</si>
  <si>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</si>
  <si>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</si>
  <si>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</si>
  <si>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</si>
  <si>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</si>
  <si>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</si>
  <si>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</si>
  <si>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</si>
  <si>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</si>
  <si>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</si>
  <si>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</si>
  <si>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</si>
  <si>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</si>
  <si>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</si>
  <si>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</si>
  <si>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</si>
  <si>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</si>
  <si>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</si>
  <si>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</si>
  <si>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</si>
  <si>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</si>
  <si>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</si>
  <si>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</si>
  <si>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</si>
  <si>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</si>
  <si>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</si>
  <si>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</si>
  <si>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</si>
  <si>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</si>
  <si>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</si>
  <si>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</si>
  <si>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</si>
  <si>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</si>
  <si>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</si>
  <si>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</si>
  <si>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</si>
  <si>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</si>
  <si>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</si>
  <si>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</si>
  <si>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</si>
  <si>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</si>
  <si>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</si>
  <si>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</si>
  <si>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</si>
  <si>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</si>
  <si>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</si>
  <si>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</si>
  <si>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</si>
  <si>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</si>
  <si>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</si>
  <si>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</si>
  <si>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</si>
  <si>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</si>
  <si>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</si>
  <si>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</si>
  <si>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</si>
  <si>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</si>
  <si>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</si>
  <si>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</si>
  <si>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</si>
  <si>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</si>
  <si>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</si>
  <si>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</si>
  <si>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</si>
  <si>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</si>
  <si>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</si>
  <si>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</si>
  <si>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</si>
  <si>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</si>
  <si>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</si>
  <si>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</si>
  <si>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</si>
  <si>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</si>
  <si>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</si>
  <si>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</si>
  <si>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</si>
  <si>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</si>
  <si>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</si>
  <si>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</si>
  <si>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</si>
  <si>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</si>
  <si>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</si>
  <si>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</si>
  <si>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</si>
  <si>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</si>
  <si>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</si>
  <si>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</si>
  <si>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</si>
  <si>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</si>
  <si>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</si>
  <si>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</si>
  <si>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</si>
  <si>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</si>
  <si>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</si>
  <si>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</si>
  <si>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</si>
  <si>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</si>
  <si>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</si>
  <si>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</si>
  <si>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</si>
  <si>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</si>
  <si>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</si>
  <si>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</si>
  <si>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</si>
  <si>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</si>
  <si>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</si>
  <si>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</si>
  <si>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</si>
  <si>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</si>
  <si>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</si>
  <si>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</si>
  <si>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</si>
  <si>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</si>
  <si>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</si>
  <si>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</si>
  <si>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</si>
  <si>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</si>
  <si>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</si>
  <si>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</si>
  <si>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</si>
  <si>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</si>
  <si>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</si>
  <si>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</si>
  <si>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</si>
  <si>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</si>
  <si>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</si>
  <si>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</si>
  <si>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</si>
  <si>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</si>
  <si>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</si>
  <si>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</si>
  <si>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</si>
  <si>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</si>
  <si>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</si>
  <si>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</si>
  <si>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</si>
  <si>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</si>
  <si>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</si>
  <si>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</si>
  <si>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</si>
  <si>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</si>
  <si>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</si>
  <si>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</si>
  <si>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</si>
  <si>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</si>
  <si>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</si>
  <si>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</si>
  <si>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</si>
  <si>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</si>
  <si>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</si>
  <si>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</si>
  <si>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</si>
  <si>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</si>
  <si>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</si>
  <si>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</si>
  <si>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</si>
  <si>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</si>
  <si>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</si>
  <si>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</si>
  <si>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</si>
  <si>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</si>
  <si>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</si>
  <si>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</si>
  <si>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</si>
  <si>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</si>
  <si>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</si>
  <si>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</si>
  <si>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</si>
  <si>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</si>
  <si>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</si>
  <si>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</si>
  <si>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</si>
  <si>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</si>
  <si>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</si>
  <si>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</si>
  <si>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</si>
  <si>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</si>
  <si>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</si>
  <si>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</si>
  <si>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</si>
  <si>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</si>
  <si>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</si>
  <si>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</si>
  <si>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</si>
  <si>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</si>
  <si>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</si>
  <si>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</si>
  <si>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</si>
  <si>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</si>
  <si>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</si>
  <si>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</si>
  <si>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</si>
  <si>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</si>
  <si>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</si>
  <si>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</si>
  <si>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</si>
  <si>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</si>
  <si>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</si>
  <si>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</si>
  <si>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</si>
  <si>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</si>
  <si>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</si>
  <si>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</si>
  <si>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</si>
  <si>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</si>
  <si>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</si>
  <si>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</si>
  <si>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</si>
  <si>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</si>
  <si>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</si>
  <si>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</si>
  <si>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</si>
  <si>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</si>
  <si>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</si>
  <si>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</si>
  <si>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</si>
  <si>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</si>
  <si>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</si>
  <si>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</si>
  <si>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</si>
  <si>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</si>
  <si>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</si>
  <si>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</si>
  <si>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</si>
  <si>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</si>
  <si>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</si>
  <si>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</si>
  <si>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</si>
  <si>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</si>
  <si>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</si>
  <si>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</si>
  <si>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</si>
  <si>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</si>
  <si>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</si>
  <si>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</si>
  <si>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</si>
  <si>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</si>
  <si>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</si>
  <si>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</si>
  <si>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</si>
  <si>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</si>
  <si>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</si>
  <si>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</si>
  <si>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</si>
  <si>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</si>
  <si>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</si>
  <si>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</si>
  <si>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</si>
  <si>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</si>
  <si>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</si>
  <si>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</si>
  <si>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</si>
  <si>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</si>
  <si>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</si>
  <si>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</si>
  <si>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</si>
  <si>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</si>
  <si>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</si>
  <si>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</si>
  <si>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</si>
  <si>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</si>
  <si>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</si>
  <si>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</si>
  <si>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</si>
  <si>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</si>
  <si>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</si>
  <si>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</si>
  <si>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</si>
  <si>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</si>
  <si>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</si>
  <si>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</si>
  <si>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</si>
  <si>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</si>
  <si>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</si>
  <si>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</si>
  <si>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</si>
  <si>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</si>
  <si>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</si>
  <si>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</si>
  <si>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</si>
  <si>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</si>
  <si>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</si>
  <si>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</si>
  <si>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</si>
  <si>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</si>
  <si>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</si>
  <si>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</si>
  <si>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</si>
  <si>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</si>
  <si>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</si>
  <si>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</si>
  <si>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</si>
  <si>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</si>
  <si>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</si>
  <si>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</si>
  <si>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</si>
  <si>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</si>
  <si>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</si>
  <si>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</si>
  <si>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</si>
  <si>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</si>
  <si>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</si>
  <si>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</si>
  <si>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</si>
  <si>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</si>
  <si>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</si>
  <si>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</si>
  <si>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</si>
  <si>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</si>
  <si>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</si>
  <si>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</si>
  <si>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</si>
  <si>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</si>
  <si>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</si>
  <si>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</si>
  <si>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</si>
  <si>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</si>
  <si>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</si>
  <si>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</si>
  <si>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</si>
  <si>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</si>
  <si>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</si>
  <si>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</si>
  <si>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</si>
  <si>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</si>
  <si>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</si>
  <si>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</si>
  <si>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</si>
  <si>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</si>
  <si>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</si>
  <si>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</si>
  <si>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</si>
  <si>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</si>
  <si>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</si>
  <si>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</si>
  <si>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</si>
  <si>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</si>
  <si>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</si>
  <si>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</si>
  <si>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</si>
  <si>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</si>
  <si>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</si>
  <si>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</si>
  <si>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</si>
  <si>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</si>
  <si>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</si>
  <si>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</si>
  <si>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</si>
  <si>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</si>
  <si>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</si>
  <si>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</si>
  <si>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</si>
  <si>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</si>
  <si>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</si>
  <si>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</si>
  <si>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</si>
  <si>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</si>
  <si>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</si>
  <si>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</si>
  <si>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</si>
  <si>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</si>
  <si>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</si>
  <si>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</si>
  <si>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</si>
  <si>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</si>
  <si>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</si>
  <si>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</si>
  <si>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</si>
  <si>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</si>
  <si>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</si>
  <si>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</si>
  <si>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</si>
  <si>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</si>
  <si>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</si>
  <si>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</si>
  <si>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</si>
  <si>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</si>
  <si>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</si>
  <si>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</si>
  <si>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</si>
  <si>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</si>
  <si>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</si>
  <si>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</si>
  <si>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</si>
  <si>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</si>
  <si>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</si>
  <si>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</si>
  <si>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</si>
  <si>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</si>
  <si>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</si>
  <si>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</si>
  <si>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</si>
  <si>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</si>
  <si>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</si>
  <si>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</si>
  <si>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</si>
  <si>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</si>
  <si>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</si>
  <si>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</si>
  <si>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</si>
  <si>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</si>
  <si>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</si>
  <si>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</si>
  <si>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</si>
  <si>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</si>
  <si>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</si>
  <si>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</si>
  <si>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</si>
  <si>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</si>
  <si>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</si>
  <si>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</si>
  <si>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</si>
  <si>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</si>
  <si>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</si>
  <si>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</si>
  <si>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</si>
  <si>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</si>
  <si>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</si>
  <si>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</si>
  <si>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</si>
  <si>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</si>
  <si>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</si>
  <si>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</si>
  <si>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</si>
  <si>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</si>
  <si>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</si>
  <si>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</si>
  <si>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</si>
  <si>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</si>
  <si>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</si>
  <si>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</si>
  <si>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</si>
  <si>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</si>
  <si>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</si>
  <si>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</si>
  <si>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</si>
  <si>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</si>
  <si>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</si>
  <si>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</si>
  <si>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</si>
  <si>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</si>
  <si>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</si>
  <si>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</si>
  <si>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</si>
  <si>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</si>
  <si>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</si>
  <si>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</si>
  <si>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</si>
  <si>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</si>
  <si>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</si>
  <si>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</si>
  <si>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</si>
  <si>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</si>
  <si>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</si>
  <si>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</si>
  <si>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</si>
  <si>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</si>
  <si>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</si>
  <si>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</si>
  <si>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</si>
  <si>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</si>
  <si>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</si>
  <si>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</si>
  <si>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</si>
  <si>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</si>
  <si>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</si>
  <si>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</si>
  <si>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</si>
  <si>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</si>
  <si>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</si>
  <si>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</si>
  <si>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</si>
  <si>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</si>
  <si>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</si>
  <si>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</si>
  <si>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</si>
  <si>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</si>
  <si>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</si>
  <si>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</si>
  <si>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</si>
  <si>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</si>
  <si>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</si>
  <si>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</si>
  <si>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</si>
  <si>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</si>
  <si>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</si>
  <si>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</si>
  <si>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</si>
  <si>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</si>
  <si>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</si>
  <si>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</si>
  <si>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</si>
  <si>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</si>
  <si>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</si>
  <si>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</si>
  <si>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</si>
  <si>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</si>
  <si>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</si>
  <si>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</si>
  <si>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</si>
  <si>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</si>
  <si>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</si>
  <si>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</si>
  <si>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</si>
  <si>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</si>
  <si>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</si>
  <si>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</si>
  <si>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</si>
  <si>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</si>
  <si>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</si>
  <si>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</si>
  <si>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</si>
  <si>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</si>
  <si>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</si>
  <si>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</si>
  <si>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</si>
  <si>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</si>
  <si>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</si>
  <si>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</si>
  <si>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</si>
  <si>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</si>
  <si>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</si>
  <si>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</si>
  <si>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</si>
  <si>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</si>
  <si>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</si>
  <si>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</si>
  <si>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</si>
  <si>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</si>
  <si>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</si>
  <si>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</si>
  <si>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</si>
  <si>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</si>
  <si>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</si>
  <si>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</si>
  <si>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</si>
  <si>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</si>
  <si>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</si>
  <si>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</si>
  <si>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</si>
  <si>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</si>
  <si>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</si>
  <si>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</si>
  <si>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</si>
  <si>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</si>
  <si>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</si>
  <si>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</si>
  <si>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</si>
  <si>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</si>
  <si>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</si>
  <si>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</si>
  <si>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</si>
  <si>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</si>
  <si>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</si>
  <si>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</si>
  <si>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</si>
  <si>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</si>
  <si>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</si>
  <si>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</si>
  <si>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</si>
  <si>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</si>
  <si>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</si>
  <si>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</si>
  <si>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</si>
  <si>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</si>
  <si>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</si>
  <si>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</si>
  <si>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</si>
  <si>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</si>
  <si>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</si>
  <si>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</si>
  <si>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</si>
  <si>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</si>
  <si>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</si>
  <si>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</si>
  <si>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</si>
  <si>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</si>
  <si>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</si>
  <si>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</si>
  <si>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</si>
  <si>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</si>
  <si>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</si>
  <si>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</si>
  <si>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</si>
  <si>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</si>
  <si>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</si>
  <si>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</si>
  <si>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</si>
  <si>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</si>
  <si>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</si>
  <si>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</si>
  <si>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</si>
  <si>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</si>
  <si>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</si>
  <si>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</si>
  <si>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</si>
  <si>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</si>
  <si>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</si>
  <si>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</si>
  <si>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</si>
  <si>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</si>
  <si>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</si>
  <si>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</si>
  <si>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</si>
  <si>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</si>
  <si>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</si>
  <si>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</si>
  <si>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</si>
  <si>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</si>
  <si>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</si>
  <si>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</si>
  <si>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</si>
  <si>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</si>
  <si>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</si>
  <si>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</si>
  <si>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</si>
  <si>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</si>
  <si>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</si>
  <si>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</si>
  <si>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</si>
  <si>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</si>
  <si>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</si>
  <si>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</si>
  <si>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</si>
  <si>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</si>
  <si>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</si>
  <si>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</si>
  <si>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</si>
  <si>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</si>
  <si>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</si>
  <si>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</si>
  <si>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</si>
  <si>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</si>
  <si>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</si>
  <si>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</si>
  <si>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</si>
  <si>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</si>
  <si>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</si>
  <si>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</si>
  <si>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</si>
  <si>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</si>
  <si>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</si>
  <si>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</si>
  <si>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</si>
  <si>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</si>
  <si>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</si>
  <si>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</si>
  <si>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</si>
  <si>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</si>
  <si>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</si>
  <si>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</si>
  <si>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</si>
  <si>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</si>
  <si>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</si>
  <si>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</si>
  <si>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</si>
  <si>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</si>
  <si>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</si>
  <si>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</si>
  <si>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</si>
  <si>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</si>
  <si>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</si>
  <si>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</si>
  <si>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</si>
  <si>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</si>
  <si>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</si>
  <si>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</si>
  <si>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</si>
  <si>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</si>
  <si>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</si>
  <si>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</si>
  <si>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</si>
  <si>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</si>
  <si>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</si>
  <si>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</si>
  <si>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</si>
  <si>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</si>
  <si>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</si>
  <si>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</si>
  <si>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</si>
  <si>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</si>
  <si>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</si>
  <si>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</si>
  <si>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</si>
  <si>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</si>
  <si>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</si>
  <si>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</si>
  <si>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</si>
  <si>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</si>
  <si>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</si>
  <si>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</si>
  <si>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</si>
  <si>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</si>
  <si>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</si>
  <si>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</si>
  <si>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</si>
  <si>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</si>
  <si>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</si>
  <si>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</si>
  <si>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</si>
  <si>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</si>
  <si>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</si>
  <si>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</si>
  <si>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</si>
  <si>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</si>
  <si>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</si>
  <si>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</si>
  <si>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</si>
  <si>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</si>
  <si>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</si>
  <si>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</si>
  <si>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</si>
  <si>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</si>
  <si>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</si>
  <si>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</si>
  <si>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</si>
  <si>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</si>
  <si>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</si>
  <si>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</si>
  <si>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</si>
  <si>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</si>
  <si>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</si>
  <si>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</si>
  <si>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</si>
  <si>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</si>
  <si>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</si>
  <si>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</si>
  <si>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</si>
  <si>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</si>
  <si>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</si>
  <si>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</si>
  <si>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</si>
  <si>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</si>
  <si>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</si>
  <si>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</si>
  <si>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</si>
  <si>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</si>
  <si>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</si>
  <si>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</si>
  <si>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</si>
  <si>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</si>
  <si>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</si>
  <si>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</si>
  <si>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</si>
  <si>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</si>
  <si>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</si>
  <si>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</si>
  <si>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</si>
  <si>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</si>
  <si>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</si>
  <si>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</si>
  <si>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</si>
  <si>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</si>
  <si>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</si>
  <si>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</si>
  <si>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</si>
  <si>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</si>
  <si>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</si>
  <si>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</si>
  <si>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</si>
  <si>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</si>
  <si>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</si>
  <si>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</si>
  <si>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</si>
  <si>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</si>
  <si>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</si>
  <si>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</si>
  <si>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</si>
  <si>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</si>
  <si>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</si>
  <si>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</si>
  <si>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</si>
  <si>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</si>
  <si>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</si>
  <si>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</si>
  <si>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</si>
  <si>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</si>
  <si>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</si>
  <si>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</si>
  <si>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</si>
  <si>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</si>
  <si>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</si>
  <si>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</si>
  <si>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</si>
  <si>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</si>
  <si>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</si>
  <si>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</si>
  <si>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</si>
  <si>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</si>
  <si>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</si>
  <si>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</si>
  <si>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</si>
  <si>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</si>
  <si>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</si>
  <si>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</si>
  <si>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</si>
  <si>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</si>
  <si>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</si>
  <si>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</si>
  <si>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</si>
  <si>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</si>
  <si>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</si>
  <si>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</si>
  <si>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</si>
  <si>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</si>
  <si>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</si>
  <si>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</si>
  <si>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</si>
  <si>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</si>
  <si>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</si>
  <si>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</si>
  <si>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</si>
  <si>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</si>
  <si>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</si>
  <si>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</si>
  <si>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</si>
  <si>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</si>
  <si>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</si>
  <si>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</si>
  <si>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</si>
  <si>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</si>
  <si>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</si>
  <si>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</si>
  <si>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</si>
  <si>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</si>
  <si>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</si>
  <si>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</si>
  <si>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</si>
  <si>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</si>
  <si>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</si>
  <si>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</si>
  <si>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</si>
  <si>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</si>
  <si>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</si>
  <si>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</si>
  <si>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</si>
  <si>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</si>
  <si>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</si>
  <si>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</si>
  <si>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</si>
  <si>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</si>
  <si>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</si>
  <si>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</si>
  <si>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</si>
  <si>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</si>
  <si>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</si>
  <si>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</si>
  <si>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</si>
  <si>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</si>
  <si>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</si>
  <si>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</si>
  <si>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</si>
  <si>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</si>
  <si>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</si>
  <si>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</si>
  <si>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</si>
  <si>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</si>
  <si>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</si>
  <si>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</si>
  <si>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</si>
  <si>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</si>
  <si>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</si>
  <si>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</si>
  <si>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</si>
  <si>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</si>
  <si>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</si>
  <si>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</si>
  <si>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</si>
  <si>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</si>
  <si>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</si>
  <si>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</si>
  <si>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</si>
  <si>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</si>
  <si>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</si>
  <si>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</si>
  <si>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</si>
  <si>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</si>
  <si>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</si>
  <si>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</si>
  <si>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</si>
  <si>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</si>
  <si>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</si>
  <si>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</si>
  <si>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Blue Rapids</t>
  </si>
  <si>
    <t>Marshall County</t>
  </si>
  <si>
    <t>Bond &amp; Interest</t>
  </si>
  <si>
    <t>Ord. #1916</t>
  </si>
  <si>
    <t>C.O. #1861</t>
  </si>
  <si>
    <t>Water/Sewer/Refuse</t>
  </si>
  <si>
    <t>Capital Improvement</t>
  </si>
  <si>
    <t>Utility System Reserve</t>
  </si>
  <si>
    <t>Housing Grant Fund</t>
  </si>
  <si>
    <t>Spec. Law Enf. Trust Fund</t>
  </si>
  <si>
    <t>Storm Sewer Capital Project Fund</t>
  </si>
  <si>
    <t>Pool Improvement Fund</t>
  </si>
  <si>
    <t>Sink, Gordon &amp; Associates, LLP</t>
  </si>
  <si>
    <t>128 East Commercial St.</t>
  </si>
  <si>
    <t>Waterville, KS 66548</t>
  </si>
  <si>
    <t>cparker@sinkgordon.com</t>
  </si>
  <si>
    <t>County Ambulance Payment</t>
  </si>
  <si>
    <t>Zoning Permit Fees</t>
  </si>
  <si>
    <t>Occupation Tax</t>
  </si>
  <si>
    <t>Cereal Malt Beverage License</t>
  </si>
  <si>
    <t>Business License/Permits</t>
  </si>
  <si>
    <t>Dog/Cat License</t>
  </si>
  <si>
    <t>Special Assessments</t>
  </si>
  <si>
    <t>Municipal Court Fines</t>
  </si>
  <si>
    <t>Cemetery Open/Close</t>
  </si>
  <si>
    <t>Community Center Rentals</t>
  </si>
  <si>
    <t>Dump Fees</t>
  </si>
  <si>
    <t>Reimbursements</t>
  </si>
  <si>
    <t>Private Donations</t>
  </si>
  <si>
    <t>Special Purpose Vehicle Registration</t>
  </si>
  <si>
    <t>State Aid</t>
  </si>
  <si>
    <t>Transfer from Water/Sewer/Refuse Fund</t>
  </si>
  <si>
    <t xml:space="preserve">  Workers Comp Insurance</t>
  </si>
  <si>
    <t xml:space="preserve">  Payroll Taxes</t>
  </si>
  <si>
    <t>Utilities</t>
  </si>
  <si>
    <t xml:space="preserve">  Streets</t>
  </si>
  <si>
    <t xml:space="preserve">  Appropriations USD 498</t>
  </si>
  <si>
    <t>Materials Sold</t>
  </si>
  <si>
    <t>Commodities</t>
  </si>
  <si>
    <t>Road Materials</t>
  </si>
  <si>
    <t>Cash Basis Reserve</t>
  </si>
  <si>
    <t>Delayed Payment Charges</t>
  </si>
  <si>
    <t>Water Receipts</t>
  </si>
  <si>
    <t>Sewer Receipts</t>
  </si>
  <si>
    <t>Refuse Receipts</t>
  </si>
  <si>
    <t>Connect Fees</t>
  </si>
  <si>
    <t>Retail Sales Tax Revenue</t>
  </si>
  <si>
    <t>Contractual Services</t>
  </si>
  <si>
    <t>Fees Deposited into Utility System Reserve</t>
  </si>
  <si>
    <t>Capital Outlay</t>
  </si>
  <si>
    <t>Refuse Contractual Services</t>
  </si>
  <si>
    <t>KDHE Loan Payments</t>
  </si>
  <si>
    <t>Transfer to Utility System Reserve</t>
  </si>
  <si>
    <t>Transfer to General Fund</t>
  </si>
  <si>
    <t>Transfer from General Fund</t>
  </si>
  <si>
    <t>Utility Reserve Receipts</t>
  </si>
  <si>
    <t>Seizure Money</t>
  </si>
  <si>
    <t>CDBG Grants</t>
  </si>
  <si>
    <t>Temporary Note</t>
  </si>
  <si>
    <t>Contractual Storm Sewer</t>
  </si>
  <si>
    <t>CDBG Grant</t>
  </si>
  <si>
    <t>KDHE Loan</t>
  </si>
  <si>
    <t>Local Income</t>
  </si>
  <si>
    <t>Housing Repairs</t>
  </si>
  <si>
    <t>Administrative</t>
  </si>
  <si>
    <t>Pool Receipts</t>
  </si>
  <si>
    <t>Contractual Service</t>
  </si>
  <si>
    <t>Contractual</t>
  </si>
  <si>
    <t>Utility Reserve</t>
  </si>
  <si>
    <t>12-825d</t>
  </si>
  <si>
    <t>12-631p</t>
  </si>
  <si>
    <t>Storm Sewer Series 2011</t>
  </si>
  <si>
    <t>3/1, 9/1</t>
  </si>
  <si>
    <t>NONE</t>
  </si>
  <si>
    <t>KDHE Water Tank Loan</t>
  </si>
  <si>
    <t>2/1, 8/1</t>
  </si>
  <si>
    <t>2009 GMC Sierra Pickup</t>
  </si>
  <si>
    <t>J.I. Case Loader</t>
  </si>
  <si>
    <t>ADMINISTRATION</t>
  </si>
  <si>
    <t>STREETS</t>
  </si>
  <si>
    <t>PARKS &amp; RECREATION</t>
  </si>
  <si>
    <t>POLICE</t>
  </si>
  <si>
    <t>EMPLOYEE BENEFITS</t>
  </si>
  <si>
    <t>CEMETERY</t>
  </si>
  <si>
    <t>EMERGENCY SERVICES</t>
  </si>
  <si>
    <t>UTILITIES</t>
  </si>
  <si>
    <t>SALES TAX PROJECTS</t>
  </si>
  <si>
    <t xml:space="preserve">  Personal </t>
  </si>
  <si>
    <t xml:space="preserve">  Personal</t>
  </si>
  <si>
    <t xml:space="preserve">  Health Insurance-City Share</t>
  </si>
  <si>
    <t xml:space="preserve">  Unemployment Insurance-City Share</t>
  </si>
  <si>
    <t xml:space="preserve">  Retirement-City Share</t>
  </si>
  <si>
    <t xml:space="preserve">  Neighborhood Reviatlization Rebate</t>
  </si>
  <si>
    <t>Salaries</t>
  </si>
  <si>
    <t>August 14, 2013</t>
  </si>
  <si>
    <t>7:00 PM</t>
  </si>
  <si>
    <t>Series 2012 Temp Notes</t>
  </si>
  <si>
    <t>Cemetary Lots</t>
  </si>
  <si>
    <t>Transfer From Utility Reserve</t>
  </si>
  <si>
    <t>Bond Principal Payment (Series 2011 Bonds)</t>
  </si>
  <si>
    <t>Interest Payment (Series 2011 Bonds)</t>
  </si>
  <si>
    <t>Fees for Bond Payment (Series 2011 Bonds)</t>
  </si>
  <si>
    <t>Storm Sewer Series 2013</t>
  </si>
  <si>
    <t>Bond Principal Payment (Series 2013 Bonds)</t>
  </si>
  <si>
    <t>Interest Payment (Series 2013 Bonds)</t>
  </si>
  <si>
    <t>Fees for Bond Payment (Series 2013 Bonds)</t>
  </si>
  <si>
    <t>Bond Proceeds</t>
  </si>
  <si>
    <t>Temporary Note Principal</t>
  </si>
  <si>
    <t>Temporary Note Interest</t>
  </si>
  <si>
    <t>Transfer to Bond &amp; Interest Fund</t>
  </si>
  <si>
    <t>Transfer to Water/Sewer/Refuse Fund</t>
  </si>
  <si>
    <t>Administrative Costs</t>
  </si>
  <si>
    <t>Transfer from Storm Sewer Cap Proj Fund</t>
  </si>
  <si>
    <t xml:space="preserve">  Transfer to Housing Grant Fund</t>
  </si>
  <si>
    <t>Susan Hass</t>
  </si>
  <si>
    <t>Transfer to Storm Sewer Cap Proj Fund</t>
  </si>
  <si>
    <t>Transfer from Water/Sewer/Refuse</t>
  </si>
  <si>
    <t>Storm Sewer Cap Proj</t>
  </si>
  <si>
    <t>Housing Grant</t>
  </si>
  <si>
    <t>Res. Equity</t>
  </si>
  <si>
    <t>12-6a16</t>
  </si>
  <si>
    <t>*</t>
  </si>
  <si>
    <t>* These funds not required to have a legal operating budget.</t>
  </si>
  <si>
    <t>NOTE:  The Capital Improvement fund is not required to have a legal operating budget.</t>
  </si>
  <si>
    <t>NOTE:  The Spec. Law Enf. Trust fund is not required to have a legal operating budget.</t>
  </si>
  <si>
    <t>NOTE:  The Storm Sewer Capital Project fund is not required to have a legal operating budget.</t>
  </si>
  <si>
    <t>NOTE:  The Housing Grant fund is not required to have a legal operating budget.</t>
  </si>
  <si>
    <t>NOTE:  The Pool Improvement fund is not required to have a legal operating budget.</t>
  </si>
  <si>
    <t>I MOVED THE CELLS IN C &amp; D 52/53 SINCE THIS FUND IS NOT REQ'D TO HAVE OPERATING BUDGET.</t>
  </si>
  <si>
    <t>NEED TO MOVE BACK IF USED FOR A BUDGET FUND IN THE FUTURE.</t>
  </si>
  <si>
    <t>I MOVED CELLS C &amp; D 27/28 SINCE THIS FUND IS NOT REQ'D TO HAVE OPERATING BUDGET.  NEED TO MOVE</t>
  </si>
  <si>
    <t xml:space="preserve">  BACK IF WE USE FOR A BUDGETED FUND IN THE FUTURE.</t>
  </si>
  <si>
    <t>Audit Adjustment</t>
  </si>
  <si>
    <t>Lease Purchase - Mower</t>
  </si>
  <si>
    <t>Mower</t>
  </si>
  <si>
    <t>Annual Library Appropriation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</si>
</sst>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 numFmtId="211" formatCode="[$-409]h:mm:ss\ AM/PM"/>
  </numFmts>
  <fonts count="91">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1"/>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2"/>
      <color indexed="10"/>
      <name val="Courier"/>
      <family val="3"/>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sz val="12"/>
      <color rgb="FFFF0000"/>
      <name val="Courier"/>
      <family val="3"/>
    </font>
    <font>
      <b/>
      <sz val="12"/>
      <color rgb="FFFF0000"/>
      <name val="Courier"/>
      <family val="3"/>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4" borderId="0" applyNumberFormat="0" applyBorder="0" applyAlignment="0" applyProtection="0"/>
    <xf numFmtId="0" fontId="68" fillId="7"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3"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1" applyNumberFormat="0" applyAlignment="0" applyProtection="0"/>
    <xf numFmtId="0" fontId="70"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3"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4"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93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0" fontId="6" fillId="22" borderId="26" xfId="0" applyNumberFormat="1" applyFont="1" applyFill="1" applyBorder="1" applyAlignment="1" applyProtection="1">
      <alignment horizontal="lef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7"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7" fillId="4" borderId="0" xfId="0" applyFont="1" applyFill="1" applyAlignment="1" applyProtection="1">
      <alignment horizontal="center" vertical="center"/>
      <protection/>
    </xf>
    <xf numFmtId="0" fontId="77" fillId="0" borderId="0" xfId="119" applyFont="1" applyAlignment="1" applyProtection="1">
      <alignment vertical="center"/>
      <protection locked="0"/>
    </xf>
    <xf numFmtId="0" fontId="77" fillId="0" borderId="0" xfId="0" applyFont="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3" fontId="7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7"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8"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9" fillId="29" borderId="0" xfId="0" applyFont="1" applyFill="1" applyAlignment="1">
      <alignment/>
    </xf>
    <xf numFmtId="0" fontId="79" fillId="29" borderId="28" xfId="0" applyFont="1" applyFill="1" applyBorder="1" applyAlignment="1">
      <alignment/>
    </xf>
    <xf numFmtId="0" fontId="80" fillId="0" borderId="0" xfId="0" applyFont="1" applyBorder="1" applyAlignment="1">
      <alignment/>
    </xf>
    <xf numFmtId="0" fontId="79" fillId="0" borderId="0" xfId="0" applyFont="1" applyBorder="1" applyAlignment="1">
      <alignment horizontal="centerContinuous"/>
    </xf>
    <xf numFmtId="0" fontId="79"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9"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9" fillId="29" borderId="0" xfId="0" applyFont="1" applyFill="1" applyAlignment="1">
      <alignment horizontal="center" wrapText="1"/>
    </xf>
    <xf numFmtId="0" fontId="79"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9" fillId="29" borderId="36" xfId="0" applyFont="1" applyFill="1" applyBorder="1" applyAlignment="1">
      <alignment horizontal="centerContinuous" vertical="center"/>
    </xf>
    <xf numFmtId="197" fontId="79" fillId="29" borderId="0" xfId="0" applyNumberFormat="1" applyFont="1" applyFill="1" applyBorder="1" applyAlignment="1">
      <alignment horizontal="centerContinuous" vertical="center"/>
    </xf>
    <xf numFmtId="0" fontId="79" fillId="29" borderId="0" xfId="0" applyFont="1" applyFill="1" applyBorder="1" applyAlignment="1">
      <alignment horizontal="centerContinuous" vertical="center"/>
    </xf>
    <xf numFmtId="179" fontId="79" fillId="29" borderId="0" xfId="0" applyNumberFormat="1" applyFont="1" applyFill="1" applyBorder="1" applyAlignment="1" applyProtection="1">
      <alignment horizontal="centerContinuous" vertical="center"/>
      <protection locked="0"/>
    </xf>
    <xf numFmtId="200" fontId="79" fillId="29" borderId="0" xfId="0" applyNumberFormat="1" applyFont="1" applyFill="1" applyBorder="1" applyAlignment="1">
      <alignment horizontal="centerContinuous" vertical="center"/>
    </xf>
    <xf numFmtId="0" fontId="79" fillId="29" borderId="32" xfId="0" applyFont="1" applyFill="1" applyBorder="1" applyAlignment="1">
      <alignment horizontal="centerContinuous" vertical="center"/>
    </xf>
    <xf numFmtId="0" fontId="79" fillId="29" borderId="36" xfId="0" applyFont="1" applyFill="1" applyBorder="1" applyAlignment="1">
      <alignment horizontal="centerContinuous"/>
    </xf>
    <xf numFmtId="197" fontId="79" fillId="29" borderId="0" xfId="0" applyNumberFormat="1" applyFont="1" applyFill="1" applyBorder="1" applyAlignment="1">
      <alignment horizontal="centerContinuous"/>
    </xf>
    <xf numFmtId="0" fontId="79" fillId="29" borderId="0" xfId="0" applyFont="1" applyFill="1" applyBorder="1" applyAlignment="1">
      <alignment horizontal="centerContinuous"/>
    </xf>
    <xf numFmtId="179" fontId="79" fillId="29" borderId="0" xfId="0" applyNumberFormat="1" applyFont="1" applyFill="1" applyBorder="1" applyAlignment="1" applyProtection="1">
      <alignment horizontal="centerContinuous"/>
      <protection locked="0"/>
    </xf>
    <xf numFmtId="200" fontId="79" fillId="29" borderId="0" xfId="0" applyNumberFormat="1" applyFont="1" applyFill="1" applyBorder="1" applyAlignment="1">
      <alignment horizontal="centerContinuous"/>
    </xf>
    <xf numFmtId="0" fontId="79"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81" fillId="0" borderId="0" xfId="0" applyFont="1" applyAlignment="1">
      <alignment/>
    </xf>
    <xf numFmtId="0" fontId="82" fillId="0" borderId="0" xfId="468" applyFont="1">
      <alignment/>
      <protection/>
    </xf>
    <xf numFmtId="189" fontId="83" fillId="0" borderId="0" xfId="468" applyNumberFormat="1" applyFont="1" applyAlignment="1">
      <alignment horizontal="left" vertical="center"/>
      <protection/>
    </xf>
    <xf numFmtId="0" fontId="83" fillId="0" borderId="0" xfId="468" applyNumberFormat="1" applyFont="1" applyAlignment="1">
      <alignment horizontal="left" vertical="center"/>
      <protection/>
    </xf>
    <xf numFmtId="1" fontId="83" fillId="0" borderId="0" xfId="468" applyNumberFormat="1" applyFont="1" applyAlignment="1">
      <alignment horizontal="left" vertical="center"/>
      <protection/>
    </xf>
    <xf numFmtId="0" fontId="84"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5" fillId="28" borderId="0" xfId="106" applyFont="1" applyFill="1" applyAlignment="1">
      <alignment vertical="center"/>
      <protection/>
    </xf>
    <xf numFmtId="0" fontId="85" fillId="29" borderId="0" xfId="106" applyFont="1" applyFill="1" applyAlignment="1">
      <alignment horizontal="center" vertical="center"/>
      <protection/>
    </xf>
    <xf numFmtId="0" fontId="85"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5" fillId="29" borderId="0" xfId="106" applyNumberFormat="1" applyFont="1" applyFill="1" applyAlignment="1">
      <alignment horizontal="center" vertical="center"/>
      <protection/>
    </xf>
    <xf numFmtId="0" fontId="86"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7" fillId="21" borderId="0" xfId="422" applyFill="1">
      <alignment/>
      <protection/>
    </xf>
    <xf numFmtId="0" fontId="6" fillId="0" borderId="0" xfId="180" applyFont="1" applyAlignment="1">
      <alignment vertical="center"/>
      <protection/>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8"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6" fillId="4" borderId="20" xfId="0" applyFont="1" applyFill="1" applyBorder="1" applyAlignment="1" applyProtection="1">
      <alignment horizontal="left" vertical="center"/>
      <protection/>
    </xf>
    <xf numFmtId="0" fontId="11" fillId="22" borderId="17" xfId="75" applyFill="1" applyBorder="1" applyAlignment="1" applyProtection="1">
      <alignment vertical="center"/>
      <protection locked="0"/>
    </xf>
    <xf numFmtId="3" fontId="6" fillId="22" borderId="10" xfId="0" applyNumberFormat="1" applyFont="1" applyFill="1" applyBorder="1" applyAlignment="1" applyProtection="1">
      <alignment horizontal="left" vertical="center"/>
      <protection locked="0"/>
    </xf>
    <xf numFmtId="197" fontId="6" fillId="28" borderId="0" xfId="0" applyNumberFormat="1" applyFont="1" applyFill="1" applyBorder="1" applyAlignment="1" applyProtection="1">
      <alignment horizontal="center" vertical="center"/>
      <protection/>
    </xf>
    <xf numFmtId="1" fontId="6" fillId="22" borderId="10" xfId="0" applyNumberFormat="1" applyFont="1" applyFill="1" applyBorder="1" applyAlignment="1" applyProtection="1">
      <alignment horizontal="center" vertical="center"/>
      <protection locked="0"/>
    </xf>
    <xf numFmtId="0" fontId="5" fillId="22" borderId="0" xfId="0" applyFont="1" applyFill="1" applyAlignment="1" applyProtection="1">
      <alignment horizontal="left" vertical="center"/>
      <protection locked="0"/>
    </xf>
    <xf numFmtId="0" fontId="5" fillId="22" borderId="10" xfId="0" applyFont="1" applyFill="1" applyBorder="1" applyAlignment="1" applyProtection="1">
      <alignment horizontal="left" vertical="center"/>
      <protection locked="0"/>
    </xf>
    <xf numFmtId="0" fontId="0" fillId="0" borderId="0" xfId="101" applyFill="1">
      <alignment/>
      <protection/>
    </xf>
    <xf numFmtId="0" fontId="0" fillId="0" borderId="0" xfId="101">
      <alignment/>
      <protection/>
    </xf>
    <xf numFmtId="0" fontId="0" fillId="0" borderId="0" xfId="101" applyFont="1">
      <alignment/>
      <protection/>
    </xf>
    <xf numFmtId="0" fontId="89" fillId="0" borderId="0" xfId="101" applyFont="1">
      <alignment/>
      <protection/>
    </xf>
    <xf numFmtId="0" fontId="6" fillId="0" borderId="0" xfId="101" applyFont="1">
      <alignment/>
      <protection/>
    </xf>
    <xf numFmtId="0" fontId="85" fillId="0" borderId="0" xfId="101" applyFont="1">
      <alignment/>
      <protection/>
    </xf>
    <xf numFmtId="0" fontId="6" fillId="0" borderId="0" xfId="101" applyFont="1" applyProtection="1">
      <alignment/>
      <protection locked="0"/>
    </xf>
    <xf numFmtId="0" fontId="5" fillId="0" borderId="0" xfId="101" applyFont="1" applyProtection="1">
      <alignment/>
      <protection locked="0"/>
    </xf>
    <xf numFmtId="0" fontId="6" fillId="0" borderId="0" xfId="101" applyFont="1" applyFill="1">
      <alignment/>
      <protection/>
    </xf>
    <xf numFmtId="0" fontId="85" fillId="0" borderId="0" xfId="101" applyFont="1" applyFill="1">
      <alignment/>
      <protection/>
    </xf>
    <xf numFmtId="0" fontId="6" fillId="0" borderId="0" xfId="101" applyFont="1" applyFill="1" applyProtection="1">
      <alignment/>
      <protection locked="0"/>
    </xf>
    <xf numFmtId="0" fontId="85" fillId="0" borderId="0" xfId="101" applyFont="1" applyProtection="1">
      <alignment/>
      <protection locked="0"/>
    </xf>
    <xf numFmtId="0" fontId="1" fillId="0" borderId="0" xfId="101" applyFont="1" applyFill="1">
      <alignment/>
      <protection/>
    </xf>
    <xf numFmtId="0" fontId="1" fillId="0" borderId="0" xfId="101" applyFont="1" applyFill="1" applyBorder="1">
      <alignment/>
      <protection/>
    </xf>
    <xf numFmtId="0" fontId="6" fillId="22" borderId="10" xfId="0" applyFont="1" applyFill="1" applyBorder="1" applyAlignment="1" applyProtection="1">
      <alignment horizontal="right" vertical="center"/>
      <protection locked="0"/>
    </xf>
    <xf numFmtId="0" fontId="85" fillId="0" borderId="0" xfId="101" applyFont="1" applyProtection="1" quotePrefix="1">
      <alignment/>
      <protection locked="0"/>
    </xf>
    <xf numFmtId="177" fontId="6" fillId="22" borderId="10" xfId="42" applyNumberFormat="1" applyFont="1" applyFill="1" applyBorder="1" applyAlignment="1" applyProtection="1">
      <alignment vertical="center"/>
      <protection locked="0"/>
    </xf>
    <xf numFmtId="0" fontId="6" fillId="22" borderId="15" xfId="101" applyFont="1" applyFill="1" applyBorder="1" applyProtection="1">
      <alignment/>
      <protection locked="0"/>
    </xf>
    <xf numFmtId="0" fontId="5" fillId="0" borderId="0" xfId="101" applyFont="1" applyFill="1" applyProtection="1">
      <alignment/>
      <protection locked="0"/>
    </xf>
    <xf numFmtId="0" fontId="0" fillId="0" borderId="0" xfId="101" applyFont="1" applyFill="1">
      <alignment/>
      <protection/>
    </xf>
    <xf numFmtId="0" fontId="0" fillId="0" borderId="0" xfId="0" applyFill="1" applyAlignment="1">
      <alignment vertical="center"/>
    </xf>
    <xf numFmtId="0" fontId="5" fillId="0" borderId="0" xfId="101" applyFont="1" applyFill="1">
      <alignment/>
      <protection/>
    </xf>
    <xf numFmtId="0" fontId="48" fillId="0" borderId="0" xfId="101" applyFont="1" applyFill="1">
      <alignment/>
      <protection/>
    </xf>
    <xf numFmtId="0" fontId="6" fillId="0" borderId="0" xfId="0" applyFont="1" applyFill="1" applyAlignment="1" applyProtection="1">
      <alignment/>
      <protection locked="0"/>
    </xf>
    <xf numFmtId="0" fontId="5" fillId="0" borderId="0" xfId="0" applyFont="1" applyAlignment="1" applyProtection="1">
      <alignment/>
      <protection locked="0"/>
    </xf>
    <xf numFmtId="177" fontId="6" fillId="4" borderId="0" xfId="42" applyNumberFormat="1" applyFont="1" applyFill="1" applyBorder="1" applyAlignment="1" applyProtection="1">
      <alignment vertical="center"/>
      <protection/>
    </xf>
    <xf numFmtId="202" fontId="6" fillId="4" borderId="10" xfId="0" applyNumberFormat="1"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protection locked="0"/>
    </xf>
    <xf numFmtId="0" fontId="86" fillId="4" borderId="0" xfId="0" applyFont="1" applyFill="1" applyAlignment="1" applyProtection="1">
      <alignment horizontal="center" vertical="center"/>
      <protection/>
    </xf>
    <xf numFmtId="0" fontId="5" fillId="0" borderId="0" xfId="0" applyFont="1" applyFill="1" applyAlignment="1">
      <alignment vertical="center"/>
    </xf>
    <xf numFmtId="0" fontId="6" fillId="22" borderId="10" xfId="0" applyNumberFormat="1" applyFont="1" applyFill="1" applyBorder="1" applyAlignment="1" applyProtection="1">
      <alignment horizontal="center" vertical="center"/>
      <protection locked="0"/>
    </xf>
    <xf numFmtId="0" fontId="89" fillId="0" borderId="0" xfId="101" applyFont="1" applyFill="1">
      <alignment/>
      <protection/>
    </xf>
    <xf numFmtId="0" fontId="6" fillId="0" borderId="0" xfId="0" applyFont="1" applyFill="1" applyAlignment="1" applyProtection="1">
      <alignment vertical="center"/>
      <protection locked="0"/>
    </xf>
    <xf numFmtId="0" fontId="85" fillId="0" borderId="0" xfId="101" applyFont="1" applyFill="1" applyProtection="1">
      <alignment/>
      <protection locked="0"/>
    </xf>
    <xf numFmtId="0" fontId="6" fillId="0" borderId="0" xfId="101" applyFont="1" applyFill="1" applyAlignment="1">
      <alignment horizontal="left"/>
      <protection/>
    </xf>
    <xf numFmtId="0" fontId="5" fillId="0" borderId="0" xfId="0" applyFont="1" applyFill="1" applyAlignment="1" applyProtection="1">
      <alignment/>
      <protection locked="0"/>
    </xf>
    <xf numFmtId="0" fontId="0" fillId="0" borderId="0" xfId="0" applyFill="1" applyAlignment="1">
      <alignment/>
    </xf>
    <xf numFmtId="0" fontId="90" fillId="0" borderId="0" xfId="101" applyFont="1" applyFill="1">
      <alignment/>
      <protection/>
    </xf>
    <xf numFmtId="0" fontId="5" fillId="0" borderId="0" xfId="0" applyFont="1" applyFill="1" applyAlignment="1" applyProtection="1">
      <alignment vertical="center"/>
      <protection locked="0"/>
    </xf>
    <xf numFmtId="0" fontId="4" fillId="0" borderId="0" xfId="101" applyFont="1" applyFill="1" applyProtection="1">
      <alignment/>
      <protection locked="0"/>
    </xf>
    <xf numFmtId="0" fontId="77" fillId="0" borderId="0" xfId="0" applyFont="1" applyFill="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37" fontId="6" fillId="4" borderId="15" xfId="0" applyNumberFormat="1" applyFont="1" applyFill="1" applyBorder="1" applyAlignment="1" applyProtection="1">
      <alignment horizontal="left" vertical="center"/>
      <protection/>
    </xf>
    <xf numFmtId="37" fontId="6" fillId="4" borderId="20" xfId="0" applyNumberFormat="1" applyFont="1" applyFill="1" applyBorder="1" applyAlignment="1" applyProtection="1">
      <alignment horizontal="left" vertical="center"/>
      <protection/>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9"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9" fillId="29" borderId="0" xfId="0" applyFont="1" applyFill="1" applyBorder="1" applyAlignment="1">
      <alignment horizontal="center" wrapText="1"/>
    </xf>
    <xf numFmtId="0" fontId="79" fillId="0" borderId="0" xfId="0" applyFont="1" applyAlignment="1">
      <alignment horizontal="center" wrapText="1"/>
    </xf>
    <xf numFmtId="0" fontId="79" fillId="29" borderId="29" xfId="0" applyFont="1" applyFill="1" applyBorder="1" applyAlignment="1">
      <alignment horizontal="center" vertical="center"/>
    </xf>
    <xf numFmtId="0" fontId="43" fillId="0" borderId="0" xfId="0" applyFont="1" applyAlignment="1">
      <alignment wrapText="1"/>
    </xf>
    <xf numFmtId="0" fontId="79" fillId="29" borderId="0" xfId="0" applyFont="1" applyFill="1" applyAlignment="1">
      <alignment horizontal="center"/>
    </xf>
    <xf numFmtId="0" fontId="43" fillId="0" borderId="0" xfId="0" applyFont="1" applyAlignment="1">
      <alignment horizontal="center" wrapText="1"/>
    </xf>
    <xf numFmtId="0" fontId="79" fillId="29" borderId="0" xfId="0" applyFont="1" applyFill="1" applyAlignment="1">
      <alignment horizontal="center" vertical="center"/>
    </xf>
    <xf numFmtId="0" fontId="79"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47">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parker@sinkgordon.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94">
      <selection activeCell="K21" sqref="K21"/>
    </sheetView>
  </sheetViews>
  <sheetFormatPr defaultColWidth="8.796875" defaultRowHeight="15"/>
  <cols>
    <col min="1" max="1" width="76.3984375" style="51" customWidth="1"/>
    <col min="2" max="16384" width="8.8984375" style="51" customWidth="1"/>
  </cols>
  <sheetData>
    <row r="1" ht="15.75">
      <c r="A1" s="50" t="s">
        <v>124</v>
      </c>
    </row>
    <row r="3" ht="34.5" customHeight="1">
      <c r="A3" s="575" t="s">
        <v>983</v>
      </c>
    </row>
    <row r="4" ht="15.75">
      <c r="A4" s="52"/>
    </row>
    <row r="5" ht="85.5" customHeight="1">
      <c r="A5" s="53" t="s">
        <v>48</v>
      </c>
    </row>
    <row r="6" ht="15.75">
      <c r="A6" s="53"/>
    </row>
    <row r="7" ht="53.25" customHeight="1">
      <c r="A7" s="53" t="s">
        <v>957</v>
      </c>
    </row>
    <row r="9" ht="15.75">
      <c r="A9" s="50" t="s">
        <v>62</v>
      </c>
    </row>
    <row r="10" ht="15.75">
      <c r="A10" s="50"/>
    </row>
    <row r="11" ht="27" customHeight="1">
      <c r="A11" s="52" t="s">
        <v>63</v>
      </c>
    </row>
    <row r="12" ht="51.75" customHeight="1" hidden="1"/>
    <row r="13" ht="12" customHeight="1"/>
    <row r="14" ht="42.75" customHeight="1">
      <c r="A14" s="54" t="s">
        <v>657</v>
      </c>
    </row>
    <row r="15" ht="14.25" customHeight="1">
      <c r="A15" s="54"/>
    </row>
    <row r="18" ht="15.75">
      <c r="A18" s="50" t="s">
        <v>125</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126</v>
      </c>
    </row>
    <row r="36" ht="81" customHeight="1">
      <c r="A36" s="53" t="s">
        <v>748</v>
      </c>
    </row>
    <row r="37" ht="38.25" customHeight="1">
      <c r="A37" s="53" t="s">
        <v>40</v>
      </c>
    </row>
    <row r="38" ht="57" customHeight="1">
      <c r="A38" s="62" t="s">
        <v>14</v>
      </c>
    </row>
    <row r="39" ht="114.75" customHeight="1">
      <c r="A39" s="62" t="s">
        <v>914</v>
      </c>
    </row>
    <row r="40" ht="11.25" customHeight="1"/>
    <row r="41" ht="81" customHeight="1">
      <c r="A41" s="53" t="s">
        <v>656</v>
      </c>
    </row>
    <row r="42" ht="66" customHeight="1">
      <c r="A42" s="53" t="s">
        <v>97</v>
      </c>
    </row>
    <row r="43" ht="105" customHeight="1">
      <c r="A43" s="53" t="s">
        <v>101</v>
      </c>
    </row>
    <row r="44" ht="12.75" customHeight="1"/>
    <row r="45" ht="73.5" customHeight="1">
      <c r="A45" s="389" t="s">
        <v>896</v>
      </c>
    </row>
    <row r="46" ht="69.75" customHeight="1">
      <c r="A46" s="390" t="s">
        <v>610</v>
      </c>
    </row>
    <row r="47" ht="69.75" customHeight="1">
      <c r="A47" s="390" t="s">
        <v>897</v>
      </c>
    </row>
    <row r="48" ht="12.75" customHeight="1"/>
    <row r="49" ht="67.5" customHeight="1">
      <c r="A49" s="53" t="s">
        <v>611</v>
      </c>
    </row>
    <row r="50" ht="37.5" customHeight="1">
      <c r="A50" s="53" t="s">
        <v>612</v>
      </c>
    </row>
    <row r="51" ht="13.5" customHeight="1">
      <c r="A51" s="53"/>
    </row>
    <row r="52" ht="69.75" customHeight="1">
      <c r="A52" s="53" t="s">
        <v>613</v>
      </c>
    </row>
    <row r="53" ht="103.5" customHeight="1">
      <c r="A53" s="53" t="s">
        <v>969</v>
      </c>
    </row>
    <row r="54" ht="13.5" customHeight="1">
      <c r="A54" s="53"/>
    </row>
    <row r="55" ht="70.5" customHeight="1">
      <c r="A55" s="53" t="s">
        <v>749</v>
      </c>
    </row>
    <row r="56" ht="117.75" customHeight="1">
      <c r="A56" s="53" t="s">
        <v>614</v>
      </c>
    </row>
    <row r="57" ht="35.25" customHeight="1">
      <c r="A57" s="53" t="s">
        <v>615</v>
      </c>
    </row>
    <row r="58" ht="15.75">
      <c r="A58" s="53"/>
    </row>
    <row r="59" ht="82.5" customHeight="1">
      <c r="A59" s="53" t="s">
        <v>885</v>
      </c>
    </row>
    <row r="61" ht="64.5" customHeight="1">
      <c r="A61" s="53" t="s">
        <v>616</v>
      </c>
    </row>
    <row r="62" ht="42.75" customHeight="1">
      <c r="A62" s="53" t="s">
        <v>635</v>
      </c>
    </row>
    <row r="63" ht="88.5" customHeight="1">
      <c r="A63" s="53" t="s">
        <v>658</v>
      </c>
    </row>
    <row r="64" ht="39" customHeight="1">
      <c r="A64" s="354" t="s">
        <v>636</v>
      </c>
    </row>
    <row r="66" s="53" customFormat="1" ht="58.5" customHeight="1">
      <c r="A66" s="53" t="s">
        <v>617</v>
      </c>
    </row>
    <row r="68" ht="69" customHeight="1">
      <c r="A68" s="53" t="s">
        <v>618</v>
      </c>
    </row>
    <row r="69" ht="11.25" customHeight="1"/>
    <row r="70" ht="147" customHeight="1">
      <c r="A70" s="53" t="s">
        <v>946</v>
      </c>
    </row>
    <row r="71" ht="11.25" customHeight="1"/>
    <row r="72" ht="85.5" customHeight="1">
      <c r="A72" s="53" t="s">
        <v>958</v>
      </c>
    </row>
    <row r="73" ht="85.5" customHeight="1">
      <c r="A73" s="53" t="s">
        <v>898</v>
      </c>
    </row>
    <row r="74" ht="104.25" customHeight="1">
      <c r="A74" s="488" t="s">
        <v>945</v>
      </c>
    </row>
    <row r="75" ht="73.5" customHeight="1">
      <c r="A75" s="488" t="s">
        <v>944</v>
      </c>
    </row>
    <row r="76" ht="73.5" customHeight="1">
      <c r="A76" s="488" t="s">
        <v>950</v>
      </c>
    </row>
    <row r="77" ht="136.5" customHeight="1">
      <c r="A77" s="53" t="s">
        <v>899</v>
      </c>
    </row>
    <row r="78" ht="85.5" customHeight="1">
      <c r="A78" s="53" t="s">
        <v>900</v>
      </c>
    </row>
    <row r="79" ht="116.25" customHeight="1">
      <c r="A79" s="53" t="s">
        <v>901</v>
      </c>
    </row>
    <row r="80" ht="140.25" customHeight="1">
      <c r="A80" s="53" t="s">
        <v>959</v>
      </c>
    </row>
    <row r="81" ht="63" customHeight="1">
      <c r="A81" s="53" t="s">
        <v>902</v>
      </c>
    </row>
    <row r="82" ht="128.25" customHeight="1">
      <c r="A82" s="53" t="s">
        <v>903</v>
      </c>
    </row>
    <row r="83" ht="52.5" customHeight="1">
      <c r="A83" s="53" t="s">
        <v>904</v>
      </c>
    </row>
    <row r="84" ht="81" customHeight="1">
      <c r="A84" s="53" t="s">
        <v>905</v>
      </c>
    </row>
    <row r="85" ht="129" customHeight="1">
      <c r="A85" s="355" t="s">
        <v>906</v>
      </c>
    </row>
    <row r="86" ht="130.5" customHeight="1">
      <c r="A86" s="356" t="s">
        <v>907</v>
      </c>
    </row>
    <row r="87" ht="70.5" customHeight="1">
      <c r="A87" s="357" t="s">
        <v>908</v>
      </c>
    </row>
    <row r="88" ht="12" customHeight="1"/>
    <row r="89" ht="54" customHeight="1">
      <c r="A89" s="53" t="s">
        <v>886</v>
      </c>
    </row>
    <row r="90" ht="72" customHeight="1">
      <c r="A90" s="740" t="s">
        <v>962</v>
      </c>
    </row>
    <row r="91" ht="38.25" customHeight="1">
      <c r="A91" s="391" t="s">
        <v>963</v>
      </c>
    </row>
    <row r="92" ht="36.75" customHeight="1">
      <c r="A92" s="488" t="s">
        <v>964</v>
      </c>
    </row>
    <row r="93" ht="131.25" customHeight="1">
      <c r="A93" s="488" t="s">
        <v>965</v>
      </c>
    </row>
    <row r="94" ht="153.75" customHeight="1">
      <c r="A94" s="488" t="s">
        <v>966</v>
      </c>
    </row>
    <row r="95" ht="92.25" customHeight="1">
      <c r="A95" s="392" t="s">
        <v>967</v>
      </c>
    </row>
    <row r="96" ht="89.25" customHeight="1">
      <c r="A96" s="393" t="s">
        <v>968</v>
      </c>
    </row>
    <row r="97" ht="12" customHeight="1"/>
    <row r="98" ht="127.5" customHeight="1">
      <c r="A98" s="53" t="s">
        <v>887</v>
      </c>
    </row>
    <row r="99" ht="117" customHeight="1">
      <c r="A99" s="53" t="s">
        <v>888</v>
      </c>
    </row>
    <row r="100" ht="56.25" customHeight="1">
      <c r="A100" s="53" t="s">
        <v>889</v>
      </c>
    </row>
    <row r="101" ht="26.25" customHeight="1">
      <c r="A101" s="53" t="s">
        <v>890</v>
      </c>
    </row>
    <row r="102" ht="14.25" customHeight="1">
      <c r="A102" s="53"/>
    </row>
    <row r="103" ht="68.25" customHeight="1">
      <c r="A103" s="53" t="s">
        <v>891</v>
      </c>
    </row>
    <row r="105" ht="63.75" customHeight="1">
      <c r="A105" s="488" t="s">
        <v>892</v>
      </c>
    </row>
    <row r="106" ht="105.75" customHeight="1">
      <c r="A106" s="488" t="s">
        <v>893</v>
      </c>
    </row>
    <row r="107" ht="130.5" customHeight="1">
      <c r="A107" s="488"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0">
      <selection activeCell="H47" sqref="H47"/>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Blue Rapids</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223</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194</v>
      </c>
      <c r="D5" s="219" t="s">
        <v>194</v>
      </c>
      <c r="E5" s="219" t="s">
        <v>208</v>
      </c>
      <c r="F5" s="219"/>
      <c r="G5" s="219" t="s">
        <v>644</v>
      </c>
      <c r="H5" s="64"/>
      <c r="I5" s="64"/>
      <c r="J5" s="241" t="s">
        <v>195</v>
      </c>
      <c r="K5" s="242"/>
      <c r="L5" s="241" t="s">
        <v>195</v>
      </c>
      <c r="M5" s="242"/>
    </row>
    <row r="6" spans="2:13" ht="15.75">
      <c r="B6" s="243" t="s">
        <v>910</v>
      </c>
      <c r="C6" s="243" t="s">
        <v>196</v>
      </c>
      <c r="D6" s="243" t="s">
        <v>313</v>
      </c>
      <c r="E6" s="243" t="s">
        <v>197</v>
      </c>
      <c r="F6" s="243" t="s">
        <v>156</v>
      </c>
      <c r="G6" s="243" t="s">
        <v>285</v>
      </c>
      <c r="H6" s="847" t="s">
        <v>198</v>
      </c>
      <c r="I6" s="848"/>
      <c r="J6" s="847">
        <f>inputPrYr!$C$5-1</f>
        <v>2013</v>
      </c>
      <c r="K6" s="850"/>
      <c r="L6" s="849">
        <f>inputPrYr!$C$5</f>
        <v>2014</v>
      </c>
      <c r="M6" s="850"/>
    </row>
    <row r="7" spans="2:13" ht="15.75">
      <c r="B7" s="246" t="s">
        <v>909</v>
      </c>
      <c r="C7" s="246" t="s">
        <v>199</v>
      </c>
      <c r="D7" s="246" t="s">
        <v>314</v>
      </c>
      <c r="E7" s="246" t="s">
        <v>176</v>
      </c>
      <c r="F7" s="246" t="s">
        <v>200</v>
      </c>
      <c r="G7" s="244" t="str">
        <f>CONCATENATE("Jan 1,",M1-1,"")</f>
        <v>Jan 1,2013</v>
      </c>
      <c r="H7" s="187" t="s">
        <v>208</v>
      </c>
      <c r="I7" s="187" t="s">
        <v>210</v>
      </c>
      <c r="J7" s="187" t="s">
        <v>208</v>
      </c>
      <c r="K7" s="187" t="s">
        <v>210</v>
      </c>
      <c r="L7" s="187" t="s">
        <v>208</v>
      </c>
      <c r="M7" s="187" t="s">
        <v>210</v>
      </c>
    </row>
    <row r="8" spans="2:13" ht="15.75">
      <c r="B8" s="245" t="s">
        <v>201</v>
      </c>
      <c r="C8" s="86"/>
      <c r="D8" s="86"/>
      <c r="E8" s="247"/>
      <c r="F8" s="189"/>
      <c r="G8" s="189"/>
      <c r="H8" s="86"/>
      <c r="I8" s="86"/>
      <c r="J8" s="189"/>
      <c r="K8" s="189"/>
      <c r="L8" s="189"/>
      <c r="M8" s="189"/>
    </row>
    <row r="9" spans="2:14" ht="15.75">
      <c r="B9" s="248" t="s">
        <v>1057</v>
      </c>
      <c r="C9" s="271">
        <v>40568</v>
      </c>
      <c r="D9" s="271">
        <v>48092</v>
      </c>
      <c r="E9" s="249">
        <v>4.25</v>
      </c>
      <c r="F9" s="250">
        <v>196000</v>
      </c>
      <c r="G9" s="251">
        <v>194000</v>
      </c>
      <c r="H9" s="252" t="s">
        <v>1058</v>
      </c>
      <c r="I9" s="252">
        <v>41518</v>
      </c>
      <c r="J9" s="251">
        <v>8245</v>
      </c>
      <c r="K9" s="251">
        <v>7000</v>
      </c>
      <c r="L9" s="251">
        <v>7948</v>
      </c>
      <c r="M9" s="251">
        <v>7000</v>
      </c>
      <c r="N9" s="783"/>
    </row>
    <row r="10" spans="2:14" ht="15.75">
      <c r="B10" s="248" t="s">
        <v>1088</v>
      </c>
      <c r="C10" s="271">
        <v>41609</v>
      </c>
      <c r="D10" s="271">
        <v>48914</v>
      </c>
      <c r="E10" s="249">
        <v>4.25</v>
      </c>
      <c r="F10" s="250">
        <v>90000</v>
      </c>
      <c r="G10" s="251">
        <v>0</v>
      </c>
      <c r="H10" s="252">
        <v>41609</v>
      </c>
      <c r="I10" s="252">
        <v>41609</v>
      </c>
      <c r="J10" s="251">
        <v>0</v>
      </c>
      <c r="K10" s="251">
        <v>0</v>
      </c>
      <c r="L10" s="251">
        <v>3825</v>
      </c>
      <c r="M10" s="251">
        <v>2945</v>
      </c>
      <c r="N10" s="773"/>
    </row>
    <row r="11" spans="2:14" ht="15.75">
      <c r="B11" s="248"/>
      <c r="C11" s="271"/>
      <c r="D11" s="271"/>
      <c r="E11" s="249"/>
      <c r="F11" s="250"/>
      <c r="G11" s="251"/>
      <c r="H11" s="252"/>
      <c r="I11" s="252"/>
      <c r="J11" s="251"/>
      <c r="K11" s="251"/>
      <c r="L11" s="251"/>
      <c r="M11" s="251"/>
      <c r="N11" s="773"/>
    </row>
    <row r="12" spans="2:14" ht="15.75">
      <c r="B12" s="248"/>
      <c r="C12" s="271"/>
      <c r="D12" s="271"/>
      <c r="E12" s="249"/>
      <c r="F12" s="250"/>
      <c r="G12" s="251"/>
      <c r="H12" s="252"/>
      <c r="I12" s="252"/>
      <c r="J12" s="251"/>
      <c r="K12" s="251"/>
      <c r="L12" s="251"/>
      <c r="M12" s="251"/>
      <c r="N12" s="773"/>
    </row>
    <row r="13" spans="2:14" ht="15.75">
      <c r="B13" s="248"/>
      <c r="C13" s="271"/>
      <c r="D13" s="271"/>
      <c r="E13" s="249"/>
      <c r="F13" s="250"/>
      <c r="G13" s="251"/>
      <c r="H13" s="252"/>
      <c r="I13" s="252"/>
      <c r="J13" s="251"/>
      <c r="K13" s="251"/>
      <c r="L13" s="251"/>
      <c r="M13" s="251"/>
      <c r="N13" s="773"/>
    </row>
    <row r="14" spans="2:14" ht="15.75">
      <c r="B14" s="248"/>
      <c r="C14" s="271"/>
      <c r="D14" s="271"/>
      <c r="E14" s="249"/>
      <c r="F14" s="250"/>
      <c r="G14" s="251"/>
      <c r="H14" s="252"/>
      <c r="I14" s="252"/>
      <c r="J14" s="251"/>
      <c r="K14" s="251"/>
      <c r="L14" s="251"/>
      <c r="M14" s="251"/>
      <c r="N14" s="773"/>
    </row>
    <row r="15" spans="2:14" ht="15.75">
      <c r="B15" s="234" t="s">
        <v>202</v>
      </c>
      <c r="C15" s="253"/>
      <c r="D15" s="253"/>
      <c r="E15" s="254"/>
      <c r="F15" s="255"/>
      <c r="G15" s="256">
        <f>SUM(G9:G14)</f>
        <v>194000</v>
      </c>
      <c r="H15" s="257"/>
      <c r="I15" s="257"/>
      <c r="J15" s="256">
        <f>SUM(J9:J14)</f>
        <v>8245</v>
      </c>
      <c r="K15" s="256">
        <f>SUM(K9:K14)</f>
        <v>7000</v>
      </c>
      <c r="L15" s="256">
        <f>SUM(L9:L14)</f>
        <v>11773</v>
      </c>
      <c r="M15" s="256">
        <f>SUM(M9:M14)</f>
        <v>9945</v>
      </c>
      <c r="N15" s="773"/>
    </row>
    <row r="16" spans="2:14" ht="15.75">
      <c r="B16" s="187" t="s">
        <v>203</v>
      </c>
      <c r="C16" s="258"/>
      <c r="D16" s="258"/>
      <c r="E16" s="259"/>
      <c r="F16" s="221"/>
      <c r="G16" s="221"/>
      <c r="H16" s="260"/>
      <c r="I16" s="260"/>
      <c r="J16" s="221"/>
      <c r="K16" s="221"/>
      <c r="L16" s="221"/>
      <c r="M16" s="221"/>
      <c r="N16" s="773"/>
    </row>
    <row r="17" spans="2:14" ht="15.75">
      <c r="B17" s="248" t="s">
        <v>1059</v>
      </c>
      <c r="C17" s="271"/>
      <c r="D17" s="271"/>
      <c r="E17" s="249"/>
      <c r="F17" s="250"/>
      <c r="G17" s="251"/>
      <c r="H17" s="252"/>
      <c r="I17" s="252"/>
      <c r="J17" s="251"/>
      <c r="K17" s="251"/>
      <c r="L17" s="251"/>
      <c r="M17" s="251"/>
      <c r="N17" s="783"/>
    </row>
    <row r="18" spans="2:14" ht="15.75">
      <c r="B18" s="248"/>
      <c r="C18" s="271"/>
      <c r="D18" s="271"/>
      <c r="E18" s="249"/>
      <c r="F18" s="250"/>
      <c r="G18" s="251"/>
      <c r="H18" s="252"/>
      <c r="I18" s="252"/>
      <c r="J18" s="251"/>
      <c r="K18" s="251"/>
      <c r="L18" s="251"/>
      <c r="M18" s="251"/>
      <c r="N18" s="773"/>
    </row>
    <row r="19" spans="2:13" ht="15.75">
      <c r="B19" s="248"/>
      <c r="C19" s="271"/>
      <c r="D19" s="271"/>
      <c r="E19" s="249"/>
      <c r="F19" s="250"/>
      <c r="G19" s="251"/>
      <c r="H19" s="252"/>
      <c r="I19" s="252"/>
      <c r="J19" s="251"/>
      <c r="K19" s="251"/>
      <c r="L19" s="251"/>
      <c r="M19" s="251"/>
    </row>
    <row r="20" spans="2:14" ht="15.75">
      <c r="B20" s="248"/>
      <c r="C20" s="271"/>
      <c r="D20" s="271"/>
      <c r="E20" s="249"/>
      <c r="F20" s="250"/>
      <c r="G20" s="251"/>
      <c r="H20" s="252"/>
      <c r="I20" s="252"/>
      <c r="J20" s="251"/>
      <c r="K20" s="251"/>
      <c r="L20" s="251"/>
      <c r="M20" s="251"/>
      <c r="N20" s="773"/>
    </row>
    <row r="21" spans="2:14" ht="15.75">
      <c r="B21" s="248"/>
      <c r="C21" s="271"/>
      <c r="D21" s="271"/>
      <c r="E21" s="249"/>
      <c r="F21" s="250"/>
      <c r="G21" s="251"/>
      <c r="H21" s="252"/>
      <c r="I21" s="252"/>
      <c r="J21" s="251"/>
      <c r="K21" s="251"/>
      <c r="L21" s="251"/>
      <c r="M21" s="251"/>
      <c r="N21" s="773"/>
    </row>
    <row r="22" spans="2:14" ht="15.75">
      <c r="B22" s="234" t="s">
        <v>204</v>
      </c>
      <c r="C22" s="253"/>
      <c r="D22" s="253"/>
      <c r="E22" s="261"/>
      <c r="F22" s="255"/>
      <c r="G22" s="262">
        <f>SUM(G17:G21)</f>
        <v>0</v>
      </c>
      <c r="H22" s="257"/>
      <c r="I22" s="257"/>
      <c r="J22" s="262">
        <f>SUM(J17:J21)</f>
        <v>0</v>
      </c>
      <c r="K22" s="262">
        <f>SUM(K17:K21)</f>
        <v>0</v>
      </c>
      <c r="L22" s="256">
        <f>SUM(L17:L21)</f>
        <v>0</v>
      </c>
      <c r="M22" s="262">
        <f>SUM(M17:M21)</f>
        <v>0</v>
      </c>
      <c r="N22" s="773"/>
    </row>
    <row r="23" spans="2:14" ht="15.75">
      <c r="B23" s="187" t="s">
        <v>205</v>
      </c>
      <c r="C23" s="258"/>
      <c r="D23" s="258"/>
      <c r="E23" s="259"/>
      <c r="F23" s="221"/>
      <c r="G23" s="263"/>
      <c r="H23" s="260"/>
      <c r="I23" s="260"/>
      <c r="J23" s="221"/>
      <c r="K23" s="221"/>
      <c r="L23" s="221"/>
      <c r="M23" s="221"/>
      <c r="N23" s="773"/>
    </row>
    <row r="24" spans="2:14" ht="15.75">
      <c r="B24" s="248" t="s">
        <v>1060</v>
      </c>
      <c r="C24" s="271">
        <v>40574</v>
      </c>
      <c r="D24" s="271">
        <v>48061</v>
      </c>
      <c r="E24" s="249">
        <v>3.79</v>
      </c>
      <c r="F24" s="250">
        <v>211585</v>
      </c>
      <c r="G24" s="251">
        <v>204351</v>
      </c>
      <c r="H24" s="252" t="s">
        <v>1061</v>
      </c>
      <c r="I24" s="252" t="s">
        <v>1061</v>
      </c>
      <c r="J24" s="251">
        <v>7674</v>
      </c>
      <c r="K24" s="251">
        <v>7512</v>
      </c>
      <c r="L24" s="251">
        <v>7387</v>
      </c>
      <c r="M24" s="251">
        <v>7799</v>
      </c>
      <c r="N24" s="783"/>
    </row>
    <row r="25" spans="2:14" ht="15.75">
      <c r="B25" s="248" t="s">
        <v>1082</v>
      </c>
      <c r="C25" s="402">
        <v>41247</v>
      </c>
      <c r="D25" s="271">
        <v>41609</v>
      </c>
      <c r="E25" s="249">
        <v>0.75</v>
      </c>
      <c r="F25" s="250">
        <v>90000</v>
      </c>
      <c r="G25" s="251">
        <v>90000</v>
      </c>
      <c r="H25" s="252">
        <v>41609</v>
      </c>
      <c r="I25" s="252">
        <v>41609</v>
      </c>
      <c r="J25" s="251">
        <v>669</v>
      </c>
      <c r="K25" s="251">
        <v>90000</v>
      </c>
      <c r="L25" s="251">
        <v>0</v>
      </c>
      <c r="M25" s="251">
        <v>0</v>
      </c>
      <c r="N25" s="773"/>
    </row>
    <row r="26" spans="2:14" ht="15.75">
      <c r="B26" s="248"/>
      <c r="C26" s="271"/>
      <c r="D26" s="271"/>
      <c r="E26" s="249"/>
      <c r="F26" s="250"/>
      <c r="G26" s="251"/>
      <c r="H26" s="252"/>
      <c r="I26" s="252"/>
      <c r="J26" s="251"/>
      <c r="K26" s="251"/>
      <c r="L26" s="251"/>
      <c r="M26" s="251"/>
      <c r="N26" s="773"/>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290</v>
      </c>
      <c r="C30" s="234"/>
      <c r="D30" s="234"/>
      <c r="E30" s="261"/>
      <c r="F30" s="255"/>
      <c r="G30" s="262">
        <f>SUM(G24:G29)</f>
        <v>294351</v>
      </c>
      <c r="H30" s="255"/>
      <c r="I30" s="255"/>
      <c r="J30" s="262">
        <f>SUM(J24:J29)</f>
        <v>8343</v>
      </c>
      <c r="K30" s="262">
        <f>SUM(K24:K29)</f>
        <v>97512</v>
      </c>
      <c r="L30" s="262">
        <f>SUM(L24:L29)</f>
        <v>7387</v>
      </c>
      <c r="M30" s="262">
        <f>SUM(M24:M29)</f>
        <v>7799</v>
      </c>
    </row>
    <row r="31" spans="2:13" ht="15.75">
      <c r="B31" s="234" t="s">
        <v>206</v>
      </c>
      <c r="C31" s="234"/>
      <c r="D31" s="234"/>
      <c r="E31" s="234"/>
      <c r="F31" s="255"/>
      <c r="G31" s="262">
        <f>SUM(G15+G22+G30)</f>
        <v>488351</v>
      </c>
      <c r="H31" s="255"/>
      <c r="I31" s="255"/>
      <c r="J31" s="262">
        <f>SUM(J15+J22+J30)</f>
        <v>16588</v>
      </c>
      <c r="K31" s="262">
        <f>SUM(K15+K22+K30)</f>
        <v>104512</v>
      </c>
      <c r="L31" s="262">
        <f>SUM(L15+L22+L30)</f>
        <v>19160</v>
      </c>
      <c r="M31" s="262">
        <f>SUM(M15+M22+M30)</f>
        <v>17744</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mergeCells count="3">
    <mergeCell ref="H6:I6"/>
    <mergeCell ref="L6:M6"/>
    <mergeCell ref="J6:K6"/>
  </mergeCells>
  <printOptions/>
  <pageMargins left="0.15" right="0.15" top="1" bottom="0.5" header="0.5" footer="0"/>
  <pageSetup blackAndWhite="1" horizontalDpi="600" verticalDpi="600" orientation="landscape" scale="77" r:id="rId1"/>
  <headerFooter alignWithMargins="0">
    <oddHeader>&amp;RState of Kansas
City
</oddHeader>
    <oddFooter>&amp;CPage No. 5</oddFooter>
  </headerFooter>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4">
      <selection activeCell="L38" sqref="L38"/>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Blue Rapids</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258</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134</v>
      </c>
      <c r="G5" s="193"/>
      <c r="H5" s="193"/>
      <c r="I5" s="193"/>
      <c r="J5" s="269"/>
      <c r="K5" s="164"/>
    </row>
    <row r="6" spans="2:9" ht="15.75">
      <c r="B6" s="182"/>
      <c r="C6" s="243"/>
      <c r="D6" s="243" t="s">
        <v>207</v>
      </c>
      <c r="E6" s="243" t="s">
        <v>208</v>
      </c>
      <c r="F6" s="243" t="s">
        <v>156</v>
      </c>
      <c r="G6" s="243" t="s">
        <v>307</v>
      </c>
      <c r="H6" s="243" t="s">
        <v>211</v>
      </c>
      <c r="I6" s="243" t="s">
        <v>211</v>
      </c>
    </row>
    <row r="7" spans="2:9" ht="15.75">
      <c r="B7" s="243" t="s">
        <v>911</v>
      </c>
      <c r="C7" s="243" t="s">
        <v>212</v>
      </c>
      <c r="D7" s="243" t="s">
        <v>213</v>
      </c>
      <c r="E7" s="243" t="s">
        <v>197</v>
      </c>
      <c r="F7" s="243" t="s">
        <v>214</v>
      </c>
      <c r="G7" s="243" t="s">
        <v>308</v>
      </c>
      <c r="H7" s="243" t="s">
        <v>215</v>
      </c>
      <c r="I7" s="243" t="s">
        <v>215</v>
      </c>
    </row>
    <row r="8" spans="2:9" ht="15.75">
      <c r="B8" s="246" t="s">
        <v>912</v>
      </c>
      <c r="C8" s="246" t="s">
        <v>194</v>
      </c>
      <c r="D8" s="270" t="s">
        <v>216</v>
      </c>
      <c r="E8" s="246" t="s">
        <v>176</v>
      </c>
      <c r="F8" s="270" t="s">
        <v>286</v>
      </c>
      <c r="G8" s="246">
        <f>inputPrYr!C5-1</f>
        <v>2013</v>
      </c>
      <c r="H8" s="246">
        <f>inputPrYr!C5-1</f>
        <v>2013</v>
      </c>
      <c r="I8" s="229">
        <f>inputPrYr!$C$5</f>
        <v>2014</v>
      </c>
    </row>
    <row r="9" spans="2:11" ht="15.75">
      <c r="B9" s="248" t="s">
        <v>1062</v>
      </c>
      <c r="C9" s="271">
        <v>39881</v>
      </c>
      <c r="D9" s="769">
        <v>48</v>
      </c>
      <c r="E9" s="249">
        <v>4</v>
      </c>
      <c r="F9" s="250">
        <v>18944</v>
      </c>
      <c r="G9" s="250">
        <v>4953</v>
      </c>
      <c r="H9" s="250">
        <v>5219</v>
      </c>
      <c r="I9" s="250">
        <v>0</v>
      </c>
      <c r="K9" s="783"/>
    </row>
    <row r="10" spans="2:11" ht="15.75">
      <c r="B10" s="248" t="s">
        <v>1063</v>
      </c>
      <c r="C10" s="271">
        <v>40995</v>
      </c>
      <c r="D10" s="769">
        <v>60</v>
      </c>
      <c r="E10" s="249">
        <v>3.75</v>
      </c>
      <c r="F10" s="250">
        <v>65450</v>
      </c>
      <c r="G10" s="250">
        <v>65450</v>
      </c>
      <c r="H10" s="250">
        <v>14599</v>
      </c>
      <c r="I10" s="250">
        <v>14599</v>
      </c>
      <c r="K10" s="787"/>
    </row>
    <row r="11" spans="2:11" ht="15.75">
      <c r="B11" s="248" t="s">
        <v>1120</v>
      </c>
      <c r="C11" s="271">
        <v>41518</v>
      </c>
      <c r="D11" s="803">
        <v>48</v>
      </c>
      <c r="E11" s="249">
        <v>4</v>
      </c>
      <c r="F11" s="250">
        <v>30000</v>
      </c>
      <c r="G11" s="250">
        <v>0</v>
      </c>
      <c r="H11" s="250">
        <v>0</v>
      </c>
      <c r="I11" s="250">
        <v>8265</v>
      </c>
      <c r="K11" s="787"/>
    </row>
    <row r="12" spans="2:11" ht="15.75">
      <c r="B12" s="248"/>
      <c r="C12" s="248"/>
      <c r="D12" s="271"/>
      <c r="E12" s="249"/>
      <c r="F12" s="250"/>
      <c r="G12" s="250"/>
      <c r="H12" s="250"/>
      <c r="I12" s="250"/>
      <c r="K12" s="783"/>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163</v>
      </c>
      <c r="G20" s="272">
        <f>SUM(G9:G19)</f>
        <v>70403</v>
      </c>
      <c r="H20" s="272">
        <f>SUM(H9:H19)</f>
        <v>19818</v>
      </c>
      <c r="I20" s="273">
        <f>SUM(I9:I19)</f>
        <v>22864</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printOptions/>
  <pageMargins left="0.47"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1">
      <selection activeCell="M16" sqref="M16"/>
    </sheetView>
  </sheetViews>
  <sheetFormatPr defaultColWidth="8.796875" defaultRowHeight="15"/>
  <cols>
    <col min="1" max="1" width="2.59765625" style="668" customWidth="1"/>
    <col min="2" max="4" width="8.8984375" style="668" customWidth="1"/>
    <col min="5" max="5" width="9.69921875" style="668" customWidth="1"/>
    <col min="6" max="6" width="8.8984375" style="668" customWidth="1"/>
    <col min="7" max="7" width="9.69921875" style="668" customWidth="1"/>
    <col min="8" max="16384" width="8.8984375" style="668" customWidth="1"/>
  </cols>
  <sheetData>
    <row r="1" spans="2:9" ht="15.75">
      <c r="B1" s="667"/>
      <c r="C1" s="667"/>
      <c r="D1" s="667"/>
      <c r="E1" s="667"/>
      <c r="F1" s="667"/>
      <c r="G1" s="667"/>
      <c r="H1" s="667"/>
      <c r="I1" s="667"/>
    </row>
    <row r="2" spans="2:9" ht="15.75">
      <c r="B2" s="851" t="s">
        <v>835</v>
      </c>
      <c r="C2" s="851"/>
      <c r="D2" s="851"/>
      <c r="E2" s="851"/>
      <c r="F2" s="851"/>
      <c r="G2" s="851"/>
      <c r="H2" s="851"/>
      <c r="I2" s="851"/>
    </row>
    <row r="3" spans="2:9" ht="15.75">
      <c r="B3" s="851" t="s">
        <v>836</v>
      </c>
      <c r="C3" s="851"/>
      <c r="D3" s="851"/>
      <c r="E3" s="851"/>
      <c r="F3" s="851"/>
      <c r="G3" s="851"/>
      <c r="H3" s="851"/>
      <c r="I3" s="851"/>
    </row>
    <row r="4" spans="2:9" ht="15.75">
      <c r="B4" s="669"/>
      <c r="C4" s="669"/>
      <c r="D4" s="669"/>
      <c r="E4" s="669"/>
      <c r="F4" s="669"/>
      <c r="G4" s="669"/>
      <c r="H4" s="669"/>
      <c r="I4" s="669"/>
    </row>
    <row r="5" spans="2:9" ht="15.75">
      <c r="B5" s="852" t="str">
        <f>CONCATENATE("Budgeted Year: ",inputPrYr!C5,"")</f>
        <v>Budgeted Year: 2014</v>
      </c>
      <c r="C5" s="852"/>
      <c r="D5" s="852"/>
      <c r="E5" s="852"/>
      <c r="F5" s="852"/>
      <c r="G5" s="852"/>
      <c r="H5" s="852"/>
      <c r="I5" s="852"/>
    </row>
    <row r="6" spans="2:9" ht="15.75">
      <c r="B6" s="670"/>
      <c r="C6" s="669"/>
      <c r="D6" s="669"/>
      <c r="E6" s="669"/>
      <c r="F6" s="669"/>
      <c r="G6" s="669"/>
      <c r="H6" s="669"/>
      <c r="I6" s="669"/>
    </row>
    <row r="7" spans="2:9" ht="15.75">
      <c r="B7" s="670" t="str">
        <f>CONCATENATE("Library found in: ",inputPrYr!D2,"")</f>
        <v>Library found in: City of Blue Rapids</v>
      </c>
      <c r="C7" s="669"/>
      <c r="D7" s="669"/>
      <c r="E7" s="669"/>
      <c r="F7" s="669"/>
      <c r="G7" s="669"/>
      <c r="H7" s="669"/>
      <c r="I7" s="669"/>
    </row>
    <row r="8" spans="2:9" ht="15.75">
      <c r="B8" s="670" t="str">
        <f>inputPrYr!D3</f>
        <v>Marshall County</v>
      </c>
      <c r="C8" s="669"/>
      <c r="D8" s="669"/>
      <c r="E8" s="669"/>
      <c r="F8" s="669"/>
      <c r="G8" s="669"/>
      <c r="H8" s="669"/>
      <c r="I8" s="669"/>
    </row>
    <row r="9" spans="2:9" ht="15.75">
      <c r="B9" s="669"/>
      <c r="C9" s="669"/>
      <c r="D9" s="669"/>
      <c r="E9" s="669"/>
      <c r="F9" s="669"/>
      <c r="G9" s="669"/>
      <c r="H9" s="669"/>
      <c r="I9" s="669"/>
    </row>
    <row r="10" spans="2:9" ht="39" customHeight="1">
      <c r="B10" s="853" t="s">
        <v>837</v>
      </c>
      <c r="C10" s="853"/>
      <c r="D10" s="853"/>
      <c r="E10" s="853"/>
      <c r="F10" s="853"/>
      <c r="G10" s="853"/>
      <c r="H10" s="853"/>
      <c r="I10" s="853"/>
    </row>
    <row r="11" spans="2:9" ht="15.75">
      <c r="B11" s="669"/>
      <c r="C11" s="669"/>
      <c r="D11" s="669"/>
      <c r="E11" s="669"/>
      <c r="F11" s="669"/>
      <c r="G11" s="669"/>
      <c r="H11" s="669"/>
      <c r="I11" s="669"/>
    </row>
    <row r="12" spans="2:9" ht="15.75">
      <c r="B12" s="671" t="s">
        <v>838</v>
      </c>
      <c r="C12" s="669"/>
      <c r="D12" s="669"/>
      <c r="E12" s="669"/>
      <c r="F12" s="669"/>
      <c r="G12" s="669"/>
      <c r="H12" s="669"/>
      <c r="I12" s="669"/>
    </row>
    <row r="13" spans="2:9" ht="15.75">
      <c r="B13" s="669"/>
      <c r="C13" s="669"/>
      <c r="D13" s="669"/>
      <c r="E13" s="672" t="s">
        <v>839</v>
      </c>
      <c r="F13" s="669"/>
      <c r="G13" s="672" t="s">
        <v>840</v>
      </c>
      <c r="H13" s="669"/>
      <c r="I13" s="669"/>
    </row>
    <row r="14" spans="2:9" ht="15.75">
      <c r="B14" s="669"/>
      <c r="C14" s="669"/>
      <c r="D14" s="669"/>
      <c r="E14" s="673">
        <f>inputPrYr!C5-1</f>
        <v>2013</v>
      </c>
      <c r="F14" s="669"/>
      <c r="G14" s="673">
        <f>inputPrYr!C5</f>
        <v>2014</v>
      </c>
      <c r="H14" s="669"/>
      <c r="I14" s="669"/>
    </row>
    <row r="15" spans="2:9" ht="15.75">
      <c r="B15" s="670" t="str">
        <f>'DebtSvs-Library'!B48</f>
        <v>Ad Valorem Tax</v>
      </c>
      <c r="C15" s="669"/>
      <c r="D15" s="669"/>
      <c r="E15" s="674">
        <f>'DebtSvs-Library'!D48</f>
        <v>16969</v>
      </c>
      <c r="F15" s="669"/>
      <c r="G15" s="674">
        <f>'DebtSvs-Library'!E72</f>
        <v>17448</v>
      </c>
      <c r="H15" s="669"/>
      <c r="I15" s="669"/>
    </row>
    <row r="16" spans="2:9" ht="15.75">
      <c r="B16" s="670" t="str">
        <f>'DebtSvs-Library'!B49</f>
        <v>Delinquent Tax</v>
      </c>
      <c r="C16" s="669"/>
      <c r="D16" s="669"/>
      <c r="E16" s="674">
        <f>'DebtSvs-Library'!D49</f>
        <v>0</v>
      </c>
      <c r="F16" s="669"/>
      <c r="G16" s="674">
        <f>'DebtSvs-Library'!E49</f>
        <v>0</v>
      </c>
      <c r="H16" s="669"/>
      <c r="I16" s="669"/>
    </row>
    <row r="17" spans="2:9" ht="15.75">
      <c r="B17" s="670" t="str">
        <f>'DebtSvs-Library'!B50</f>
        <v>Motor Vehicle Tax</v>
      </c>
      <c r="C17" s="669"/>
      <c r="D17" s="669"/>
      <c r="E17" s="674">
        <f>'DebtSvs-Library'!D50</f>
        <v>1803</v>
      </c>
      <c r="F17" s="669"/>
      <c r="G17" s="674">
        <f>'DebtSvs-Library'!E50</f>
        <v>3237</v>
      </c>
      <c r="H17" s="669"/>
      <c r="I17" s="669"/>
    </row>
    <row r="18" spans="2:9" ht="15.75">
      <c r="B18" s="670" t="str">
        <f>'DebtSvs-Library'!B51</f>
        <v>Recreational Vehicle Tax</v>
      </c>
      <c r="C18" s="669"/>
      <c r="D18" s="669"/>
      <c r="E18" s="674">
        <f>'DebtSvs-Library'!D51</f>
        <v>50</v>
      </c>
      <c r="F18" s="669"/>
      <c r="G18" s="674">
        <f>'DebtSvs-Library'!E51</f>
        <v>88</v>
      </c>
      <c r="H18" s="669"/>
      <c r="I18" s="669"/>
    </row>
    <row r="19" spans="2:9" ht="15.75">
      <c r="B19" s="670" t="str">
        <f>'DebtSvs-Library'!B52</f>
        <v>16/20M Vehicle Tax</v>
      </c>
      <c r="C19" s="669"/>
      <c r="D19" s="669"/>
      <c r="E19" s="674">
        <f>'DebtSvs-Library'!D52</f>
        <v>28</v>
      </c>
      <c r="F19" s="669"/>
      <c r="G19" s="674">
        <f>'DebtSvs-Library'!E52</f>
        <v>55</v>
      </c>
      <c r="H19" s="669"/>
      <c r="I19" s="669"/>
    </row>
    <row r="20" spans="2:9" ht="15.75">
      <c r="B20" s="669" t="s">
        <v>120</v>
      </c>
      <c r="C20" s="669"/>
      <c r="D20" s="669"/>
      <c r="E20" s="674">
        <v>0</v>
      </c>
      <c r="F20" s="669"/>
      <c r="G20" s="674">
        <v>0</v>
      </c>
      <c r="H20" s="669"/>
      <c r="I20" s="669"/>
    </row>
    <row r="21" spans="2:9" ht="15.75">
      <c r="B21" s="669"/>
      <c r="C21" s="669"/>
      <c r="D21" s="669"/>
      <c r="E21" s="674">
        <v>0</v>
      </c>
      <c r="F21" s="669"/>
      <c r="G21" s="674">
        <v>0</v>
      </c>
      <c r="H21" s="669"/>
      <c r="I21" s="669"/>
    </row>
    <row r="22" spans="2:9" ht="15.75">
      <c r="B22" s="669" t="s">
        <v>841</v>
      </c>
      <c r="C22" s="669"/>
      <c r="D22" s="669"/>
      <c r="E22" s="675">
        <f>SUM(E15:E21)</f>
        <v>18850</v>
      </c>
      <c r="F22" s="669"/>
      <c r="G22" s="675">
        <f>SUM(G15:G21)</f>
        <v>20828</v>
      </c>
      <c r="H22" s="669"/>
      <c r="I22" s="669"/>
    </row>
    <row r="23" spans="2:9" ht="15.75">
      <c r="B23" s="669" t="s">
        <v>842</v>
      </c>
      <c r="C23" s="669"/>
      <c r="D23" s="669"/>
      <c r="E23" s="676">
        <f>G22-E22</f>
        <v>1978</v>
      </c>
      <c r="F23" s="669"/>
      <c r="G23" s="677"/>
      <c r="H23" s="669"/>
      <c r="I23" s="669"/>
    </row>
    <row r="24" spans="2:9" ht="15.75">
      <c r="B24" s="669" t="s">
        <v>843</v>
      </c>
      <c r="C24" s="669"/>
      <c r="D24" s="678" t="str">
        <f>IF((G22-E22)&gt;0,"Qualify","Not Qualify")</f>
        <v>Qualify</v>
      </c>
      <c r="E24" s="669"/>
      <c r="F24" s="669"/>
      <c r="G24" s="669"/>
      <c r="H24" s="669"/>
      <c r="I24" s="669"/>
    </row>
    <row r="25" spans="2:9" ht="15.75">
      <c r="B25" s="669"/>
      <c r="C25" s="669"/>
      <c r="D25" s="669"/>
      <c r="E25" s="669"/>
      <c r="F25" s="669"/>
      <c r="G25" s="669"/>
      <c r="H25" s="669"/>
      <c r="I25" s="669"/>
    </row>
    <row r="26" spans="2:9" ht="15.75">
      <c r="B26" s="671" t="s">
        <v>844</v>
      </c>
      <c r="C26" s="669"/>
      <c r="D26" s="669"/>
      <c r="E26" s="669"/>
      <c r="F26" s="669"/>
      <c r="G26" s="669"/>
      <c r="H26" s="669"/>
      <c r="I26" s="669"/>
    </row>
    <row r="27" spans="2:9" ht="15.75">
      <c r="B27" s="669" t="s">
        <v>186</v>
      </c>
      <c r="C27" s="669"/>
      <c r="D27" s="669"/>
      <c r="E27" s="674">
        <f>summ!D36</f>
        <v>3045202</v>
      </c>
      <c r="F27" s="669"/>
      <c r="G27" s="674">
        <f>summ!F36</f>
        <v>3155579</v>
      </c>
      <c r="H27" s="669"/>
      <c r="I27" s="669"/>
    </row>
    <row r="28" spans="2:9" ht="15.75">
      <c r="B28" s="669" t="s">
        <v>845</v>
      </c>
      <c r="C28" s="669"/>
      <c r="D28" s="669"/>
      <c r="E28" s="679" t="str">
        <f>IF(G27-E27&gt;=0,"No","Yes")</f>
        <v>No</v>
      </c>
      <c r="F28" s="669"/>
      <c r="G28" s="669"/>
      <c r="H28" s="669"/>
      <c r="I28" s="669"/>
    </row>
    <row r="29" spans="2:9" ht="15.75">
      <c r="B29" s="669" t="s">
        <v>846</v>
      </c>
      <c r="C29" s="669"/>
      <c r="D29" s="669"/>
      <c r="E29" s="672">
        <f>summ!E18</f>
        <v>5.572</v>
      </c>
      <c r="F29" s="669"/>
      <c r="G29" s="687">
        <f>summ!H18</f>
        <v>5.529</v>
      </c>
      <c r="H29" s="669"/>
      <c r="I29" s="669"/>
    </row>
    <row r="30" spans="2:9" ht="15.75">
      <c r="B30" s="669" t="s">
        <v>847</v>
      </c>
      <c r="C30" s="669"/>
      <c r="D30" s="669"/>
      <c r="E30" s="688">
        <f>G29-E29</f>
        <v>-0.04300000000000015</v>
      </c>
      <c r="F30" s="669"/>
      <c r="G30" s="669"/>
      <c r="H30" s="669"/>
      <c r="I30" s="669"/>
    </row>
    <row r="31" spans="2:9" ht="15.75">
      <c r="B31" s="669" t="s">
        <v>843</v>
      </c>
      <c r="C31" s="669"/>
      <c r="D31" s="680" t="str">
        <f>IF(E30&gt;=0,"Qualify","Not Qualify")</f>
        <v>Not Qualify</v>
      </c>
      <c r="E31" s="669"/>
      <c r="F31" s="669"/>
      <c r="G31" s="669"/>
      <c r="H31" s="669"/>
      <c r="I31" s="669"/>
    </row>
    <row r="32" spans="2:9" ht="15.75">
      <c r="B32" s="669"/>
      <c r="C32" s="669"/>
      <c r="D32" s="669"/>
      <c r="E32" s="669"/>
      <c r="F32" s="669"/>
      <c r="G32" s="669"/>
      <c r="H32" s="669"/>
      <c r="I32" s="669"/>
    </row>
    <row r="33" spans="2:9" ht="15.75">
      <c r="B33" s="669" t="s">
        <v>848</v>
      </c>
      <c r="C33" s="669"/>
      <c r="D33" s="669"/>
      <c r="E33" s="669"/>
      <c r="F33" s="689" t="str">
        <f>IF(D24="Not Qualify",IF(D31="Not Qualify",IF(D31="Not Qualify","Not Qualify","Qualify"),"Qualify"),"Qualify")</f>
        <v>Qualify</v>
      </c>
      <c r="G33" s="669"/>
      <c r="H33" s="669"/>
      <c r="I33" s="669"/>
    </row>
    <row r="34" spans="2:9" ht="15.75">
      <c r="B34" s="669"/>
      <c r="C34" s="669"/>
      <c r="D34" s="669"/>
      <c r="E34" s="669"/>
      <c r="F34" s="669"/>
      <c r="G34" s="669"/>
      <c r="H34" s="669"/>
      <c r="I34" s="669"/>
    </row>
    <row r="35" spans="2:9" ht="15.75">
      <c r="B35" s="669"/>
      <c r="C35" s="669"/>
      <c r="D35" s="669"/>
      <c r="E35" s="669"/>
      <c r="F35" s="669"/>
      <c r="G35" s="669"/>
      <c r="H35" s="669"/>
      <c r="I35" s="669"/>
    </row>
    <row r="36" spans="2:9" ht="37.5" customHeight="1">
      <c r="B36" s="853" t="s">
        <v>849</v>
      </c>
      <c r="C36" s="853"/>
      <c r="D36" s="853"/>
      <c r="E36" s="853"/>
      <c r="F36" s="853"/>
      <c r="G36" s="853"/>
      <c r="H36" s="853"/>
      <c r="I36" s="853"/>
    </row>
    <row r="37" spans="2:9" ht="15.75">
      <c r="B37" s="669"/>
      <c r="C37" s="669"/>
      <c r="D37" s="669"/>
      <c r="E37" s="669"/>
      <c r="F37" s="669"/>
      <c r="G37" s="669"/>
      <c r="H37" s="669"/>
      <c r="I37" s="669"/>
    </row>
    <row r="38" spans="2:9" ht="15.75">
      <c r="B38" s="669"/>
      <c r="C38" s="669"/>
      <c r="D38" s="669"/>
      <c r="E38" s="669"/>
      <c r="F38" s="669"/>
      <c r="G38" s="669"/>
      <c r="H38" s="669"/>
      <c r="I38" s="669"/>
    </row>
    <row r="39" spans="2:9" ht="15.75">
      <c r="B39" s="669"/>
      <c r="C39" s="669"/>
      <c r="D39" s="669"/>
      <c r="E39" s="669"/>
      <c r="F39" s="669"/>
      <c r="G39" s="669"/>
      <c r="H39" s="669"/>
      <c r="I39" s="669"/>
    </row>
    <row r="40" spans="2:9" ht="15.75">
      <c r="B40" s="669"/>
      <c r="C40" s="669"/>
      <c r="D40" s="669"/>
      <c r="E40" s="686" t="s">
        <v>193</v>
      </c>
      <c r="F40" s="685">
        <v>7</v>
      </c>
      <c r="G40" s="669"/>
      <c r="H40" s="669"/>
      <c r="I40" s="669"/>
    </row>
    <row r="41" spans="2:9" ht="15.75">
      <c r="B41" s="669"/>
      <c r="C41" s="669"/>
      <c r="D41" s="669"/>
      <c r="E41" s="669"/>
      <c r="F41" s="669"/>
      <c r="G41" s="669"/>
      <c r="H41" s="669"/>
      <c r="I41" s="669"/>
    </row>
    <row r="42" spans="2:9" ht="15.75">
      <c r="B42" s="669"/>
      <c r="C42" s="669"/>
      <c r="D42" s="669"/>
      <c r="E42" s="669"/>
      <c r="F42" s="669"/>
      <c r="G42" s="669"/>
      <c r="H42" s="669"/>
      <c r="I42" s="669"/>
    </row>
    <row r="43" spans="2:9" ht="15.75">
      <c r="B43" s="854" t="s">
        <v>850</v>
      </c>
      <c r="C43" s="855"/>
      <c r="D43" s="855"/>
      <c r="E43" s="855"/>
      <c r="F43" s="855"/>
      <c r="G43" s="855"/>
      <c r="H43" s="855"/>
      <c r="I43" s="855"/>
    </row>
    <row r="44" spans="2:9" ht="15.75">
      <c r="B44" s="669"/>
      <c r="C44" s="669"/>
      <c r="D44" s="669"/>
      <c r="E44" s="669"/>
      <c r="F44" s="669"/>
      <c r="G44" s="669"/>
      <c r="H44" s="669"/>
      <c r="I44" s="669"/>
    </row>
    <row r="45" spans="2:9" ht="15.75">
      <c r="B45" s="681" t="s">
        <v>851</v>
      </c>
      <c r="C45" s="669"/>
      <c r="D45" s="669"/>
      <c r="E45" s="669"/>
      <c r="F45" s="669"/>
      <c r="G45" s="669"/>
      <c r="H45" s="669"/>
      <c r="I45" s="669"/>
    </row>
    <row r="46" spans="2:9" ht="15.75">
      <c r="B46" s="681" t="str">
        <f>CONCATENATE("sources in your ",G14," library fund is not equal to or greater than the amount from the same")</f>
        <v>sources in your 2014 library fund is not equal to or greater than the amount from the same</v>
      </c>
      <c r="C46" s="669"/>
      <c r="D46" s="669"/>
      <c r="E46" s="669"/>
      <c r="F46" s="669"/>
      <c r="G46" s="669"/>
      <c r="H46" s="669"/>
      <c r="I46" s="669"/>
    </row>
    <row r="47" spans="2:9" ht="15.75">
      <c r="B47" s="681" t="str">
        <f>CONCATENATE("sources in ",E14,".")</f>
        <v>sources in 2013.</v>
      </c>
      <c r="C47" s="667"/>
      <c r="D47" s="667"/>
      <c r="E47" s="667"/>
      <c r="F47" s="667"/>
      <c r="G47" s="667"/>
      <c r="H47" s="667"/>
      <c r="I47" s="667"/>
    </row>
    <row r="48" spans="2:9" ht="15.75">
      <c r="B48" s="667"/>
      <c r="C48" s="667"/>
      <c r="D48" s="667"/>
      <c r="E48" s="667"/>
      <c r="F48" s="667"/>
      <c r="G48" s="667"/>
      <c r="H48" s="667"/>
      <c r="I48" s="667"/>
    </row>
    <row r="49" spans="2:9" ht="15.75">
      <c r="B49" s="681" t="s">
        <v>852</v>
      </c>
      <c r="C49" s="681"/>
      <c r="D49" s="682"/>
      <c r="E49" s="682"/>
      <c r="F49" s="682"/>
      <c r="G49" s="682"/>
      <c r="H49" s="682"/>
      <c r="I49" s="682"/>
    </row>
    <row r="50" spans="2:9" ht="15.75">
      <c r="B50" s="681" t="s">
        <v>853</v>
      </c>
      <c r="C50" s="681"/>
      <c r="D50" s="682"/>
      <c r="E50" s="682"/>
      <c r="F50" s="682"/>
      <c r="G50" s="682"/>
      <c r="H50" s="682"/>
      <c r="I50" s="682"/>
    </row>
    <row r="51" spans="2:9" ht="15.75">
      <c r="B51" s="681" t="s">
        <v>854</v>
      </c>
      <c r="C51" s="681"/>
      <c r="D51" s="682"/>
      <c r="E51" s="682"/>
      <c r="F51" s="682"/>
      <c r="G51" s="682"/>
      <c r="H51" s="682"/>
      <c r="I51" s="682"/>
    </row>
    <row r="52" spans="2:9" ht="15">
      <c r="B52" s="682"/>
      <c r="C52" s="682"/>
      <c r="D52" s="682"/>
      <c r="E52" s="682"/>
      <c r="F52" s="682"/>
      <c r="G52" s="682"/>
      <c r="H52" s="682"/>
      <c r="I52" s="682"/>
    </row>
    <row r="53" spans="2:9" ht="15.75">
      <c r="B53" s="683" t="s">
        <v>855</v>
      </c>
      <c r="C53" s="682"/>
      <c r="D53" s="682"/>
      <c r="E53" s="682"/>
      <c r="F53" s="682"/>
      <c r="G53" s="682"/>
      <c r="H53" s="682"/>
      <c r="I53" s="682"/>
    </row>
    <row r="54" spans="2:9" ht="15">
      <c r="B54" s="682"/>
      <c r="C54" s="682"/>
      <c r="D54" s="682"/>
      <c r="E54" s="682"/>
      <c r="F54" s="682"/>
      <c r="G54" s="682"/>
      <c r="H54" s="682"/>
      <c r="I54" s="682"/>
    </row>
    <row r="55" spans="2:9" ht="15.75">
      <c r="B55" s="681" t="s">
        <v>856</v>
      </c>
      <c r="C55" s="682"/>
      <c r="D55" s="682"/>
      <c r="E55" s="682"/>
      <c r="F55" s="682"/>
      <c r="G55" s="682"/>
      <c r="H55" s="682"/>
      <c r="I55" s="682"/>
    </row>
    <row r="56" spans="2:9" ht="15.75">
      <c r="B56" s="681" t="s">
        <v>857</v>
      </c>
      <c r="C56" s="682"/>
      <c r="D56" s="682"/>
      <c r="E56" s="682"/>
      <c r="F56" s="682"/>
      <c r="G56" s="682"/>
      <c r="H56" s="682"/>
      <c r="I56" s="682"/>
    </row>
    <row r="57" spans="2:9" ht="15">
      <c r="B57" s="682"/>
      <c r="C57" s="682"/>
      <c r="D57" s="682"/>
      <c r="E57" s="682"/>
      <c r="F57" s="682"/>
      <c r="G57" s="682"/>
      <c r="H57" s="682"/>
      <c r="I57" s="682"/>
    </row>
    <row r="58" spans="2:9" ht="15.75">
      <c r="B58" s="683" t="s">
        <v>858</v>
      </c>
      <c r="C58" s="681"/>
      <c r="D58" s="681"/>
      <c r="E58" s="681"/>
      <c r="F58" s="681"/>
      <c r="G58" s="682"/>
      <c r="H58" s="682"/>
      <c r="I58" s="682"/>
    </row>
    <row r="59" spans="2:9" ht="15.75">
      <c r="B59" s="681"/>
      <c r="C59" s="681"/>
      <c r="D59" s="681"/>
      <c r="E59" s="681"/>
      <c r="F59" s="681"/>
      <c r="G59" s="682"/>
      <c r="H59" s="682"/>
      <c r="I59" s="682"/>
    </row>
    <row r="60" spans="2:9" ht="15.75">
      <c r="B60" s="681" t="s">
        <v>859</v>
      </c>
      <c r="C60" s="681"/>
      <c r="D60" s="681"/>
      <c r="E60" s="681"/>
      <c r="F60" s="681"/>
      <c r="G60" s="682"/>
      <c r="H60" s="682"/>
      <c r="I60" s="682"/>
    </row>
    <row r="61" spans="2:9" ht="15.75">
      <c r="B61" s="681" t="s">
        <v>860</v>
      </c>
      <c r="C61" s="681"/>
      <c r="D61" s="681"/>
      <c r="E61" s="681"/>
      <c r="F61" s="681"/>
      <c r="G61" s="682"/>
      <c r="H61" s="682"/>
      <c r="I61" s="682"/>
    </row>
    <row r="62" spans="2:9" ht="15.75">
      <c r="B62" s="681" t="s">
        <v>861</v>
      </c>
      <c r="C62" s="681"/>
      <c r="D62" s="681"/>
      <c r="E62" s="681"/>
      <c r="F62" s="681"/>
      <c r="G62" s="682"/>
      <c r="H62" s="682"/>
      <c r="I62" s="682"/>
    </row>
    <row r="63" spans="2:9" ht="15.75">
      <c r="B63" s="681" t="s">
        <v>862</v>
      </c>
      <c r="C63" s="681"/>
      <c r="D63" s="681"/>
      <c r="E63" s="681"/>
      <c r="F63" s="681"/>
      <c r="G63" s="682"/>
      <c r="H63" s="682"/>
      <c r="I63" s="682"/>
    </row>
    <row r="64" spans="2:9" ht="15">
      <c r="B64" s="684"/>
      <c r="C64" s="684"/>
      <c r="D64" s="684"/>
      <c r="E64" s="684"/>
      <c r="F64" s="684"/>
      <c r="G64" s="682"/>
      <c r="H64" s="682"/>
      <c r="I64" s="682"/>
    </row>
    <row r="65" spans="2:9" ht="15.75">
      <c r="B65" s="681" t="s">
        <v>863</v>
      </c>
      <c r="C65" s="684"/>
      <c r="D65" s="684"/>
      <c r="E65" s="684"/>
      <c r="F65" s="684"/>
      <c r="G65" s="682"/>
      <c r="H65" s="682"/>
      <c r="I65" s="682"/>
    </row>
    <row r="66" spans="2:9" ht="15.75">
      <c r="B66" s="681" t="s">
        <v>864</v>
      </c>
      <c r="C66" s="684"/>
      <c r="D66" s="684"/>
      <c r="E66" s="684"/>
      <c r="F66" s="684"/>
      <c r="G66" s="682"/>
      <c r="H66" s="682"/>
      <c r="I66" s="682"/>
    </row>
    <row r="67" spans="2:9" ht="15">
      <c r="B67" s="684"/>
      <c r="C67" s="684"/>
      <c r="D67" s="684"/>
      <c r="E67" s="684"/>
      <c r="F67" s="684"/>
      <c r="G67" s="682"/>
      <c r="H67" s="682"/>
      <c r="I67" s="682"/>
    </row>
    <row r="68" spans="2:9" ht="15.75">
      <c r="B68" s="681" t="s">
        <v>865</v>
      </c>
      <c r="C68" s="684"/>
      <c r="D68" s="684"/>
      <c r="E68" s="684"/>
      <c r="F68" s="684"/>
      <c r="G68" s="682"/>
      <c r="H68" s="682"/>
      <c r="I68" s="682"/>
    </row>
    <row r="69" spans="2:9" ht="15.75">
      <c r="B69" s="681" t="s">
        <v>866</v>
      </c>
      <c r="C69" s="684"/>
      <c r="D69" s="684"/>
      <c r="E69" s="684"/>
      <c r="F69" s="684"/>
      <c r="G69" s="682"/>
      <c r="H69" s="682"/>
      <c r="I69" s="682"/>
    </row>
    <row r="70" spans="2:9" ht="15">
      <c r="B70" s="684"/>
      <c r="C70" s="684"/>
      <c r="D70" s="684"/>
      <c r="E70" s="684"/>
      <c r="F70" s="684"/>
      <c r="G70" s="682"/>
      <c r="H70" s="682"/>
      <c r="I70" s="682"/>
    </row>
    <row r="71" spans="2:9" ht="15.75">
      <c r="B71" s="683" t="s">
        <v>867</v>
      </c>
      <c r="C71" s="684"/>
      <c r="D71" s="684"/>
      <c r="E71" s="684"/>
      <c r="F71" s="684"/>
      <c r="G71" s="682"/>
      <c r="H71" s="682"/>
      <c r="I71" s="682"/>
    </row>
    <row r="72" spans="2:9" ht="15">
      <c r="B72" s="684"/>
      <c r="C72" s="684"/>
      <c r="D72" s="684"/>
      <c r="E72" s="684"/>
      <c r="F72" s="684"/>
      <c r="G72" s="682"/>
      <c r="H72" s="682"/>
      <c r="I72" s="682"/>
    </row>
    <row r="73" spans="2:9" ht="15.75">
      <c r="B73" s="681" t="s">
        <v>868</v>
      </c>
      <c r="C73" s="684"/>
      <c r="D73" s="684"/>
      <c r="E73" s="684"/>
      <c r="F73" s="684"/>
      <c r="G73" s="682"/>
      <c r="H73" s="682"/>
      <c r="I73" s="682"/>
    </row>
    <row r="74" spans="2:9" ht="15.75">
      <c r="B74" s="681" t="s">
        <v>869</v>
      </c>
      <c r="C74" s="684"/>
      <c r="D74" s="684"/>
      <c r="E74" s="684"/>
      <c r="F74" s="684"/>
      <c r="G74" s="682"/>
      <c r="H74" s="682"/>
      <c r="I74" s="682"/>
    </row>
    <row r="75" spans="2:9" ht="15">
      <c r="B75" s="684"/>
      <c r="C75" s="684"/>
      <c r="D75" s="684"/>
      <c r="E75" s="684"/>
      <c r="F75" s="684"/>
      <c r="G75" s="682"/>
      <c r="H75" s="682"/>
      <c r="I75" s="682"/>
    </row>
    <row r="76" spans="2:9" ht="15.75">
      <c r="B76" s="683" t="s">
        <v>870</v>
      </c>
      <c r="C76" s="684"/>
      <c r="D76" s="684"/>
      <c r="E76" s="684"/>
      <c r="F76" s="684"/>
      <c r="G76" s="682"/>
      <c r="H76" s="682"/>
      <c r="I76" s="682"/>
    </row>
    <row r="77" spans="2:9" ht="15">
      <c r="B77" s="684"/>
      <c r="C77" s="684"/>
      <c r="D77" s="684"/>
      <c r="E77" s="684"/>
      <c r="F77" s="684"/>
      <c r="G77" s="682"/>
      <c r="H77" s="682"/>
      <c r="I77" s="682"/>
    </row>
    <row r="78" spans="2:9" ht="15.75">
      <c r="B78" s="681" t="str">
        <f>CONCATENATE("If the ",G14," municipal budget has not been published and has not been submitted to the County")</f>
        <v>If the 2014 municipal budget has not been published and has not been submitted to the County</v>
      </c>
      <c r="C78" s="684"/>
      <c r="D78" s="684"/>
      <c r="E78" s="684"/>
      <c r="F78" s="684"/>
      <c r="G78" s="682"/>
      <c r="H78" s="682"/>
      <c r="I78" s="682"/>
    </row>
    <row r="79" spans="2:9" ht="15.75">
      <c r="B79" s="681" t="s">
        <v>871</v>
      </c>
      <c r="C79" s="684"/>
      <c r="D79" s="684"/>
      <c r="E79" s="684"/>
      <c r="F79" s="684"/>
      <c r="G79" s="682"/>
      <c r="H79" s="682"/>
      <c r="I79" s="682"/>
    </row>
    <row r="80" spans="2:9" ht="15">
      <c r="B80" s="684"/>
      <c r="C80" s="684"/>
      <c r="D80" s="684"/>
      <c r="E80" s="684"/>
      <c r="F80" s="684"/>
      <c r="G80" s="682"/>
      <c r="H80" s="682"/>
      <c r="I80" s="682"/>
    </row>
    <row r="81" spans="2:9" ht="15.75">
      <c r="B81" s="683" t="s">
        <v>469</v>
      </c>
      <c r="C81" s="684"/>
      <c r="D81" s="684"/>
      <c r="E81" s="684"/>
      <c r="F81" s="684"/>
      <c r="G81" s="682"/>
      <c r="H81" s="682"/>
      <c r="I81" s="682"/>
    </row>
    <row r="82" spans="2:9" ht="15">
      <c r="B82" s="684"/>
      <c r="C82" s="684"/>
      <c r="D82" s="684"/>
      <c r="E82" s="684"/>
      <c r="F82" s="684"/>
      <c r="G82" s="682"/>
      <c r="H82" s="682"/>
      <c r="I82" s="682"/>
    </row>
    <row r="83" spans="2:9" ht="15.75">
      <c r="B83" s="681" t="s">
        <v>872</v>
      </c>
      <c r="C83" s="684"/>
      <c r="D83" s="684"/>
      <c r="E83" s="684"/>
      <c r="F83" s="684"/>
      <c r="G83" s="682"/>
      <c r="H83" s="682"/>
      <c r="I83" s="682"/>
    </row>
    <row r="84" spans="2:9" ht="15.75">
      <c r="B84" s="681" t="str">
        <f>CONCATENATE("Budget Year ",G14," is equal to or greater than that for Current Year Estimate ",E14,".")</f>
        <v>Budget Year 2014 is equal to or greater than that for Current Year Estimate 2013.</v>
      </c>
      <c r="C84" s="684"/>
      <c r="D84" s="684"/>
      <c r="E84" s="684"/>
      <c r="F84" s="684"/>
      <c r="G84" s="682"/>
      <c r="H84" s="682"/>
      <c r="I84" s="682"/>
    </row>
    <row r="85" spans="2:9" ht="15">
      <c r="B85" s="684"/>
      <c r="C85" s="684"/>
      <c r="D85" s="684"/>
      <c r="E85" s="684"/>
      <c r="F85" s="684"/>
      <c r="G85" s="682"/>
      <c r="H85" s="682"/>
      <c r="I85" s="682"/>
    </row>
    <row r="86" spans="2:9" ht="15.75">
      <c r="B86" s="681" t="s">
        <v>873</v>
      </c>
      <c r="C86" s="684"/>
      <c r="D86" s="684"/>
      <c r="E86" s="684"/>
      <c r="F86" s="684"/>
      <c r="G86" s="682"/>
      <c r="H86" s="682"/>
      <c r="I86" s="682"/>
    </row>
    <row r="87" spans="2:9" ht="15.75">
      <c r="B87" s="681" t="s">
        <v>874</v>
      </c>
      <c r="C87" s="684"/>
      <c r="D87" s="684"/>
      <c r="E87" s="684"/>
      <c r="F87" s="684"/>
      <c r="G87" s="682"/>
      <c r="H87" s="682"/>
      <c r="I87" s="682"/>
    </row>
    <row r="88" spans="2:9" ht="15.75">
      <c r="B88" s="681" t="s">
        <v>875</v>
      </c>
      <c r="C88" s="684"/>
      <c r="D88" s="684"/>
      <c r="E88" s="684"/>
      <c r="F88" s="684"/>
      <c r="G88" s="682"/>
      <c r="H88" s="682"/>
      <c r="I88" s="682"/>
    </row>
    <row r="89" spans="2:9" ht="15.75">
      <c r="B89" s="681" t="str">
        <f>CONCATENATE("purpose for the previous (",E14,") year.")</f>
        <v>purpose for the previous (2013) year.</v>
      </c>
      <c r="C89" s="684"/>
      <c r="D89" s="684"/>
      <c r="E89" s="684"/>
      <c r="F89" s="684"/>
      <c r="G89" s="682"/>
      <c r="H89" s="682"/>
      <c r="I89" s="682"/>
    </row>
    <row r="90" spans="2:9" ht="15">
      <c r="B90" s="684"/>
      <c r="C90" s="684"/>
      <c r="D90" s="684"/>
      <c r="E90" s="684"/>
      <c r="F90" s="684"/>
      <c r="G90" s="682"/>
      <c r="H90" s="682"/>
      <c r="I90" s="682"/>
    </row>
    <row r="91" spans="2:9" ht="15.75">
      <c r="B91" s="681" t="str">
        <f>CONCATENATE("Next, look to see if delinquent tax for ",G14," is budgeted. Often this line is budgeted at $0 or left")</f>
        <v>Next, look to see if delinquent tax for 2014 is budgeted. Often this line is budgeted at $0 or left</v>
      </c>
      <c r="C91" s="684"/>
      <c r="D91" s="684"/>
      <c r="E91" s="684"/>
      <c r="F91" s="684"/>
      <c r="G91" s="682"/>
      <c r="H91" s="682"/>
      <c r="I91" s="682"/>
    </row>
    <row r="92" spans="2:9" ht="15.75">
      <c r="B92" s="681" t="s">
        <v>876</v>
      </c>
      <c r="C92" s="684"/>
      <c r="D92" s="684"/>
      <c r="E92" s="684"/>
      <c r="F92" s="684"/>
      <c r="G92" s="682"/>
      <c r="H92" s="682"/>
      <c r="I92" s="682"/>
    </row>
    <row r="93" spans="2:9" ht="15.75">
      <c r="B93" s="681" t="s">
        <v>877</v>
      </c>
      <c r="C93" s="684"/>
      <c r="D93" s="684"/>
      <c r="E93" s="684"/>
      <c r="F93" s="684"/>
      <c r="G93" s="682"/>
      <c r="H93" s="682"/>
      <c r="I93" s="682"/>
    </row>
    <row r="94" spans="2:9" ht="15.75">
      <c r="B94" s="681" t="s">
        <v>878</v>
      </c>
      <c r="C94" s="684"/>
      <c r="D94" s="684"/>
      <c r="E94" s="684"/>
      <c r="F94" s="684"/>
      <c r="G94" s="682"/>
      <c r="H94" s="682"/>
      <c r="I94" s="682"/>
    </row>
    <row r="95" spans="2:9" ht="15">
      <c r="B95" s="684"/>
      <c r="C95" s="684"/>
      <c r="D95" s="684"/>
      <c r="E95" s="684"/>
      <c r="F95" s="684"/>
      <c r="G95" s="682"/>
      <c r="H95" s="682"/>
      <c r="I95" s="682"/>
    </row>
    <row r="96" spans="2:9" ht="15.75">
      <c r="B96" s="683" t="s">
        <v>879</v>
      </c>
      <c r="C96" s="684"/>
      <c r="D96" s="684"/>
      <c r="E96" s="684"/>
      <c r="F96" s="684"/>
      <c r="G96" s="682"/>
      <c r="H96" s="682"/>
      <c r="I96" s="682"/>
    </row>
    <row r="97" spans="2:9" ht="15">
      <c r="B97" s="684"/>
      <c r="C97" s="684"/>
      <c r="D97" s="684"/>
      <c r="E97" s="684"/>
      <c r="F97" s="684"/>
      <c r="G97" s="682"/>
      <c r="H97" s="682"/>
      <c r="I97" s="682"/>
    </row>
    <row r="98" spans="2:9" ht="15.75">
      <c r="B98" s="681" t="s">
        <v>880</v>
      </c>
      <c r="C98" s="684"/>
      <c r="D98" s="684"/>
      <c r="E98" s="684"/>
      <c r="F98" s="684"/>
      <c r="G98" s="682"/>
      <c r="H98" s="682"/>
      <c r="I98" s="682"/>
    </row>
    <row r="99" spans="2:9" ht="15.75">
      <c r="B99" s="681" t="s">
        <v>881</v>
      </c>
      <c r="C99" s="684"/>
      <c r="D99" s="684"/>
      <c r="E99" s="684"/>
      <c r="F99" s="684"/>
      <c r="G99" s="682"/>
      <c r="H99" s="682"/>
      <c r="I99" s="682"/>
    </row>
    <row r="100" spans="2:9" ht="15">
      <c r="B100" s="684"/>
      <c r="C100" s="684"/>
      <c r="D100" s="684"/>
      <c r="E100" s="684"/>
      <c r="F100" s="684"/>
      <c r="G100" s="682"/>
      <c r="H100" s="682"/>
      <c r="I100" s="682"/>
    </row>
    <row r="101" spans="2:9" ht="15.75">
      <c r="B101" s="681" t="s">
        <v>882</v>
      </c>
      <c r="C101" s="684"/>
      <c r="D101" s="684"/>
      <c r="E101" s="684"/>
      <c r="F101" s="684"/>
      <c r="G101" s="682"/>
      <c r="H101" s="682"/>
      <c r="I101" s="682"/>
    </row>
    <row r="102" spans="2:9" ht="15.75">
      <c r="B102" s="681" t="s">
        <v>883</v>
      </c>
      <c r="C102" s="684"/>
      <c r="D102" s="684"/>
      <c r="E102" s="684"/>
      <c r="F102" s="684"/>
      <c r="G102" s="682"/>
      <c r="H102" s="682"/>
      <c r="I102" s="682"/>
    </row>
    <row r="103" spans="2:9" ht="15.75">
      <c r="B103" s="681" t="s">
        <v>884</v>
      </c>
      <c r="C103" s="684"/>
      <c r="D103" s="684"/>
      <c r="E103" s="684"/>
      <c r="F103" s="684"/>
      <c r="G103" s="682"/>
      <c r="H103" s="682"/>
      <c r="I103" s="682"/>
    </row>
    <row r="104" spans="2:9" ht="15.75">
      <c r="B104" s="681" t="s">
        <v>943</v>
      </c>
      <c r="C104" s="684"/>
      <c r="D104" s="684"/>
      <c r="E104" s="684"/>
      <c r="F104" s="684"/>
      <c r="G104" s="682"/>
      <c r="H104" s="682"/>
      <c r="I104" s="682"/>
    </row>
    <row r="105" spans="2:9" ht="15.75">
      <c r="B105" s="741" t="s">
        <v>970</v>
      </c>
      <c r="C105" s="742"/>
      <c r="D105" s="742"/>
      <c r="E105" s="742"/>
      <c r="F105" s="742"/>
      <c r="G105" s="682"/>
      <c r="H105" s="682"/>
      <c r="I105" s="682"/>
    </row>
    <row r="108" ht="15">
      <c r="G108" s="70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81"/>
  <sheetViews>
    <sheetView zoomScalePageLayoutView="0" workbookViewId="0" topLeftCell="A58">
      <selection activeCell="J21" sqref="J2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Blue Rapids</v>
      </c>
      <c r="C1" s="64"/>
      <c r="D1" s="64"/>
      <c r="E1" s="161">
        <f>inputPrYr!$C$5</f>
        <v>2014</v>
      </c>
    </row>
    <row r="2" spans="2:5" ht="15.75">
      <c r="B2" s="64"/>
      <c r="C2" s="64"/>
      <c r="D2" s="64"/>
      <c r="E2" s="218"/>
    </row>
    <row r="3" spans="2:5" ht="15.75">
      <c r="B3" s="81"/>
      <c r="C3" s="223"/>
      <c r="D3" s="223"/>
      <c r="E3" s="163"/>
    </row>
    <row r="4" spans="2:5" ht="15.75">
      <c r="B4" s="81" t="s">
        <v>221</v>
      </c>
      <c r="C4" s="276"/>
      <c r="D4" s="276"/>
      <c r="E4" s="276"/>
    </row>
    <row r="5" spans="2:5" ht="15.75">
      <c r="B5" s="69" t="s">
        <v>164</v>
      </c>
      <c r="C5" s="713" t="s">
        <v>828</v>
      </c>
      <c r="D5" s="714" t="s">
        <v>829</v>
      </c>
      <c r="E5" s="174" t="s">
        <v>830</v>
      </c>
    </row>
    <row r="6" spans="2:5" ht="15.75">
      <c r="B6" s="450" t="str">
        <f>+(inputPrYr!B17)</f>
        <v>General</v>
      </c>
      <c r="C6" s="331" t="str">
        <f>CONCATENATE("Actual for ",$E$1-2,"")</f>
        <v>Actual for 2012</v>
      </c>
      <c r="D6" s="412" t="str">
        <f>CONCATENATE("Estimate for ",$E$1-1,"")</f>
        <v>Estimate for 2013</v>
      </c>
      <c r="E6" s="229" t="str">
        <f>CONCATENATE("Year for ",$E$1,"")</f>
        <v>Year for 2014</v>
      </c>
    </row>
    <row r="7" spans="2:5" ht="15.75">
      <c r="B7" s="178" t="s">
        <v>278</v>
      </c>
      <c r="C7" s="420">
        <v>135675.43</v>
      </c>
      <c r="D7" s="437">
        <f>C65</f>
        <v>160530.05999999994</v>
      </c>
      <c r="E7" s="277">
        <f>D65</f>
        <v>163457.05999999994</v>
      </c>
    </row>
    <row r="8" spans="2:16" ht="15.75">
      <c r="B8" s="278" t="s">
        <v>280</v>
      </c>
      <c r="C8" s="421"/>
      <c r="D8" s="437"/>
      <c r="E8" s="279"/>
      <c r="F8" s="805"/>
      <c r="G8" s="805"/>
      <c r="H8" s="805"/>
      <c r="I8" s="805"/>
      <c r="J8" s="805"/>
      <c r="K8" s="805"/>
      <c r="L8" s="805"/>
      <c r="M8" s="805"/>
      <c r="N8" s="805"/>
      <c r="O8" s="805"/>
      <c r="P8" s="805"/>
    </row>
    <row r="9" spans="2:16" ht="15.75">
      <c r="B9" s="178" t="s">
        <v>165</v>
      </c>
      <c r="C9" s="420">
        <v>207314.86</v>
      </c>
      <c r="D9" s="437">
        <f>IF(inputPrYr!H16&gt;0,inputPrYr!G17,inputPrYr!E17)</f>
        <v>229701</v>
      </c>
      <c r="E9" s="280" t="s">
        <v>152</v>
      </c>
      <c r="F9" s="782"/>
      <c r="G9" s="805"/>
      <c r="H9" s="805"/>
      <c r="I9" s="805"/>
      <c r="J9" s="805"/>
      <c r="K9" s="805"/>
      <c r="L9" s="805"/>
      <c r="M9" s="805"/>
      <c r="N9" s="805"/>
      <c r="O9" s="805"/>
      <c r="P9" s="805"/>
    </row>
    <row r="10" spans="2:16" ht="15.75">
      <c r="B10" s="178" t="s">
        <v>166</v>
      </c>
      <c r="C10" s="420">
        <v>7740.94</v>
      </c>
      <c r="D10" s="422">
        <v>0</v>
      </c>
      <c r="E10" s="281">
        <v>0</v>
      </c>
      <c r="F10" s="772"/>
      <c r="G10" s="805"/>
      <c r="H10" s="805"/>
      <c r="I10" s="805"/>
      <c r="J10" s="805"/>
      <c r="K10" s="805"/>
      <c r="L10" s="805"/>
      <c r="M10" s="805"/>
      <c r="N10" s="805"/>
      <c r="O10" s="805"/>
      <c r="P10" s="805"/>
    </row>
    <row r="11" spans="2:16" ht="15.75">
      <c r="B11" s="178" t="s">
        <v>167</v>
      </c>
      <c r="C11" s="420">
        <v>41162.64</v>
      </c>
      <c r="D11" s="422">
        <v>42910</v>
      </c>
      <c r="E11" s="282">
        <f>Mvalloc!D9</f>
        <v>43812</v>
      </c>
      <c r="F11" s="782"/>
      <c r="G11" s="805"/>
      <c r="H11" s="805"/>
      <c r="I11" s="805"/>
      <c r="J11" s="805"/>
      <c r="K11" s="805"/>
      <c r="L11" s="805"/>
      <c r="M11" s="805"/>
      <c r="N11" s="805"/>
      <c r="O11" s="805"/>
      <c r="P11" s="805"/>
    </row>
    <row r="12" spans="2:16" ht="15.75">
      <c r="B12" s="178" t="s">
        <v>168</v>
      </c>
      <c r="C12" s="420">
        <v>1210.8</v>
      </c>
      <c r="D12" s="422">
        <v>1180</v>
      </c>
      <c r="E12" s="282">
        <f>Mvalloc!E9</f>
        <v>1196</v>
      </c>
      <c r="F12" s="782"/>
      <c r="G12" s="805"/>
      <c r="H12" s="805"/>
      <c r="I12" s="805"/>
      <c r="J12" s="805"/>
      <c r="K12" s="805"/>
      <c r="L12" s="805"/>
      <c r="M12" s="805"/>
      <c r="N12" s="805"/>
      <c r="O12" s="805"/>
      <c r="P12" s="805"/>
    </row>
    <row r="13" spans="2:16" ht="15.75">
      <c r="B13" s="283" t="s">
        <v>217</v>
      </c>
      <c r="C13" s="420">
        <v>697.73</v>
      </c>
      <c r="D13" s="422">
        <v>661</v>
      </c>
      <c r="E13" s="282">
        <f>Mvalloc!F9</f>
        <v>741</v>
      </c>
      <c r="F13" s="782"/>
      <c r="G13" s="805"/>
      <c r="H13" s="805"/>
      <c r="I13" s="805"/>
      <c r="J13" s="805"/>
      <c r="K13" s="805"/>
      <c r="L13" s="805"/>
      <c r="M13" s="805"/>
      <c r="N13" s="805"/>
      <c r="O13" s="805"/>
      <c r="P13" s="805"/>
    </row>
    <row r="14" spans="2:16" ht="15.75">
      <c r="B14" s="283" t="s">
        <v>259</v>
      </c>
      <c r="C14" s="420">
        <v>6830.31</v>
      </c>
      <c r="D14" s="422">
        <v>6738</v>
      </c>
      <c r="E14" s="282">
        <f>inputOth!E16</f>
        <v>7398</v>
      </c>
      <c r="F14" s="772"/>
      <c r="G14" s="805"/>
      <c r="H14" s="805"/>
      <c r="I14" s="805"/>
      <c r="J14" s="805"/>
      <c r="K14" s="805"/>
      <c r="L14" s="805"/>
      <c r="M14" s="805"/>
      <c r="N14" s="805"/>
      <c r="O14" s="805"/>
      <c r="P14" s="805"/>
    </row>
    <row r="15" spans="2:16" ht="15.75">
      <c r="B15" s="283" t="s">
        <v>120</v>
      </c>
      <c r="C15" s="420">
        <v>0</v>
      </c>
      <c r="D15" s="422">
        <v>0</v>
      </c>
      <c r="E15" s="282">
        <f>inputOth!E36</f>
        <v>0</v>
      </c>
      <c r="F15" s="772"/>
      <c r="G15" s="805"/>
      <c r="H15" s="805"/>
      <c r="I15" s="805"/>
      <c r="J15" s="805"/>
      <c r="K15" s="805"/>
      <c r="L15" s="805"/>
      <c r="M15" s="805"/>
      <c r="N15" s="805"/>
      <c r="O15" s="805"/>
      <c r="P15" s="805"/>
    </row>
    <row r="16" spans="2:16" ht="15.75">
      <c r="B16" s="283" t="s">
        <v>122</v>
      </c>
      <c r="C16" s="420">
        <v>0</v>
      </c>
      <c r="D16" s="422">
        <v>0</v>
      </c>
      <c r="E16" s="282">
        <f>inputOth!E37</f>
        <v>0</v>
      </c>
      <c r="F16" s="772"/>
      <c r="G16" s="805"/>
      <c r="H16" s="805"/>
      <c r="I16" s="805"/>
      <c r="J16" s="805"/>
      <c r="K16" s="805"/>
      <c r="L16" s="805"/>
      <c r="M16" s="805"/>
      <c r="N16" s="805"/>
      <c r="O16" s="805"/>
      <c r="P16" s="805"/>
    </row>
    <row r="17" spans="2:16" ht="15.75">
      <c r="B17" s="767" t="s">
        <v>255</v>
      </c>
      <c r="C17" s="420">
        <v>33967.64</v>
      </c>
      <c r="D17" s="422">
        <v>34000</v>
      </c>
      <c r="E17" s="422">
        <v>34200</v>
      </c>
      <c r="F17" s="772"/>
      <c r="G17" s="805"/>
      <c r="H17" s="805"/>
      <c r="I17" s="805"/>
      <c r="J17" s="805"/>
      <c r="K17" s="805"/>
      <c r="L17" s="805"/>
      <c r="M17" s="805"/>
      <c r="N17" s="805"/>
      <c r="O17" s="805"/>
      <c r="P17" s="805"/>
    </row>
    <row r="18" spans="2:16" ht="15.75">
      <c r="B18" s="284" t="s">
        <v>169</v>
      </c>
      <c r="C18" s="420">
        <v>2864.05</v>
      </c>
      <c r="D18" s="422">
        <v>3000</v>
      </c>
      <c r="E18" s="422">
        <v>3036</v>
      </c>
      <c r="F18" s="782"/>
      <c r="G18" s="805"/>
      <c r="H18" s="805"/>
      <c r="I18" s="805"/>
      <c r="J18" s="805"/>
      <c r="K18" s="805"/>
      <c r="L18" s="805"/>
      <c r="M18" s="805"/>
      <c r="N18" s="805"/>
      <c r="O18" s="805"/>
      <c r="P18" s="805"/>
    </row>
    <row r="19" spans="2:16" ht="15.75">
      <c r="B19" s="438" t="s">
        <v>254</v>
      </c>
      <c r="C19" s="420">
        <v>132404.87</v>
      </c>
      <c r="D19" s="422">
        <v>133500</v>
      </c>
      <c r="E19" s="422">
        <v>134000</v>
      </c>
      <c r="F19" s="772"/>
      <c r="G19" s="805"/>
      <c r="H19" s="805"/>
      <c r="I19" s="805"/>
      <c r="J19" s="805"/>
      <c r="K19" s="805"/>
      <c r="L19" s="805"/>
      <c r="M19" s="805"/>
      <c r="N19" s="805"/>
      <c r="O19" s="805"/>
      <c r="P19" s="805"/>
    </row>
    <row r="20" spans="2:16" ht="15.75">
      <c r="B20" s="284" t="s">
        <v>1002</v>
      </c>
      <c r="C20" s="420">
        <v>12000</v>
      </c>
      <c r="D20" s="422">
        <v>12000</v>
      </c>
      <c r="E20" s="422">
        <v>12000</v>
      </c>
      <c r="F20" s="790"/>
      <c r="G20" s="805"/>
      <c r="H20" s="805"/>
      <c r="I20" s="805"/>
      <c r="J20" s="805"/>
      <c r="K20" s="805"/>
      <c r="L20" s="805"/>
      <c r="M20" s="805"/>
      <c r="N20" s="805"/>
      <c r="O20" s="805"/>
      <c r="P20" s="805"/>
    </row>
    <row r="21" spans="2:16" ht="15.75">
      <c r="B21" s="284" t="s">
        <v>1003</v>
      </c>
      <c r="C21" s="420">
        <v>550</v>
      </c>
      <c r="D21" s="422">
        <v>1200</v>
      </c>
      <c r="E21" s="422">
        <v>1250</v>
      </c>
      <c r="F21" s="805"/>
      <c r="G21" s="805"/>
      <c r="H21" s="805"/>
      <c r="I21" s="805"/>
      <c r="J21" s="805"/>
      <c r="K21" s="805"/>
      <c r="L21" s="805"/>
      <c r="M21" s="805"/>
      <c r="N21" s="805"/>
      <c r="O21" s="805"/>
      <c r="P21" s="805"/>
    </row>
    <row r="22" spans="2:16" ht="15.75">
      <c r="B22" s="284" t="s">
        <v>1004</v>
      </c>
      <c r="C22" s="420">
        <v>500</v>
      </c>
      <c r="D22" s="422">
        <v>500</v>
      </c>
      <c r="E22" s="422">
        <v>500</v>
      </c>
      <c r="F22" s="772"/>
      <c r="G22" s="805"/>
      <c r="H22" s="805"/>
      <c r="I22" s="805"/>
      <c r="J22" s="805"/>
      <c r="K22" s="805"/>
      <c r="L22" s="805"/>
      <c r="M22" s="805"/>
      <c r="N22" s="805"/>
      <c r="O22" s="805"/>
      <c r="P22" s="805"/>
    </row>
    <row r="23" spans="2:16" ht="15.75">
      <c r="B23" s="284" t="s">
        <v>1005</v>
      </c>
      <c r="C23" s="420">
        <v>300</v>
      </c>
      <c r="D23" s="422">
        <v>350</v>
      </c>
      <c r="E23" s="422">
        <v>425</v>
      </c>
      <c r="F23" s="772"/>
      <c r="G23" s="805"/>
      <c r="H23" s="805"/>
      <c r="I23" s="805"/>
      <c r="J23" s="805"/>
      <c r="K23" s="805"/>
      <c r="L23" s="805"/>
      <c r="M23" s="805"/>
      <c r="N23" s="805"/>
      <c r="O23" s="805"/>
      <c r="P23" s="805"/>
    </row>
    <row r="24" spans="2:16" ht="15.75">
      <c r="B24" s="41" t="s">
        <v>1006</v>
      </c>
      <c r="C24" s="420">
        <v>60</v>
      </c>
      <c r="D24" s="422">
        <v>420</v>
      </c>
      <c r="E24" s="422">
        <v>420</v>
      </c>
      <c r="F24" s="772"/>
      <c r="G24" s="805"/>
      <c r="H24" s="805"/>
      <c r="I24" s="805"/>
      <c r="J24" s="805"/>
      <c r="K24" s="805"/>
      <c r="L24" s="805"/>
      <c r="M24" s="805"/>
      <c r="N24" s="805"/>
      <c r="O24" s="805"/>
      <c r="P24" s="805"/>
    </row>
    <row r="25" spans="2:16" ht="15.75">
      <c r="B25" s="284" t="s">
        <v>1007</v>
      </c>
      <c r="C25" s="420">
        <v>1195</v>
      </c>
      <c r="D25" s="422">
        <v>1800</v>
      </c>
      <c r="E25" s="422">
        <v>2000</v>
      </c>
      <c r="F25" s="772"/>
      <c r="G25" s="805"/>
      <c r="H25" s="805"/>
      <c r="I25" s="805"/>
      <c r="J25" s="805"/>
      <c r="K25" s="805"/>
      <c r="L25" s="805"/>
      <c r="M25" s="805"/>
      <c r="N25" s="805"/>
      <c r="O25" s="805"/>
      <c r="P25" s="805"/>
    </row>
    <row r="26" spans="2:16" ht="15.75">
      <c r="B26" s="284" t="s">
        <v>1008</v>
      </c>
      <c r="C26" s="418">
        <v>120</v>
      </c>
      <c r="D26" s="422">
        <v>0</v>
      </c>
      <c r="E26" s="422">
        <v>0</v>
      </c>
      <c r="F26" s="772"/>
      <c r="G26" s="805"/>
      <c r="H26" s="805"/>
      <c r="I26" s="805"/>
      <c r="J26" s="805"/>
      <c r="K26" s="805"/>
      <c r="L26" s="805"/>
      <c r="M26" s="805"/>
      <c r="N26" s="805"/>
      <c r="O26" s="805"/>
      <c r="P26" s="805"/>
    </row>
    <row r="27" spans="2:16" ht="15.75">
      <c r="B27" s="284" t="s">
        <v>1009</v>
      </c>
      <c r="C27" s="418">
        <v>22263.23</v>
      </c>
      <c r="D27" s="422">
        <v>24000</v>
      </c>
      <c r="E27" s="422">
        <v>24700</v>
      </c>
      <c r="F27" s="782"/>
      <c r="G27" s="805"/>
      <c r="H27" s="805"/>
      <c r="I27" s="805"/>
      <c r="J27" s="805"/>
      <c r="K27" s="805"/>
      <c r="L27" s="805"/>
      <c r="M27" s="805"/>
      <c r="N27" s="805"/>
      <c r="O27" s="805"/>
      <c r="P27" s="805"/>
    </row>
    <row r="28" spans="2:16" ht="15.75">
      <c r="B28" s="284" t="s">
        <v>1010</v>
      </c>
      <c r="C28" s="420">
        <v>1225</v>
      </c>
      <c r="D28" s="422">
        <v>1500</v>
      </c>
      <c r="E28" s="422">
        <v>1500</v>
      </c>
      <c r="F28" s="782"/>
      <c r="G28" s="805"/>
      <c r="H28" s="805"/>
      <c r="I28" s="805"/>
      <c r="J28" s="805"/>
      <c r="K28" s="805"/>
      <c r="L28" s="805"/>
      <c r="M28" s="805"/>
      <c r="N28" s="805"/>
      <c r="O28" s="805"/>
      <c r="P28" s="805"/>
    </row>
    <row r="29" spans="2:16" ht="15.75">
      <c r="B29" s="284" t="s">
        <v>1083</v>
      </c>
      <c r="C29" s="420">
        <v>100</v>
      </c>
      <c r="D29" s="422">
        <v>0</v>
      </c>
      <c r="E29" s="422">
        <v>0</v>
      </c>
      <c r="F29" s="782"/>
      <c r="G29" s="805"/>
      <c r="H29" s="805"/>
      <c r="I29" s="805"/>
      <c r="J29" s="805"/>
      <c r="K29" s="805"/>
      <c r="L29" s="805"/>
      <c r="M29" s="805"/>
      <c r="N29" s="805"/>
      <c r="O29" s="805"/>
      <c r="P29" s="805"/>
    </row>
    <row r="30" spans="2:16" ht="15.75">
      <c r="B30" s="284" t="s">
        <v>1011</v>
      </c>
      <c r="C30" s="420">
        <v>2927.52</v>
      </c>
      <c r="D30" s="422">
        <v>3200</v>
      </c>
      <c r="E30" s="422">
        <v>3400</v>
      </c>
      <c r="F30" s="772"/>
      <c r="G30" s="805"/>
      <c r="H30" s="805"/>
      <c r="I30" s="805"/>
      <c r="J30" s="805"/>
      <c r="K30" s="805"/>
      <c r="L30" s="805"/>
      <c r="M30" s="805"/>
      <c r="N30" s="805"/>
      <c r="O30" s="805"/>
      <c r="P30" s="805"/>
    </row>
    <row r="31" spans="2:16" ht="15.75">
      <c r="B31" s="285" t="s">
        <v>1012</v>
      </c>
      <c r="C31" s="420">
        <v>175</v>
      </c>
      <c r="D31" s="422">
        <v>450</v>
      </c>
      <c r="E31" s="422">
        <v>450</v>
      </c>
      <c r="F31" s="805"/>
      <c r="G31" s="805"/>
      <c r="H31" s="805"/>
      <c r="I31" s="805"/>
      <c r="J31" s="805"/>
      <c r="K31" s="805"/>
      <c r="L31" s="805"/>
      <c r="M31" s="805"/>
      <c r="N31" s="805"/>
      <c r="O31" s="805"/>
      <c r="P31" s="805"/>
    </row>
    <row r="32" spans="2:16" ht="15.75">
      <c r="B32" s="285" t="s">
        <v>1013</v>
      </c>
      <c r="C32" s="420">
        <v>18786.64</v>
      </c>
      <c r="D32" s="422">
        <v>0</v>
      </c>
      <c r="E32" s="422">
        <v>0</v>
      </c>
      <c r="F32" s="772"/>
      <c r="G32" s="805"/>
      <c r="H32" s="805"/>
      <c r="I32" s="805"/>
      <c r="J32" s="805"/>
      <c r="K32" s="805"/>
      <c r="L32" s="805"/>
      <c r="M32" s="805"/>
      <c r="N32" s="805"/>
      <c r="O32" s="805"/>
      <c r="P32" s="805"/>
    </row>
    <row r="33" spans="2:16" ht="15.75">
      <c r="B33" s="285" t="s">
        <v>1015</v>
      </c>
      <c r="C33" s="420">
        <v>760</v>
      </c>
      <c r="D33" s="422">
        <v>0</v>
      </c>
      <c r="E33" s="422">
        <v>0</v>
      </c>
      <c r="F33" s="772"/>
      <c r="G33" s="772"/>
      <c r="H33" s="772"/>
      <c r="I33" s="772"/>
      <c r="J33" s="772"/>
      <c r="K33" s="772"/>
      <c r="L33" s="772"/>
      <c r="M33" s="772"/>
      <c r="N33" s="772"/>
      <c r="O33" s="805"/>
      <c r="P33" s="805"/>
    </row>
    <row r="34" spans="2:16" ht="15.75">
      <c r="B34" s="285" t="s">
        <v>1016</v>
      </c>
      <c r="C34" s="420">
        <v>434</v>
      </c>
      <c r="D34" s="422">
        <v>0</v>
      </c>
      <c r="E34" s="422">
        <v>0</v>
      </c>
      <c r="F34" s="772"/>
      <c r="G34" s="772"/>
      <c r="H34" s="772"/>
      <c r="I34" s="772"/>
      <c r="J34" s="772"/>
      <c r="K34" s="772"/>
      <c r="L34" s="772"/>
      <c r="M34" s="772"/>
      <c r="N34" s="772"/>
      <c r="O34" s="805"/>
      <c r="P34" s="805"/>
    </row>
    <row r="35" spans="2:16" ht="15.75">
      <c r="B35" s="285" t="s">
        <v>1017</v>
      </c>
      <c r="C35" s="420">
        <v>140000</v>
      </c>
      <c r="D35" s="422">
        <v>160000</v>
      </c>
      <c r="E35" s="422">
        <v>162500</v>
      </c>
      <c r="F35" s="806"/>
      <c r="G35" s="806"/>
      <c r="H35" s="806"/>
      <c r="I35" s="806"/>
      <c r="J35" s="806"/>
      <c r="K35" s="806"/>
      <c r="L35" s="806"/>
      <c r="M35" s="806"/>
      <c r="N35" s="806"/>
      <c r="O35" s="805"/>
      <c r="P35" s="805"/>
    </row>
    <row r="36" spans="2:16" ht="15.75">
      <c r="B36" s="285"/>
      <c r="C36" s="420"/>
      <c r="D36" s="422"/>
      <c r="E36" s="422"/>
      <c r="F36" s="806"/>
      <c r="G36" s="806"/>
      <c r="H36" s="806"/>
      <c r="I36" s="806"/>
      <c r="J36" s="806"/>
      <c r="K36" s="806"/>
      <c r="L36" s="806"/>
      <c r="M36" s="806"/>
      <c r="N36" s="806"/>
      <c r="O36" s="805"/>
      <c r="P36" s="805"/>
    </row>
    <row r="37" spans="2:16" ht="15.75">
      <c r="B37" s="285" t="s">
        <v>170</v>
      </c>
      <c r="C37" s="420">
        <v>4306.12</v>
      </c>
      <c r="D37" s="422">
        <v>4900</v>
      </c>
      <c r="E37" s="422">
        <v>5250</v>
      </c>
      <c r="F37" s="806"/>
      <c r="G37" s="806"/>
      <c r="H37" s="806"/>
      <c r="I37" s="806"/>
      <c r="J37" s="806"/>
      <c r="K37" s="806"/>
      <c r="L37" s="806"/>
      <c r="M37" s="806"/>
      <c r="N37" s="806"/>
      <c r="O37" s="805"/>
      <c r="P37" s="805"/>
    </row>
    <row r="38" spans="2:16" ht="15.75">
      <c r="B38" s="191" t="s">
        <v>256</v>
      </c>
      <c r="C38" s="418">
        <v>2046.43</v>
      </c>
      <c r="D38" s="422">
        <v>7500</v>
      </c>
      <c r="E38" s="422">
        <v>7500</v>
      </c>
      <c r="F38" s="806"/>
      <c r="G38" s="806"/>
      <c r="H38" s="806"/>
      <c r="I38" s="806"/>
      <c r="J38" s="806"/>
      <c r="K38" s="806"/>
      <c r="L38" s="806"/>
      <c r="M38" s="806"/>
      <c r="N38" s="806"/>
      <c r="O38" s="805"/>
      <c r="P38" s="805"/>
    </row>
    <row r="39" spans="2:16" ht="15.75">
      <c r="B39" s="191" t="s">
        <v>646</v>
      </c>
      <c r="C39" s="411">
        <f>IF(C40*0.1&lt;C38,"Exceed 10% Rule","")</f>
      </c>
      <c r="D39" s="423">
        <f>IF(D40*0.1&lt;D38,"Exceed 10% Rule","")</f>
      </c>
      <c r="E39" s="286">
        <f>IF(E40*0.1+E71&lt;E38,"Exceed 10% Rule","")</f>
      </c>
      <c r="F39" s="805"/>
      <c r="G39" s="805"/>
      <c r="H39" s="805"/>
      <c r="I39" s="805"/>
      <c r="J39" s="805"/>
      <c r="K39" s="805"/>
      <c r="L39" s="805"/>
      <c r="M39" s="805"/>
      <c r="N39" s="805"/>
      <c r="O39" s="805"/>
      <c r="P39" s="805"/>
    </row>
    <row r="40" spans="2:16" ht="15.75">
      <c r="B40" s="287" t="s">
        <v>171</v>
      </c>
      <c r="C40" s="417">
        <f>SUM(C9:C38)</f>
        <v>641942.78</v>
      </c>
      <c r="D40" s="424">
        <f>SUM(D9:D38)</f>
        <v>669510</v>
      </c>
      <c r="E40" s="288">
        <f>SUM(E9:E38)</f>
        <v>446278</v>
      </c>
      <c r="F40" s="805"/>
      <c r="G40" s="805"/>
      <c r="H40" s="805"/>
      <c r="I40" s="805"/>
      <c r="J40" s="805"/>
      <c r="K40" s="805"/>
      <c r="L40" s="805"/>
      <c r="M40" s="805"/>
      <c r="N40" s="805"/>
      <c r="O40" s="805"/>
      <c r="P40" s="805"/>
    </row>
    <row r="41" spans="2:16" ht="15.75">
      <c r="B41" s="287" t="s">
        <v>172</v>
      </c>
      <c r="C41" s="417">
        <f>C7+C40</f>
        <v>777618.21</v>
      </c>
      <c r="D41" s="424">
        <f>D7+D40</f>
        <v>830040.0599999999</v>
      </c>
      <c r="E41" s="289">
        <f>E7+E40</f>
        <v>609735.0599999999</v>
      </c>
      <c r="F41" s="805"/>
      <c r="G41" s="805"/>
      <c r="H41" s="805"/>
      <c r="I41" s="805"/>
      <c r="J41" s="805"/>
      <c r="K41" s="805"/>
      <c r="L41" s="805"/>
      <c r="M41" s="805"/>
      <c r="N41" s="805"/>
      <c r="O41" s="805"/>
      <c r="P41" s="805"/>
    </row>
    <row r="42" spans="2:16" ht="15.75">
      <c r="B42" s="278" t="s">
        <v>173</v>
      </c>
      <c r="C42" s="419"/>
      <c r="D42" s="425"/>
      <c r="E42" s="282"/>
      <c r="F42" s="805"/>
      <c r="G42" s="805"/>
      <c r="H42" s="805"/>
      <c r="I42" s="805"/>
      <c r="J42" s="805"/>
      <c r="K42" s="805"/>
      <c r="L42" s="805"/>
      <c r="M42" s="805"/>
      <c r="N42" s="805"/>
      <c r="O42" s="805"/>
      <c r="P42" s="805"/>
    </row>
    <row r="43" spans="2:16" ht="15.75">
      <c r="B43" s="290" t="s">
        <v>1064</v>
      </c>
      <c r="C43" s="418">
        <f>'general-detail'!B13</f>
        <v>95621.43</v>
      </c>
      <c r="D43" s="418">
        <f>'general-detail'!C13</f>
        <v>100659</v>
      </c>
      <c r="E43" s="422">
        <f>'general-detail'!D13</f>
        <v>265300</v>
      </c>
      <c r="F43" s="782"/>
      <c r="G43" s="805"/>
      <c r="H43" s="805"/>
      <c r="I43" s="805"/>
      <c r="J43" s="805"/>
      <c r="K43" s="805"/>
      <c r="L43" s="805"/>
      <c r="M43" s="805"/>
      <c r="N43" s="805"/>
      <c r="O43" s="805"/>
      <c r="P43" s="805"/>
    </row>
    <row r="44" spans="2:16" ht="15.75">
      <c r="B44" s="290"/>
      <c r="C44" s="418"/>
      <c r="D44" s="620"/>
      <c r="E44" s="620"/>
      <c r="F44" s="805"/>
      <c r="G44" s="805"/>
      <c r="H44" s="805"/>
      <c r="I44" s="805"/>
      <c r="J44" s="805"/>
      <c r="K44" s="805"/>
      <c r="L44" s="805"/>
      <c r="M44" s="805"/>
      <c r="N44" s="805"/>
      <c r="O44" s="805"/>
      <c r="P44" s="805"/>
    </row>
    <row r="45" spans="2:16" ht="15.75">
      <c r="B45" s="290" t="s">
        <v>1065</v>
      </c>
      <c r="C45" s="418">
        <f>'general-detail'!B20</f>
        <v>128815.43</v>
      </c>
      <c r="D45" s="418">
        <f>'general-detail'!C20</f>
        <v>172529</v>
      </c>
      <c r="E45" s="422">
        <f>'general-detail'!D20</f>
        <v>181999</v>
      </c>
      <c r="F45" s="805"/>
      <c r="G45" s="805"/>
      <c r="H45" s="805"/>
      <c r="I45" s="805"/>
      <c r="J45" s="805"/>
      <c r="K45" s="805"/>
      <c r="L45" s="805"/>
      <c r="M45" s="805"/>
      <c r="N45" s="805"/>
      <c r="O45" s="805"/>
      <c r="P45" s="805"/>
    </row>
    <row r="46" spans="2:16" ht="15.75">
      <c r="B46" s="623"/>
      <c r="C46" s="418"/>
      <c r="D46" s="620"/>
      <c r="E46" s="620"/>
      <c r="F46" s="805"/>
      <c r="G46" s="805"/>
      <c r="H46" s="805"/>
      <c r="I46" s="805"/>
      <c r="J46" s="805"/>
      <c r="K46" s="805"/>
      <c r="L46" s="805"/>
      <c r="M46" s="805"/>
      <c r="N46" s="805"/>
      <c r="O46" s="805"/>
      <c r="P46" s="805"/>
    </row>
    <row r="47" spans="2:16" ht="15.75">
      <c r="B47" s="623" t="s">
        <v>1066</v>
      </c>
      <c r="C47" s="418">
        <f>'general-detail'!B27</f>
        <v>40365.24</v>
      </c>
      <c r="D47" s="418">
        <f>'general-detail'!C27</f>
        <v>43300</v>
      </c>
      <c r="E47" s="422">
        <f>'general-detail'!D27</f>
        <v>44100</v>
      </c>
      <c r="F47" s="805"/>
      <c r="G47" s="805"/>
      <c r="H47" s="805"/>
      <c r="I47" s="805"/>
      <c r="J47" s="805"/>
      <c r="K47" s="805"/>
      <c r="L47" s="805"/>
      <c r="M47" s="805"/>
      <c r="N47" s="805"/>
      <c r="O47" s="805"/>
      <c r="P47" s="805"/>
    </row>
    <row r="48" spans="2:16" ht="15.75">
      <c r="B48" s="623"/>
      <c r="C48" s="418"/>
      <c r="D48" s="620"/>
      <c r="E48" s="620"/>
      <c r="F48" s="805"/>
      <c r="G48" s="805"/>
      <c r="H48" s="805"/>
      <c r="I48" s="805"/>
      <c r="J48" s="805"/>
      <c r="K48" s="805"/>
      <c r="L48" s="805"/>
      <c r="M48" s="805"/>
      <c r="N48" s="805"/>
      <c r="O48" s="805"/>
      <c r="P48" s="805"/>
    </row>
    <row r="49" spans="2:16" ht="15.75">
      <c r="B49" s="623" t="s">
        <v>1067</v>
      </c>
      <c r="C49" s="418">
        <f>'general-detail'!B33</f>
        <v>121394.71999999999</v>
      </c>
      <c r="D49" s="418">
        <f>'general-detail'!C33</f>
        <v>128329</v>
      </c>
      <c r="E49" s="422">
        <f>'general-detail'!D33</f>
        <v>127000</v>
      </c>
      <c r="F49" s="805"/>
      <c r="G49" s="805"/>
      <c r="H49" s="805"/>
      <c r="I49" s="805"/>
      <c r="J49" s="805"/>
      <c r="K49" s="805"/>
      <c r="L49" s="805"/>
      <c r="M49" s="805"/>
      <c r="N49" s="805"/>
      <c r="O49" s="805"/>
      <c r="P49" s="805"/>
    </row>
    <row r="50" spans="2:16" ht="15.75">
      <c r="B50" s="623"/>
      <c r="C50" s="418"/>
      <c r="D50" s="620"/>
      <c r="E50" s="620"/>
      <c r="F50" s="805"/>
      <c r="G50" s="805"/>
      <c r="H50" s="805"/>
      <c r="I50" s="805"/>
      <c r="J50" s="805"/>
      <c r="K50" s="805"/>
      <c r="L50" s="805"/>
      <c r="M50" s="805"/>
      <c r="N50" s="805"/>
      <c r="O50" s="805"/>
      <c r="P50" s="805"/>
    </row>
    <row r="51" spans="2:16" ht="15.75">
      <c r="B51" s="623" t="s">
        <v>1068</v>
      </c>
      <c r="C51" s="418">
        <f>'general-detail'!B40</f>
        <v>115674.89000000001</v>
      </c>
      <c r="D51" s="418">
        <f>'general-detail'!C40</f>
        <v>121740</v>
      </c>
      <c r="E51" s="422">
        <f>'general-detail'!D40</f>
        <v>127060</v>
      </c>
      <c r="F51" s="805"/>
      <c r="G51" s="805"/>
      <c r="H51" s="805"/>
      <c r="I51" s="805"/>
      <c r="J51" s="805"/>
      <c r="K51" s="805"/>
      <c r="L51" s="805"/>
      <c r="M51" s="805"/>
      <c r="N51" s="805"/>
      <c r="O51" s="805"/>
      <c r="P51" s="805"/>
    </row>
    <row r="52" spans="2:16" ht="15.75">
      <c r="B52" s="623"/>
      <c r="C52" s="418"/>
      <c r="D52" s="620"/>
      <c r="E52" s="620"/>
      <c r="F52" s="805"/>
      <c r="G52" s="805"/>
      <c r="H52" s="805"/>
      <c r="I52" s="805"/>
      <c r="J52" s="805"/>
      <c r="K52" s="805"/>
      <c r="L52" s="805"/>
      <c r="M52" s="805"/>
      <c r="N52" s="805"/>
      <c r="O52" s="805"/>
      <c r="P52" s="805"/>
    </row>
    <row r="53" spans="2:16" ht="15.75">
      <c r="B53" s="623" t="s">
        <v>1069</v>
      </c>
      <c r="C53" s="418">
        <f>'general-detail'!B47</f>
        <v>5200</v>
      </c>
      <c r="D53" s="418">
        <f>'general-detail'!C47</f>
        <v>5600</v>
      </c>
      <c r="E53" s="422">
        <f>'general-detail'!D47</f>
        <v>5700</v>
      </c>
      <c r="F53" s="805"/>
      <c r="G53" s="805"/>
      <c r="H53" s="805"/>
      <c r="I53" s="805"/>
      <c r="J53" s="805"/>
      <c r="K53" s="805"/>
      <c r="L53" s="805"/>
      <c r="M53" s="805"/>
      <c r="N53" s="805"/>
      <c r="O53" s="805"/>
      <c r="P53" s="805"/>
    </row>
    <row r="54" spans="2:16" ht="15.75">
      <c r="B54" s="627"/>
      <c r="C54" s="418"/>
      <c r="D54" s="620"/>
      <c r="E54" s="620"/>
      <c r="F54" s="805"/>
      <c r="G54" s="805"/>
      <c r="H54" s="805"/>
      <c r="I54" s="805"/>
      <c r="J54" s="805"/>
      <c r="K54" s="805"/>
      <c r="L54" s="805"/>
      <c r="M54" s="805"/>
      <c r="N54" s="805"/>
      <c r="O54" s="805"/>
      <c r="P54" s="805"/>
    </row>
    <row r="55" spans="2:16" ht="15.75">
      <c r="B55" s="627" t="s">
        <v>1070</v>
      </c>
      <c r="C55" s="418">
        <f>'general-detail'!B48</f>
        <v>12000</v>
      </c>
      <c r="D55" s="418">
        <f>'general-detail'!C48</f>
        <v>12000</v>
      </c>
      <c r="E55" s="422">
        <f>'general-detail'!D48</f>
        <v>12000</v>
      </c>
      <c r="F55" s="805"/>
      <c r="G55" s="805"/>
      <c r="H55" s="805"/>
      <c r="I55" s="805"/>
      <c r="J55" s="805"/>
      <c r="K55" s="805"/>
      <c r="L55" s="805"/>
      <c r="M55" s="805"/>
      <c r="N55" s="805"/>
      <c r="O55" s="805"/>
      <c r="P55" s="805"/>
    </row>
    <row r="56" spans="2:16" ht="15.75">
      <c r="B56" s="627"/>
      <c r="C56" s="418"/>
      <c r="D56" s="620"/>
      <c r="E56" s="620"/>
      <c r="F56" s="805"/>
      <c r="G56" s="805"/>
      <c r="H56" s="805"/>
      <c r="I56" s="805"/>
      <c r="J56" s="805"/>
      <c r="K56" s="805"/>
      <c r="L56" s="805"/>
      <c r="M56" s="805"/>
      <c r="N56" s="805"/>
      <c r="O56" s="805"/>
      <c r="P56" s="805"/>
    </row>
    <row r="57" spans="2:16" ht="15.75">
      <c r="B57" s="627" t="s">
        <v>1071</v>
      </c>
      <c r="C57" s="418">
        <f>'general-detail'!B49</f>
        <v>30890.53</v>
      </c>
      <c r="D57" s="418">
        <f>'general-detail'!C49</f>
        <v>36500</v>
      </c>
      <c r="E57" s="422">
        <f>'general-detail'!D49</f>
        <v>39055</v>
      </c>
      <c r="F57" s="805"/>
      <c r="G57" s="805"/>
      <c r="H57" s="805"/>
      <c r="I57" s="805"/>
      <c r="J57" s="805"/>
      <c r="K57" s="805"/>
      <c r="L57" s="805"/>
      <c r="M57" s="805"/>
      <c r="N57" s="805"/>
      <c r="O57" s="805"/>
      <c r="P57" s="805"/>
    </row>
    <row r="58" spans="2:16" ht="15.75">
      <c r="B58" s="290"/>
      <c r="C58" s="418"/>
      <c r="D58" s="620"/>
      <c r="E58" s="620"/>
      <c r="F58" s="805"/>
      <c r="G58" s="805"/>
      <c r="H58" s="805"/>
      <c r="I58" s="805"/>
      <c r="J58" s="805"/>
      <c r="K58" s="805"/>
      <c r="L58" s="805"/>
      <c r="M58" s="805"/>
      <c r="N58" s="805"/>
      <c r="O58" s="805"/>
      <c r="P58" s="805"/>
    </row>
    <row r="59" spans="2:16" ht="15.75">
      <c r="B59" s="290" t="s">
        <v>1072</v>
      </c>
      <c r="C59" s="418">
        <f>'general-detail'!B57</f>
        <v>67125.91</v>
      </c>
      <c r="D59" s="418">
        <f>'general-detail'!C57</f>
        <v>45926</v>
      </c>
      <c r="E59" s="422">
        <f>'general-detail'!D57</f>
        <v>46012</v>
      </c>
      <c r="F59" s="805"/>
      <c r="G59" s="805"/>
      <c r="H59" s="805"/>
      <c r="I59" s="805"/>
      <c r="J59" s="805"/>
      <c r="K59" s="805"/>
      <c r="L59" s="805"/>
      <c r="M59" s="805"/>
      <c r="N59" s="805"/>
      <c r="O59" s="805"/>
      <c r="P59" s="805"/>
    </row>
    <row r="60" spans="2:5" ht="15.75">
      <c r="B60" s="290"/>
      <c r="C60" s="418"/>
      <c r="D60" s="620"/>
      <c r="E60" s="628"/>
    </row>
    <row r="61" spans="2:5" ht="15.75">
      <c r="B61" s="191"/>
      <c r="C61" s="418"/>
      <c r="D61" s="422"/>
      <c r="E61" s="281"/>
    </row>
    <row r="62" spans="2:15" ht="15.75">
      <c r="B62" s="191" t="s">
        <v>256</v>
      </c>
      <c r="C62" s="418"/>
      <c r="D62" s="422"/>
      <c r="E62" s="281"/>
      <c r="G62" s="856" t="str">
        <f>CONCATENATE("Projected Carryover Into ",E1+1,"")</f>
        <v>Projected Carryover Into 2015</v>
      </c>
      <c r="H62" s="857"/>
      <c r="I62" s="857"/>
      <c r="J62" s="858"/>
      <c r="L62" s="856" t="str">
        <f>CONCATENATE("Desired Carryover Into ",E1+1,"")</f>
        <v>Desired Carryover Into 2015</v>
      </c>
      <c r="M62" s="857"/>
      <c r="N62" s="857"/>
      <c r="O62" s="858"/>
    </row>
    <row r="63" spans="2:15" ht="15.75">
      <c r="B63" s="191" t="s">
        <v>645</v>
      </c>
      <c r="C63" s="411">
        <f>IF(C64*0.1&lt;C62,"Exceed 10% Rule","")</f>
      </c>
      <c r="D63" s="423">
        <f>IF(D64*0.1&lt;D62,"Exceed 10% Rule","")</f>
      </c>
      <c r="E63" s="286">
        <f>IF(E64*0.1&lt;E62,"Exceed 10% Rule","")</f>
      </c>
      <c r="G63" s="472"/>
      <c r="H63" s="461"/>
      <c r="I63" s="461"/>
      <c r="J63" s="473"/>
      <c r="L63" s="563"/>
      <c r="M63" s="461"/>
      <c r="N63" s="477"/>
      <c r="O63" s="564"/>
    </row>
    <row r="64" spans="2:15" ht="15.75">
      <c r="B64" s="287" t="s">
        <v>174</v>
      </c>
      <c r="C64" s="417">
        <f>SUM(C43:C62)</f>
        <v>617088.15</v>
      </c>
      <c r="D64" s="424">
        <f>SUM(D43:D62)</f>
        <v>666583</v>
      </c>
      <c r="E64" s="288">
        <f>SUM(E43:E62)</f>
        <v>848226</v>
      </c>
      <c r="G64" s="474">
        <f>D65</f>
        <v>163457.05999999994</v>
      </c>
      <c r="H64" s="475" t="str">
        <f>CONCATENATE("",E1-1," Ending Cash Balance (est.)")</f>
        <v>2013 Ending Cash Balance (est.)</v>
      </c>
      <c r="I64" s="476"/>
      <c r="J64" s="473"/>
      <c r="L64" s="483" t="s">
        <v>654</v>
      </c>
      <c r="M64" s="477"/>
      <c r="N64" s="477"/>
      <c r="O64" s="471">
        <v>0</v>
      </c>
    </row>
    <row r="65" spans="2:15" ht="15.75">
      <c r="B65" s="178" t="s">
        <v>279</v>
      </c>
      <c r="C65" s="410">
        <f>C41-C64</f>
        <v>160530.05999999994</v>
      </c>
      <c r="D65" s="235">
        <f>D41-D64</f>
        <v>163457.05999999994</v>
      </c>
      <c r="E65" s="280" t="s">
        <v>152</v>
      </c>
      <c r="G65" s="474">
        <f>E40</f>
        <v>446278</v>
      </c>
      <c r="H65" s="477" t="str">
        <f>CONCATENATE("",E1," Non-AV Receipts (est.)")</f>
        <v>2014 Non-AV Receipts (est.)</v>
      </c>
      <c r="I65" s="476"/>
      <c r="J65" s="473"/>
      <c r="L65" s="563" t="s">
        <v>653</v>
      </c>
      <c r="M65" s="461"/>
      <c r="N65" s="461"/>
      <c r="O65" s="659">
        <f>IF(O64=0,"",ROUND((O64+E71-G70)/inputOth!E7*1000,3)-G75)</f>
      </c>
    </row>
    <row r="66" spans="2:15" ht="15.75">
      <c r="B66" s="210" t="str">
        <f>CONCATENATE("",E1-2,"/",E1-1," Budget Authority Amount:")</f>
        <v>2012/2013 Budget Authority Amount:</v>
      </c>
      <c r="C66" s="221">
        <f>inputOth!B55</f>
        <v>741269</v>
      </c>
      <c r="D66" s="221">
        <f>inputPrYr!D17</f>
        <v>823434</v>
      </c>
      <c r="E66" s="280" t="s">
        <v>152</v>
      </c>
      <c r="F66" s="292"/>
      <c r="G66" s="478">
        <f>IF(E70&gt;0,E69,E71)</f>
        <v>238490.94000000006</v>
      </c>
      <c r="H66" s="477" t="str">
        <f>CONCATENATE("",E1," Ad Valorem Tax (est.)")</f>
        <v>2014 Ad Valorem Tax (est.)</v>
      </c>
      <c r="I66" s="476"/>
      <c r="J66" s="473"/>
      <c r="K66" s="699">
        <f>IF(G66=E71,"","Note: Does not include Delinquent Taxes")</f>
      </c>
      <c r="L66" s="660" t="str">
        <f>CONCATENATE("",E1," Tot Exp/Non-Appr Must Be:")</f>
        <v>2014 Tot Exp/Non-Appr Must Be:</v>
      </c>
      <c r="M66" s="657"/>
      <c r="N66" s="658"/>
      <c r="O66" s="654">
        <f>IF(O64&gt;0,IF(E68&lt;E41,IF(O64=G70,E68,((O64-G70)*(1-D70))+E41),E68+(O64-G70)),0)</f>
        <v>0</v>
      </c>
    </row>
    <row r="67" spans="2:15" ht="15.75">
      <c r="B67" s="210"/>
      <c r="C67" s="865" t="s">
        <v>647</v>
      </c>
      <c r="D67" s="866"/>
      <c r="E67" s="87"/>
      <c r="F67" s="467">
        <f>IF(E64/0.95-E64&lt;E67,"Exceeds 5%","")</f>
      </c>
      <c r="G67" s="474">
        <f>SUM(G64:G66)</f>
        <v>848226</v>
      </c>
      <c r="H67" s="477" t="str">
        <f>CONCATENATE("Total ",E1," Resources Available")</f>
        <v>Total 2014 Resources Available</v>
      </c>
      <c r="I67" s="476"/>
      <c r="J67" s="473"/>
      <c r="L67" s="692" t="s">
        <v>832</v>
      </c>
      <c r="M67" s="697"/>
      <c r="N67" s="697"/>
      <c r="O67" s="661">
        <f>IF(O64&gt;0,O66-E68,0)</f>
        <v>0</v>
      </c>
    </row>
    <row r="68" spans="2:10" ht="15.75">
      <c r="B68" s="426" t="str">
        <f>CONCATENATE(C80,"     ",D80)</f>
        <v>     </v>
      </c>
      <c r="C68" s="867" t="s">
        <v>648</v>
      </c>
      <c r="D68" s="868"/>
      <c r="E68" s="189">
        <f>E64+E67</f>
        <v>848226</v>
      </c>
      <c r="G68" s="479"/>
      <c r="H68" s="477"/>
      <c r="I68" s="477"/>
      <c r="J68" s="473"/>
    </row>
    <row r="69" spans="2:10" ht="15.75">
      <c r="B69" s="426" t="str">
        <f>CONCATENATE(C81,"     ",D81)</f>
        <v>     </v>
      </c>
      <c r="C69" s="293"/>
      <c r="D69" s="218" t="s">
        <v>175</v>
      </c>
      <c r="E69" s="642">
        <f>IF(E68-E41&gt;0,E68-E41,0)</f>
        <v>238490.94000000006</v>
      </c>
      <c r="G69" s="478">
        <f>ROUND(C64*0.05+C64,0)</f>
        <v>647943</v>
      </c>
      <c r="H69" s="477" t="str">
        <f>CONCATENATE("Less ",E1-2," Expenditures + 5%")</f>
        <v>Less 2012 Expenditures + 5%</v>
      </c>
      <c r="I69" s="476"/>
      <c r="J69" s="473"/>
    </row>
    <row r="70" spans="2:10" ht="15.75">
      <c r="B70" s="294"/>
      <c r="C70" s="439" t="s">
        <v>649</v>
      </c>
      <c r="D70" s="703">
        <f>inputOth!E41</f>
        <v>0</v>
      </c>
      <c r="E70" s="189">
        <f>ROUND(IF(inputOth!E41&gt;0,(E69*inputOth!E41),0),0)</f>
        <v>0</v>
      </c>
      <c r="G70" s="484">
        <f>G67-G69</f>
        <v>200283</v>
      </c>
      <c r="H70" s="480" t="str">
        <f>CONCATENATE("Projected ",E1+1," Carryover (est.)")</f>
        <v>Projected 2015 Carryover (est.)</v>
      </c>
      <c r="I70" s="481"/>
      <c r="J70" s="482"/>
    </row>
    <row r="71" spans="2:5" ht="16.5" thickBot="1">
      <c r="B71" s="64"/>
      <c r="C71" s="859" t="str">
        <f>CONCATENATE("Amount of  ",E1-1," Ad Valorem Tax")</f>
        <v>Amount of  2013 Ad Valorem Tax</v>
      </c>
      <c r="D71" s="860"/>
      <c r="E71" s="704">
        <f>E69+E70</f>
        <v>238490.94000000006</v>
      </c>
    </row>
    <row r="72" spans="2:10" ht="16.5" thickTop="1">
      <c r="B72" s="218"/>
      <c r="C72" s="859"/>
      <c r="D72" s="860"/>
      <c r="E72" s="64"/>
      <c r="G72" s="869" t="s">
        <v>949</v>
      </c>
      <c r="H72" s="870"/>
      <c r="I72" s="870"/>
      <c r="J72" s="871"/>
    </row>
    <row r="73" spans="2:16" ht="15.75">
      <c r="B73" s="210"/>
      <c r="C73" s="218"/>
      <c r="D73" s="462"/>
      <c r="E73" s="64"/>
      <c r="G73" s="705"/>
      <c r="H73" s="475"/>
      <c r="I73" s="655"/>
      <c r="J73" s="656"/>
      <c r="M73" s="863"/>
      <c r="N73" s="863"/>
      <c r="O73" s="863"/>
      <c r="P73" s="864"/>
    </row>
    <row r="74" spans="2:16" ht="15.75">
      <c r="B74" s="210" t="s">
        <v>177</v>
      </c>
      <c r="C74" s="69">
        <f>IF(inputPrYr!D19&gt;0,7,8)</f>
        <v>8</v>
      </c>
      <c r="D74" s="218"/>
      <c r="E74" s="218"/>
      <c r="G74" s="707">
        <f>summ!H16</f>
        <v>75.578</v>
      </c>
      <c r="H74" s="475" t="str">
        <f>CONCATENATE("",E1," Fund Mill Rate")</f>
        <v>2014 Fund Mill Rate</v>
      </c>
      <c r="I74" s="655"/>
      <c r="J74" s="656"/>
      <c r="M74" s="492"/>
      <c r="N74" s="492"/>
      <c r="O74" s="492"/>
      <c r="P74" s="492"/>
    </row>
    <row r="75" spans="3:16" ht="15.75">
      <c r="C75" s="414"/>
      <c r="D75" s="414"/>
      <c r="E75" s="468"/>
      <c r="F75" s="457"/>
      <c r="G75" s="706">
        <f>summ!E16</f>
        <v>75.431</v>
      </c>
      <c r="H75" s="475" t="str">
        <f>CONCATENATE("",E1-1," Fund Mill Rate")</f>
        <v>2013 Fund Mill Rate</v>
      </c>
      <c r="I75" s="655"/>
      <c r="J75" s="656"/>
      <c r="L75" s="497"/>
      <c r="M75" s="493"/>
      <c r="N75" s="494"/>
      <c r="O75" s="494"/>
      <c r="P75" s="495"/>
    </row>
    <row r="76" spans="3:16" ht="15.75">
      <c r="C76" s="469"/>
      <c r="D76" s="665"/>
      <c r="E76" s="666"/>
      <c r="F76" s="416"/>
      <c r="G76" s="708">
        <f>summ!H32</f>
        <v>87.277</v>
      </c>
      <c r="H76" s="475" t="str">
        <f>CONCATENATE("Total ",E1," Mill Rate")</f>
        <v>Total 2014 Mill Rate</v>
      </c>
      <c r="I76" s="655"/>
      <c r="J76" s="656"/>
      <c r="M76" s="469"/>
      <c r="N76" s="416"/>
      <c r="O76" s="469"/>
      <c r="P76" s="495"/>
    </row>
    <row r="77" spans="3:16" ht="15.75">
      <c r="C77" s="470"/>
      <c r="D77" s="416"/>
      <c r="E77" s="416"/>
      <c r="F77" s="416"/>
      <c r="G77" s="706">
        <f>summ!E32</f>
        <v>86.767</v>
      </c>
      <c r="H77" s="643" t="str">
        <f>CONCATENATE("Total ",E1-1," Mill Rate")</f>
        <v>Total 2013 Mill Rate</v>
      </c>
      <c r="I77" s="644"/>
      <c r="J77" s="645"/>
      <c r="M77" s="469"/>
      <c r="N77" s="416"/>
      <c r="O77" s="469"/>
      <c r="P77" s="496"/>
    </row>
    <row r="78" spans="3:6" ht="14.25" customHeight="1">
      <c r="C78" s="415"/>
      <c r="D78" s="664"/>
      <c r="E78" s="495"/>
      <c r="F78" s="416"/>
    </row>
    <row r="79" spans="3:9" ht="15.75">
      <c r="C79" s="415"/>
      <c r="D79" s="416"/>
      <c r="E79" s="416"/>
      <c r="F79" s="416"/>
      <c r="G79" s="746" t="s">
        <v>978</v>
      </c>
      <c r="H79" s="745"/>
      <c r="I79" s="744" t="str">
        <f>cert!E38</f>
        <v>Yes</v>
      </c>
    </row>
    <row r="80" spans="3:6" ht="15.75" customHeight="1" hidden="1">
      <c r="C80" s="456">
        <f>IF(C64&gt;C66,"See Tab A","")</f>
      </c>
      <c r="D80" s="455">
        <f>IF(D64&gt;D66,"See Tab C","")</f>
      </c>
      <c r="E80" s="416"/>
      <c r="F80" s="416"/>
    </row>
    <row r="81" spans="3:10" ht="15.75" customHeight="1" hidden="1">
      <c r="C81" s="454">
        <f>IF(C65&lt;0,"See Tab B","")</f>
      </c>
      <c r="D81" s="454">
        <f>IF(D65&lt;0,"See Tab D","")</f>
      </c>
      <c r="G81" s="861" t="s">
        <v>831</v>
      </c>
      <c r="H81" s="862"/>
      <c r="I81" s="862"/>
      <c r="J81" s="654">
        <f>IF(O63&gt;0,O65-E68,0)</f>
        <v>0</v>
      </c>
    </row>
  </sheetData>
  <sheetProtection/>
  <mergeCells count="9">
    <mergeCell ref="G62:J62"/>
    <mergeCell ref="L62:O62"/>
    <mergeCell ref="C72:D72"/>
    <mergeCell ref="G81:I81"/>
    <mergeCell ref="M73:P73"/>
    <mergeCell ref="C71:D71"/>
    <mergeCell ref="C67:D67"/>
    <mergeCell ref="C68:D68"/>
    <mergeCell ref="G72:J72"/>
  </mergeCells>
  <conditionalFormatting sqref="E62">
    <cfRule type="cellIs" priority="4" dxfId="146" operator="greaterThan" stopIfTrue="1">
      <formula>$E$64*0.1</formula>
    </cfRule>
  </conditionalFormatting>
  <conditionalFormatting sqref="E67">
    <cfRule type="cellIs" priority="5" dxfId="146" operator="greaterThan" stopIfTrue="1">
      <formula>$E$64/0.95-$E$64</formula>
    </cfRule>
  </conditionalFormatting>
  <conditionalFormatting sqref="C65">
    <cfRule type="cellIs" priority="6" dxfId="1" operator="lessThan" stopIfTrue="1">
      <formula>0</formula>
    </cfRule>
  </conditionalFormatting>
  <conditionalFormatting sqref="D64">
    <cfRule type="cellIs" priority="7" dxfId="1" operator="greaterThan" stopIfTrue="1">
      <formula>$D$66</formula>
    </cfRule>
  </conditionalFormatting>
  <conditionalFormatting sqref="C62">
    <cfRule type="cellIs" priority="9" dxfId="1" operator="greaterThan" stopIfTrue="1">
      <formula>$C$64*0.1</formula>
    </cfRule>
  </conditionalFormatting>
  <conditionalFormatting sqref="D62">
    <cfRule type="cellIs" priority="10" dxfId="1" operator="greaterThan" stopIfTrue="1">
      <formula>$D$64*0.1</formula>
    </cfRule>
  </conditionalFormatting>
  <conditionalFormatting sqref="C38">
    <cfRule type="cellIs" priority="11" dxfId="1" operator="greaterThan" stopIfTrue="1">
      <formula>$C$40*0.1</formula>
    </cfRule>
  </conditionalFormatting>
  <conditionalFormatting sqref="D38">
    <cfRule type="cellIs" priority="12" dxfId="1" operator="greaterThan" stopIfTrue="1">
      <formula>$D$40*0.1</formula>
    </cfRule>
  </conditionalFormatting>
  <conditionalFormatting sqref="D65">
    <cfRule type="cellIs" priority="3" dxfId="0" operator="lessThan" stopIfTrue="1">
      <formula>0</formula>
    </cfRule>
  </conditionalFormatting>
  <conditionalFormatting sqref="C64">
    <cfRule type="cellIs" priority="2" dxfId="0" operator="greaterThan" stopIfTrue="1">
      <formula>$C$66</formula>
    </cfRule>
  </conditionalFormatting>
  <conditionalFormatting sqref="E38">
    <cfRule type="cellIs" priority="1" dxfId="1" operator="greaterThan" stopIfTrue="1">
      <formula>$D$40*0.1</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61"/>
  <sheetViews>
    <sheetView zoomScalePageLayoutView="0" workbookViewId="0" topLeftCell="A22">
      <selection activeCell="E20" sqref="E20"/>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Blue Rapids</v>
      </c>
      <c r="B1" s="64"/>
      <c r="C1" s="347"/>
      <c r="D1" s="64">
        <f>inputPrYr!C5</f>
        <v>2014</v>
      </c>
    </row>
    <row r="2" spans="1:4" ht="15.75">
      <c r="A2" s="64"/>
      <c r="B2" s="64"/>
      <c r="C2" s="64"/>
      <c r="D2" s="347"/>
    </row>
    <row r="3" spans="1:4" ht="15.75">
      <c r="A3" s="81" t="s">
        <v>66</v>
      </c>
      <c r="B3" s="348"/>
      <c r="C3" s="348"/>
      <c r="D3" s="348"/>
    </row>
    <row r="4" spans="1:4" ht="15.75">
      <c r="A4" s="347" t="s">
        <v>164</v>
      </c>
      <c r="B4" s="713" t="s">
        <v>828</v>
      </c>
      <c r="C4" s="714" t="s">
        <v>829</v>
      </c>
      <c r="D4" s="174" t="s">
        <v>830</v>
      </c>
    </row>
    <row r="5" spans="1:16" ht="15.75">
      <c r="A5" s="92" t="s">
        <v>67</v>
      </c>
      <c r="B5" s="331" t="str">
        <f>CONCATENATE("Actual for ",$D$1-2,"")</f>
        <v>Actual for 2012</v>
      </c>
      <c r="C5" s="412" t="str">
        <f>CONCATENATE("Estimate for ",$D$1-1,"")</f>
        <v>Estimate for 2013</v>
      </c>
      <c r="D5" s="229" t="str">
        <f>CONCATENATE("Year for ",$D$1,"")</f>
        <v>Year for 2014</v>
      </c>
      <c r="E5" s="58"/>
      <c r="F5" s="58"/>
      <c r="G5" s="58"/>
      <c r="H5" s="58"/>
      <c r="I5" s="58"/>
      <c r="J5" s="58"/>
      <c r="K5" s="58"/>
      <c r="L5" s="58"/>
      <c r="M5" s="58"/>
      <c r="N5" s="58"/>
      <c r="O5" s="58"/>
      <c r="P5" s="58"/>
    </row>
    <row r="6" spans="1:16" ht="15.75">
      <c r="A6" s="245" t="s">
        <v>173</v>
      </c>
      <c r="B6" s="108"/>
      <c r="C6" s="108"/>
      <c r="D6" s="108"/>
      <c r="E6" s="58"/>
      <c r="F6" s="58"/>
      <c r="G6" s="58"/>
      <c r="H6" s="58"/>
      <c r="I6" s="58"/>
      <c r="J6" s="58"/>
      <c r="K6" s="58"/>
      <c r="L6" s="58"/>
      <c r="M6" s="58"/>
      <c r="N6" s="58"/>
      <c r="O6" s="58"/>
      <c r="P6" s="58"/>
    </row>
    <row r="7" spans="1:16" ht="15.75">
      <c r="A7" s="771" t="s">
        <v>1064</v>
      </c>
      <c r="B7" s="108"/>
      <c r="C7" s="108"/>
      <c r="D7" s="108"/>
      <c r="E7" s="807"/>
      <c r="F7" s="772"/>
      <c r="G7" s="772"/>
      <c r="H7" s="772"/>
      <c r="I7" s="772"/>
      <c r="J7" s="772"/>
      <c r="K7" s="772"/>
      <c r="L7" s="772"/>
      <c r="M7" s="772"/>
      <c r="N7" s="772"/>
      <c r="O7" s="58"/>
      <c r="P7" s="58"/>
    </row>
    <row r="8" spans="1:16" ht="15.75">
      <c r="A8" s="349" t="s">
        <v>1073</v>
      </c>
      <c r="B8" s="333">
        <v>46658.52</v>
      </c>
      <c r="C8" s="333">
        <v>48059</v>
      </c>
      <c r="D8" s="333">
        <v>50000</v>
      </c>
      <c r="E8" s="793"/>
      <c r="F8" s="772"/>
      <c r="G8" s="772"/>
      <c r="H8" s="772"/>
      <c r="I8" s="772"/>
      <c r="J8" s="772"/>
      <c r="K8" s="772"/>
      <c r="L8" s="772"/>
      <c r="M8" s="772"/>
      <c r="N8" s="772"/>
      <c r="O8" s="58"/>
      <c r="P8" s="58"/>
    </row>
    <row r="9" spans="1:16" ht="15.75">
      <c r="A9" s="349" t="s">
        <v>69</v>
      </c>
      <c r="B9" s="333">
        <v>28721.81</v>
      </c>
      <c r="C9" s="333">
        <v>29100</v>
      </c>
      <c r="D9" s="333">
        <v>29500</v>
      </c>
      <c r="E9" s="780"/>
      <c r="F9" s="772"/>
      <c r="G9" s="772"/>
      <c r="H9" s="772"/>
      <c r="I9" s="772"/>
      <c r="J9" s="772"/>
      <c r="K9" s="772"/>
      <c r="L9" s="772"/>
      <c r="M9" s="772"/>
      <c r="N9" s="772"/>
      <c r="O9" s="58"/>
      <c r="P9" s="58"/>
    </row>
    <row r="10" spans="1:16" ht="15.75">
      <c r="A10" s="349" t="s">
        <v>70</v>
      </c>
      <c r="B10" s="333">
        <v>20241.1</v>
      </c>
      <c r="C10" s="333">
        <v>23500</v>
      </c>
      <c r="D10" s="333">
        <v>24500</v>
      </c>
      <c r="E10" s="772"/>
      <c r="F10" s="772"/>
      <c r="G10" s="772"/>
      <c r="H10" s="772"/>
      <c r="I10" s="772"/>
      <c r="J10" s="772"/>
      <c r="K10" s="772"/>
      <c r="L10" s="772"/>
      <c r="M10" s="772"/>
      <c r="N10" s="772"/>
      <c r="O10" s="58"/>
      <c r="P10" s="58"/>
    </row>
    <row r="11" spans="1:16" ht="15.75">
      <c r="A11" s="349" t="s">
        <v>71</v>
      </c>
      <c r="B11" s="333">
        <v>0</v>
      </c>
      <c r="C11" s="333">
        <v>0</v>
      </c>
      <c r="D11" s="333">
        <v>161300</v>
      </c>
      <c r="E11" s="781"/>
      <c r="F11" s="781"/>
      <c r="G11" s="781"/>
      <c r="H11" s="781"/>
      <c r="I11" s="781"/>
      <c r="J11" s="781"/>
      <c r="K11" s="781"/>
      <c r="L11" s="772"/>
      <c r="M11" s="772"/>
      <c r="N11" s="772"/>
      <c r="O11" s="58"/>
      <c r="P11" s="58"/>
    </row>
    <row r="12" spans="1:16" ht="15.75">
      <c r="A12" s="90"/>
      <c r="B12" s="333"/>
      <c r="C12" s="333"/>
      <c r="D12" s="333"/>
      <c r="E12" s="772"/>
      <c r="F12" s="772"/>
      <c r="G12" s="772"/>
      <c r="H12" s="772"/>
      <c r="I12" s="772"/>
      <c r="J12" s="772"/>
      <c r="K12" s="772"/>
      <c r="L12" s="772"/>
      <c r="M12" s="772"/>
      <c r="N12" s="772"/>
      <c r="O12" s="58"/>
      <c r="P12" s="58"/>
    </row>
    <row r="13" spans="1:16" ht="15.75">
      <c r="A13" s="245" t="s">
        <v>134</v>
      </c>
      <c r="B13" s="337">
        <f>SUM(B8:B12)</f>
        <v>95621.43</v>
      </c>
      <c r="C13" s="337">
        <f>SUM(C8:C12)</f>
        <v>100659</v>
      </c>
      <c r="D13" s="337">
        <f>SUM(D8:D12)</f>
        <v>265300</v>
      </c>
      <c r="E13" s="772"/>
      <c r="F13" s="772"/>
      <c r="G13" s="772"/>
      <c r="H13" s="772"/>
      <c r="I13" s="772"/>
      <c r="J13" s="772"/>
      <c r="K13" s="772"/>
      <c r="L13" s="772"/>
      <c r="M13" s="772"/>
      <c r="N13" s="772"/>
      <c r="O13" s="58"/>
      <c r="P13" s="58"/>
    </row>
    <row r="14" spans="1:16" ht="15.75">
      <c r="A14" s="770" t="s">
        <v>1065</v>
      </c>
      <c r="B14" s="201"/>
      <c r="C14" s="201"/>
      <c r="D14" s="201"/>
      <c r="E14" s="58"/>
      <c r="F14" s="58"/>
      <c r="G14" s="802"/>
      <c r="H14" s="58"/>
      <c r="I14" s="58"/>
      <c r="J14" s="58"/>
      <c r="K14" s="58"/>
      <c r="L14" s="58"/>
      <c r="M14" s="780"/>
      <c r="N14" s="780"/>
      <c r="O14" s="58"/>
      <c r="P14" s="58"/>
    </row>
    <row r="15" spans="1:16" ht="15.75">
      <c r="A15" s="349" t="s">
        <v>1074</v>
      </c>
      <c r="B15" s="333">
        <v>106922</v>
      </c>
      <c r="C15" s="333">
        <v>110130</v>
      </c>
      <c r="D15" s="333">
        <v>114600</v>
      </c>
      <c r="E15" s="58"/>
      <c r="F15" s="58"/>
      <c r="G15" s="58"/>
      <c r="H15" s="58"/>
      <c r="I15" s="58"/>
      <c r="J15" s="58"/>
      <c r="K15" s="58"/>
      <c r="L15" s="58"/>
      <c r="M15" s="780"/>
      <c r="N15" s="780"/>
      <c r="O15" s="58"/>
      <c r="P15" s="58"/>
    </row>
    <row r="16" spans="1:16" ht="15.75">
      <c r="A16" s="349" t="s">
        <v>69</v>
      </c>
      <c r="B16" s="333">
        <v>0</v>
      </c>
      <c r="C16" s="333">
        <v>2800</v>
      </c>
      <c r="D16" s="333">
        <v>2800</v>
      </c>
      <c r="E16" s="58"/>
      <c r="F16" s="58"/>
      <c r="G16" s="58"/>
      <c r="H16" s="58"/>
      <c r="I16" s="58"/>
      <c r="J16" s="58"/>
      <c r="K16" s="58"/>
      <c r="L16" s="58"/>
      <c r="M16" s="780"/>
      <c r="N16" s="780"/>
      <c r="O16" s="58"/>
      <c r="P16" s="58"/>
    </row>
    <row r="17" spans="1:16" ht="15.75">
      <c r="A17" s="349" t="s">
        <v>70</v>
      </c>
      <c r="B17" s="333">
        <v>21893.43</v>
      </c>
      <c r="C17" s="333">
        <v>45000</v>
      </c>
      <c r="D17" s="333">
        <v>50000</v>
      </c>
      <c r="E17" s="780"/>
      <c r="F17" s="780"/>
      <c r="G17" s="780"/>
      <c r="H17" s="780"/>
      <c r="I17" s="780"/>
      <c r="J17" s="780"/>
      <c r="K17" s="780"/>
      <c r="L17" s="780"/>
      <c r="M17" s="772"/>
      <c r="N17" s="772"/>
      <c r="O17" s="58"/>
      <c r="P17" s="58"/>
    </row>
    <row r="18" spans="1:16" ht="15.75">
      <c r="A18" s="349" t="s">
        <v>71</v>
      </c>
      <c r="B18" s="333">
        <v>0</v>
      </c>
      <c r="C18" s="333">
        <v>14599</v>
      </c>
      <c r="D18" s="333">
        <v>14599</v>
      </c>
      <c r="E18" s="780"/>
      <c r="F18" s="780"/>
      <c r="G18" s="780"/>
      <c r="H18" s="780"/>
      <c r="I18" s="780"/>
      <c r="J18" s="780"/>
      <c r="K18" s="780"/>
      <c r="L18" s="780"/>
      <c r="M18" s="772"/>
      <c r="N18" s="772"/>
      <c r="O18" s="58"/>
      <c r="P18" s="58"/>
    </row>
    <row r="19" spans="1:16" ht="15.75">
      <c r="A19" s="349"/>
      <c r="B19" s="333"/>
      <c r="C19" s="333"/>
      <c r="D19" s="333"/>
      <c r="E19" s="780"/>
      <c r="F19" s="780"/>
      <c r="G19" s="780"/>
      <c r="H19" s="780"/>
      <c r="I19" s="780"/>
      <c r="J19" s="780"/>
      <c r="K19" s="780"/>
      <c r="L19" s="780"/>
      <c r="M19" s="772"/>
      <c r="N19" s="772"/>
      <c r="O19" s="58"/>
      <c r="P19" s="58"/>
    </row>
    <row r="20" spans="1:16" ht="15.75">
      <c r="A20" s="245" t="s">
        <v>134</v>
      </c>
      <c r="B20" s="337">
        <f>SUM(B15:B18)</f>
        <v>128815.43</v>
      </c>
      <c r="C20" s="337">
        <f>SUM(C15:C18)</f>
        <v>172529</v>
      </c>
      <c r="D20" s="337">
        <f>SUM(D15:D18)</f>
        <v>181999</v>
      </c>
      <c r="E20" s="772"/>
      <c r="F20" s="772"/>
      <c r="G20" s="772"/>
      <c r="H20" s="772"/>
      <c r="I20" s="772"/>
      <c r="J20" s="772"/>
      <c r="K20" s="772"/>
      <c r="L20" s="772"/>
      <c r="M20" s="772"/>
      <c r="N20" s="772"/>
      <c r="O20" s="58"/>
      <c r="P20" s="58"/>
    </row>
    <row r="21" spans="1:16" ht="15.75">
      <c r="A21" s="770" t="s">
        <v>1066</v>
      </c>
      <c r="B21" s="201"/>
      <c r="C21" s="201"/>
      <c r="D21" s="201"/>
      <c r="E21" s="772"/>
      <c r="F21" s="780"/>
      <c r="G21" s="772"/>
      <c r="H21" s="772"/>
      <c r="I21" s="772"/>
      <c r="J21" s="772"/>
      <c r="K21" s="772"/>
      <c r="L21" s="772"/>
      <c r="M21" s="772"/>
      <c r="N21" s="772"/>
      <c r="O21" s="58"/>
      <c r="P21" s="58"/>
    </row>
    <row r="22" spans="1:16" ht="15.75">
      <c r="A22" s="349" t="s">
        <v>1074</v>
      </c>
      <c r="B22" s="333">
        <v>22226.85</v>
      </c>
      <c r="C22" s="333">
        <v>22900</v>
      </c>
      <c r="D22" s="333">
        <v>23600</v>
      </c>
      <c r="E22" s="791"/>
      <c r="F22" s="58"/>
      <c r="G22" s="772"/>
      <c r="H22" s="772"/>
      <c r="I22" s="772"/>
      <c r="J22" s="772"/>
      <c r="K22" s="772"/>
      <c r="L22" s="772"/>
      <c r="M22" s="772"/>
      <c r="N22" s="772"/>
      <c r="O22" s="58"/>
      <c r="P22" s="58"/>
    </row>
    <row r="23" spans="1:16" ht="15.75">
      <c r="A23" s="349" t="s">
        <v>69</v>
      </c>
      <c r="B23" s="333">
        <v>0</v>
      </c>
      <c r="C23" s="333">
        <v>2200</v>
      </c>
      <c r="D23" s="333">
        <v>2200</v>
      </c>
      <c r="E23" s="58"/>
      <c r="F23" s="780"/>
      <c r="G23" s="780"/>
      <c r="H23" s="780"/>
      <c r="I23" s="772"/>
      <c r="J23" s="772"/>
      <c r="K23" s="772"/>
      <c r="L23" s="772"/>
      <c r="M23" s="772"/>
      <c r="N23" s="772"/>
      <c r="O23" s="58"/>
      <c r="P23" s="58"/>
    </row>
    <row r="24" spans="1:16" ht="15.75">
      <c r="A24" s="349" t="s">
        <v>70</v>
      </c>
      <c r="B24" s="333">
        <v>18138.39</v>
      </c>
      <c r="C24" s="333">
        <v>18200</v>
      </c>
      <c r="D24" s="333">
        <v>18300</v>
      </c>
      <c r="E24" s="780"/>
      <c r="F24" s="772"/>
      <c r="G24" s="772"/>
      <c r="H24" s="772"/>
      <c r="I24" s="772"/>
      <c r="J24" s="772"/>
      <c r="K24" s="772"/>
      <c r="L24" s="772"/>
      <c r="M24" s="772"/>
      <c r="N24" s="772"/>
      <c r="O24" s="58"/>
      <c r="P24" s="58"/>
    </row>
    <row r="25" spans="1:16" ht="15.75">
      <c r="A25" s="349" t="s">
        <v>71</v>
      </c>
      <c r="B25" s="333">
        <v>0</v>
      </c>
      <c r="C25" s="333">
        <v>0</v>
      </c>
      <c r="D25" s="333">
        <v>0</v>
      </c>
      <c r="E25" s="772"/>
      <c r="F25" s="772"/>
      <c r="G25" s="772"/>
      <c r="H25" s="772"/>
      <c r="I25" s="772"/>
      <c r="J25" s="772"/>
      <c r="K25" s="772"/>
      <c r="L25" s="772"/>
      <c r="M25" s="772"/>
      <c r="N25" s="772"/>
      <c r="O25" s="58"/>
      <c r="P25" s="58"/>
    </row>
    <row r="26" spans="1:16" ht="15.75">
      <c r="A26" s="349"/>
      <c r="B26" s="333"/>
      <c r="C26" s="333"/>
      <c r="D26" s="333"/>
      <c r="E26" s="772"/>
      <c r="F26" s="772"/>
      <c r="G26" s="772"/>
      <c r="H26" s="772"/>
      <c r="I26" s="772"/>
      <c r="J26" s="772"/>
      <c r="K26" s="772"/>
      <c r="L26" s="772"/>
      <c r="M26" s="772"/>
      <c r="N26" s="772"/>
      <c r="O26" s="58"/>
      <c r="P26" s="58"/>
    </row>
    <row r="27" spans="1:16" ht="15.75">
      <c r="A27" s="245" t="s">
        <v>134</v>
      </c>
      <c r="B27" s="337">
        <f>SUM(B22:B25)</f>
        <v>40365.24</v>
      </c>
      <c r="C27" s="337">
        <f>SUM(C22:C25)</f>
        <v>43300</v>
      </c>
      <c r="D27" s="337">
        <f>SUM(D22:D25)</f>
        <v>44100</v>
      </c>
      <c r="E27" s="58"/>
      <c r="F27" s="772"/>
      <c r="G27" s="772"/>
      <c r="H27" s="772"/>
      <c r="I27" s="772"/>
      <c r="J27" s="772"/>
      <c r="K27" s="772"/>
      <c r="L27" s="772"/>
      <c r="M27" s="772"/>
      <c r="N27" s="772"/>
      <c r="O27" s="58"/>
      <c r="P27" s="58"/>
    </row>
    <row r="28" spans="1:16" ht="15.75">
      <c r="A28" s="770" t="s">
        <v>1067</v>
      </c>
      <c r="B28" s="201"/>
      <c r="C28" s="201"/>
      <c r="D28" s="201"/>
      <c r="E28" s="772"/>
      <c r="F28" s="772"/>
      <c r="G28" s="772"/>
      <c r="H28" s="772"/>
      <c r="I28" s="772"/>
      <c r="J28" s="772"/>
      <c r="K28" s="772"/>
      <c r="L28" s="772"/>
      <c r="M28" s="772"/>
      <c r="N28" s="772"/>
      <c r="O28" s="58"/>
      <c r="P28" s="58"/>
    </row>
    <row r="29" spans="1:16" ht="15.75">
      <c r="A29" s="349" t="s">
        <v>1074</v>
      </c>
      <c r="B29" s="333">
        <v>82240.2</v>
      </c>
      <c r="C29" s="333">
        <v>84710</v>
      </c>
      <c r="D29" s="333">
        <v>88100</v>
      </c>
      <c r="E29" s="772"/>
      <c r="F29" s="772"/>
      <c r="G29" s="772"/>
      <c r="H29" s="772"/>
      <c r="I29" s="772"/>
      <c r="J29" s="772"/>
      <c r="K29" s="772"/>
      <c r="L29" s="772"/>
      <c r="M29" s="772"/>
      <c r="N29" s="772"/>
      <c r="O29" s="58"/>
      <c r="P29" s="58"/>
    </row>
    <row r="30" spans="1:16" ht="15.75">
      <c r="A30" s="349" t="s">
        <v>69</v>
      </c>
      <c r="B30" s="333">
        <v>8422.5</v>
      </c>
      <c r="C30" s="333">
        <v>12700</v>
      </c>
      <c r="D30" s="333">
        <v>13000</v>
      </c>
      <c r="E30" s="772"/>
      <c r="F30" s="772"/>
      <c r="G30" s="772"/>
      <c r="H30" s="772"/>
      <c r="I30" s="772"/>
      <c r="J30" s="772"/>
      <c r="K30" s="772"/>
      <c r="L30" s="772"/>
      <c r="M30" s="772"/>
      <c r="N30" s="772"/>
      <c r="O30" s="58"/>
      <c r="P30" s="58"/>
    </row>
    <row r="31" spans="1:16" ht="15.75">
      <c r="A31" s="349" t="s">
        <v>70</v>
      </c>
      <c r="B31" s="333">
        <v>25512.87</v>
      </c>
      <c r="C31" s="333">
        <v>25700</v>
      </c>
      <c r="D31" s="333">
        <v>25900</v>
      </c>
      <c r="E31" s="772"/>
      <c r="F31" s="772"/>
      <c r="G31" s="772"/>
      <c r="H31" s="772"/>
      <c r="I31" s="58"/>
      <c r="J31" s="58"/>
      <c r="K31" s="58"/>
      <c r="L31" s="58"/>
      <c r="M31" s="58"/>
      <c r="N31" s="58"/>
      <c r="O31" s="58"/>
      <c r="P31" s="58"/>
    </row>
    <row r="32" spans="1:16" ht="15.75">
      <c r="A32" s="349" t="s">
        <v>71</v>
      </c>
      <c r="B32" s="333">
        <v>5219.15</v>
      </c>
      <c r="C32" s="333">
        <v>5219</v>
      </c>
      <c r="D32" s="333">
        <v>0</v>
      </c>
      <c r="E32" s="780"/>
      <c r="F32" s="772"/>
      <c r="G32" s="772"/>
      <c r="H32" s="772"/>
      <c r="I32" s="58"/>
      <c r="J32" s="58"/>
      <c r="K32" s="58"/>
      <c r="L32" s="58"/>
      <c r="M32" s="58"/>
      <c r="N32" s="58"/>
      <c r="O32" s="58"/>
      <c r="P32" s="58"/>
    </row>
    <row r="33" spans="1:16" ht="15.75">
      <c r="A33" s="245" t="s">
        <v>134</v>
      </c>
      <c r="B33" s="337">
        <f>SUM(B29:B32)</f>
        <v>121394.71999999999</v>
      </c>
      <c r="C33" s="337">
        <f>SUM(C29:C32)</f>
        <v>128329</v>
      </c>
      <c r="D33" s="337">
        <f>SUM(D29:D32)</f>
        <v>127000</v>
      </c>
      <c r="E33" s="772"/>
      <c r="F33" s="772"/>
      <c r="G33" s="772"/>
      <c r="H33" s="772"/>
      <c r="I33" s="58"/>
      <c r="J33" s="58"/>
      <c r="K33" s="58"/>
      <c r="L33" s="58"/>
      <c r="M33" s="58"/>
      <c r="N33" s="58"/>
      <c r="O33" s="58"/>
      <c r="P33" s="58"/>
    </row>
    <row r="34" spans="1:16" ht="15.75">
      <c r="A34" s="770" t="s">
        <v>1068</v>
      </c>
      <c r="B34" s="201"/>
      <c r="C34" s="201"/>
      <c r="D34" s="201"/>
      <c r="E34" s="772"/>
      <c r="F34" s="772"/>
      <c r="G34" s="772"/>
      <c r="H34" s="772"/>
      <c r="I34" s="58"/>
      <c r="J34" s="58"/>
      <c r="K34" s="58"/>
      <c r="L34" s="58"/>
      <c r="M34" s="58"/>
      <c r="N34" s="58"/>
      <c r="O34" s="58"/>
      <c r="P34" s="58"/>
    </row>
    <row r="35" spans="1:16" ht="15.75">
      <c r="A35" s="349" t="s">
        <v>1018</v>
      </c>
      <c r="B35" s="333">
        <v>10169</v>
      </c>
      <c r="C35" s="333">
        <v>10900</v>
      </c>
      <c r="D35" s="333">
        <v>10900</v>
      </c>
      <c r="E35" s="772"/>
      <c r="F35" s="772"/>
      <c r="G35" s="772"/>
      <c r="H35" s="772"/>
      <c r="I35" s="58"/>
      <c r="J35" s="58"/>
      <c r="K35" s="58"/>
      <c r="L35" s="58"/>
      <c r="M35" s="58"/>
      <c r="N35" s="58"/>
      <c r="O35" s="58"/>
      <c r="P35" s="58"/>
    </row>
    <row r="36" spans="1:16" ht="15.75">
      <c r="A36" s="349" t="s">
        <v>1075</v>
      </c>
      <c r="B36" s="333">
        <v>75267.99</v>
      </c>
      <c r="C36" s="333">
        <v>79410</v>
      </c>
      <c r="D36" s="333">
        <v>83775</v>
      </c>
      <c r="E36" s="793"/>
      <c r="F36" s="784"/>
      <c r="G36" s="784"/>
      <c r="H36" s="784"/>
      <c r="I36" s="802"/>
      <c r="J36" s="802"/>
      <c r="K36" s="802"/>
      <c r="L36" s="802"/>
      <c r="M36" s="802"/>
      <c r="N36" s="58"/>
      <c r="O36" s="58"/>
      <c r="P36" s="58"/>
    </row>
    <row r="37" spans="1:16" ht="15.75">
      <c r="A37" s="349" t="s">
        <v>1076</v>
      </c>
      <c r="B37" s="333">
        <v>260</v>
      </c>
      <c r="C37" s="333">
        <v>400</v>
      </c>
      <c r="D37" s="333">
        <v>420</v>
      </c>
      <c r="E37" s="772"/>
      <c r="F37" s="772"/>
      <c r="G37" s="772"/>
      <c r="H37" s="772"/>
      <c r="I37" s="58"/>
      <c r="J37" s="58"/>
      <c r="K37" s="58"/>
      <c r="L37" s="58"/>
      <c r="M37" s="58"/>
      <c r="N37" s="58"/>
      <c r="O37" s="58"/>
      <c r="P37" s="58"/>
    </row>
    <row r="38" spans="1:16" ht="15.75">
      <c r="A38" s="349" t="s">
        <v>1077</v>
      </c>
      <c r="B38" s="333">
        <v>11017.02</v>
      </c>
      <c r="C38" s="333">
        <v>11500</v>
      </c>
      <c r="D38" s="333">
        <v>11845</v>
      </c>
      <c r="E38" s="772"/>
      <c r="F38" s="772"/>
      <c r="G38" s="772"/>
      <c r="H38" s="772"/>
      <c r="I38" s="58"/>
      <c r="J38" s="58"/>
      <c r="K38" s="58"/>
      <c r="L38" s="58"/>
      <c r="M38" s="58"/>
      <c r="N38" s="58"/>
      <c r="O38" s="58"/>
      <c r="P38" s="58"/>
    </row>
    <row r="39" spans="1:16" ht="15.75">
      <c r="A39" s="349" t="s">
        <v>1019</v>
      </c>
      <c r="B39" s="333">
        <v>18960.88</v>
      </c>
      <c r="C39" s="333">
        <v>19530</v>
      </c>
      <c r="D39" s="333">
        <v>20120</v>
      </c>
      <c r="E39" s="772"/>
      <c r="F39" s="772"/>
      <c r="G39" s="772"/>
      <c r="H39" s="772"/>
      <c r="I39" s="58"/>
      <c r="J39" s="58"/>
      <c r="K39" s="58"/>
      <c r="L39" s="58"/>
      <c r="M39" s="58"/>
      <c r="N39" s="58"/>
      <c r="O39" s="58"/>
      <c r="P39" s="58"/>
    </row>
    <row r="40" spans="1:16" ht="15.75">
      <c r="A40" s="245" t="s">
        <v>134</v>
      </c>
      <c r="B40" s="337">
        <f>SUM(B35:B39)</f>
        <v>115674.89000000001</v>
      </c>
      <c r="C40" s="337">
        <f>SUM(C35:C39)</f>
        <v>121740</v>
      </c>
      <c r="D40" s="337">
        <f>SUM(D35:D39)</f>
        <v>127060</v>
      </c>
      <c r="E40" s="772"/>
      <c r="F40" s="772"/>
      <c r="G40" s="772"/>
      <c r="H40" s="772"/>
      <c r="I40" s="772"/>
      <c r="J40" s="772"/>
      <c r="K40" s="772"/>
      <c r="L40" s="772"/>
      <c r="M40" s="58"/>
      <c r="N40" s="58"/>
      <c r="O40" s="58"/>
      <c r="P40" s="58"/>
    </row>
    <row r="41" spans="1:16" ht="15.75">
      <c r="A41" s="770" t="s">
        <v>1069</v>
      </c>
      <c r="B41" s="201"/>
      <c r="C41" s="201"/>
      <c r="D41" s="201"/>
      <c r="E41" s="58"/>
      <c r="F41" s="772"/>
      <c r="G41" s="772"/>
      <c r="H41" s="772"/>
      <c r="I41" s="772"/>
      <c r="J41" s="772"/>
      <c r="K41" s="772"/>
      <c r="L41" s="772"/>
      <c r="M41" s="58"/>
      <c r="N41" s="58"/>
      <c r="O41" s="58"/>
      <c r="P41" s="58"/>
    </row>
    <row r="42" spans="1:16" ht="15.75">
      <c r="A42" s="349" t="s">
        <v>68</v>
      </c>
      <c r="B42" s="333">
        <v>0</v>
      </c>
      <c r="C42" s="333">
        <v>0</v>
      </c>
      <c r="D42" s="333">
        <v>0</v>
      </c>
      <c r="E42" s="58"/>
      <c r="F42" s="772"/>
      <c r="G42" s="772"/>
      <c r="H42" s="772"/>
      <c r="I42" s="772"/>
      <c r="J42" s="772"/>
      <c r="K42" s="772"/>
      <c r="L42" s="772"/>
      <c r="M42" s="58"/>
      <c r="N42" s="58"/>
      <c r="O42" s="58"/>
      <c r="P42" s="58"/>
    </row>
    <row r="43" spans="1:16" ht="15.75">
      <c r="A43" s="349" t="s">
        <v>69</v>
      </c>
      <c r="B43" s="333">
        <v>5200</v>
      </c>
      <c r="C43" s="333">
        <v>5300</v>
      </c>
      <c r="D43" s="333">
        <v>5400</v>
      </c>
      <c r="E43" s="58"/>
      <c r="F43" s="772"/>
      <c r="G43" s="772"/>
      <c r="H43" s="772"/>
      <c r="I43" s="772"/>
      <c r="J43" s="772"/>
      <c r="K43" s="772"/>
      <c r="L43" s="772"/>
      <c r="M43" s="58"/>
      <c r="N43" s="58"/>
      <c r="O43" s="58"/>
      <c r="P43" s="58"/>
    </row>
    <row r="44" spans="1:16" ht="15.75">
      <c r="A44" s="349" t="s">
        <v>70</v>
      </c>
      <c r="B44" s="333">
        <v>0</v>
      </c>
      <c r="C44" s="333">
        <v>300</v>
      </c>
      <c r="D44" s="333">
        <v>300</v>
      </c>
      <c r="E44" s="58"/>
      <c r="F44" s="772"/>
      <c r="G44" s="772"/>
      <c r="H44" s="772"/>
      <c r="I44" s="772"/>
      <c r="J44" s="772"/>
      <c r="K44" s="772"/>
      <c r="L44" s="772"/>
      <c r="M44" s="58"/>
      <c r="N44" s="58"/>
      <c r="O44" s="58"/>
      <c r="P44" s="58"/>
    </row>
    <row r="45" spans="1:16" ht="15.75">
      <c r="A45" s="349" t="s">
        <v>71</v>
      </c>
      <c r="B45" s="333">
        <v>0</v>
      </c>
      <c r="C45" s="333">
        <v>0</v>
      </c>
      <c r="D45" s="333">
        <v>0</v>
      </c>
      <c r="E45" s="772"/>
      <c r="F45" s="772"/>
      <c r="G45" s="772"/>
      <c r="H45" s="772"/>
      <c r="I45" s="772"/>
      <c r="J45" s="772"/>
      <c r="K45" s="772"/>
      <c r="L45" s="772"/>
      <c r="M45" s="58"/>
      <c r="N45" s="58"/>
      <c r="O45" s="58"/>
      <c r="P45" s="58"/>
    </row>
    <row r="46" spans="1:16" ht="15.75">
      <c r="A46" s="349"/>
      <c r="B46" s="333"/>
      <c r="C46" s="333"/>
      <c r="D46" s="333"/>
      <c r="E46" s="772"/>
      <c r="F46" s="772"/>
      <c r="G46" s="772"/>
      <c r="H46" s="772"/>
      <c r="I46" s="772"/>
      <c r="J46" s="772"/>
      <c r="K46" s="772"/>
      <c r="L46" s="772"/>
      <c r="M46" s="58"/>
      <c r="N46" s="58"/>
      <c r="O46" s="58"/>
      <c r="P46" s="58"/>
    </row>
    <row r="47" spans="1:16" ht="15.75">
      <c r="A47" s="245" t="s">
        <v>134</v>
      </c>
      <c r="B47" s="337">
        <f>SUM(B42:B45)</f>
        <v>5200</v>
      </c>
      <c r="C47" s="337">
        <f>SUM(C42:C45)</f>
        <v>5600</v>
      </c>
      <c r="D47" s="337">
        <f>SUM(D42:D45)</f>
        <v>5700</v>
      </c>
      <c r="E47" s="772"/>
      <c r="F47" s="772"/>
      <c r="G47" s="772"/>
      <c r="H47" s="772"/>
      <c r="I47" s="772"/>
      <c r="J47" s="772"/>
      <c r="K47" s="772"/>
      <c r="L47" s="772"/>
      <c r="M47" s="58"/>
      <c r="N47" s="58"/>
      <c r="O47" s="58"/>
      <c r="P47" s="58"/>
    </row>
    <row r="48" spans="1:16" ht="15.75">
      <c r="A48" s="771" t="s">
        <v>1070</v>
      </c>
      <c r="B48" s="337">
        <v>12000</v>
      </c>
      <c r="C48" s="337">
        <v>12000</v>
      </c>
      <c r="D48" s="337">
        <v>12000</v>
      </c>
      <c r="E48" s="780"/>
      <c r="F48" s="781"/>
      <c r="G48" s="781"/>
      <c r="H48" s="781"/>
      <c r="I48" s="781"/>
      <c r="J48" s="781"/>
      <c r="K48" s="781"/>
      <c r="L48" s="781"/>
      <c r="M48" s="58"/>
      <c r="N48" s="58"/>
      <c r="O48" s="58"/>
      <c r="P48" s="58"/>
    </row>
    <row r="49" spans="1:16" ht="15.75">
      <c r="A49" s="771" t="s">
        <v>1071</v>
      </c>
      <c r="B49" s="337">
        <v>30890.53</v>
      </c>
      <c r="C49" s="337">
        <v>36500</v>
      </c>
      <c r="D49" s="337">
        <v>39055</v>
      </c>
      <c r="E49" s="780"/>
      <c r="F49" s="781"/>
      <c r="G49" s="781"/>
      <c r="H49" s="781"/>
      <c r="I49" s="781"/>
      <c r="J49" s="781"/>
      <c r="K49" s="781"/>
      <c r="L49" s="781"/>
      <c r="M49" s="58"/>
      <c r="N49" s="58"/>
      <c r="O49" s="58"/>
      <c r="P49" s="58"/>
    </row>
    <row r="50" spans="1:16" ht="15.75">
      <c r="A50" s="771" t="s">
        <v>1072</v>
      </c>
      <c r="B50" s="337"/>
      <c r="C50" s="337"/>
      <c r="D50" s="337"/>
      <c r="E50" s="772"/>
      <c r="F50" s="781"/>
      <c r="G50" s="781"/>
      <c r="H50" s="781"/>
      <c r="I50" s="781"/>
      <c r="J50" s="781"/>
      <c r="K50" s="781"/>
      <c r="L50" s="781"/>
      <c r="M50" s="58"/>
      <c r="N50" s="58"/>
      <c r="O50" s="58"/>
      <c r="P50" s="58"/>
    </row>
    <row r="51" spans="1:16" ht="15.75">
      <c r="A51" s="349" t="s">
        <v>1021</v>
      </c>
      <c r="B51" s="333">
        <f>18770</f>
        <v>18770</v>
      </c>
      <c r="C51" s="333">
        <v>0</v>
      </c>
      <c r="D51" s="333">
        <v>0</v>
      </c>
      <c r="E51" s="780"/>
      <c r="F51" s="772"/>
      <c r="G51" s="772"/>
      <c r="H51" s="772"/>
      <c r="I51" s="772"/>
      <c r="J51" s="772"/>
      <c r="K51" s="772"/>
      <c r="L51" s="772"/>
      <c r="M51" s="58"/>
      <c r="N51" s="58"/>
      <c r="O51" s="58"/>
      <c r="P51" s="58"/>
    </row>
    <row r="52" spans="1:16" ht="15.75">
      <c r="A52" s="349" t="s">
        <v>1022</v>
      </c>
      <c r="B52" s="333">
        <v>44134.91</v>
      </c>
      <c r="C52" s="333">
        <v>44500</v>
      </c>
      <c r="D52" s="333">
        <v>44667</v>
      </c>
      <c r="E52" s="58"/>
      <c r="F52" s="772"/>
      <c r="G52" s="772"/>
      <c r="H52" s="772"/>
      <c r="I52" s="772"/>
      <c r="J52" s="772"/>
      <c r="K52" s="772"/>
      <c r="L52" s="772"/>
      <c r="M52" s="58"/>
      <c r="N52" s="58"/>
      <c r="O52" s="58"/>
      <c r="P52" s="58"/>
    </row>
    <row r="53" spans="1:17" ht="15.75">
      <c r="A53" s="349" t="s">
        <v>70</v>
      </c>
      <c r="B53" s="333">
        <v>0</v>
      </c>
      <c r="C53" s="333">
        <v>0</v>
      </c>
      <c r="D53" s="333">
        <v>0</v>
      </c>
      <c r="E53" s="772"/>
      <c r="F53" s="794"/>
      <c r="G53" s="780"/>
      <c r="H53" s="780"/>
      <c r="I53" s="780"/>
      <c r="J53" s="780"/>
      <c r="K53" s="780"/>
      <c r="L53" s="772"/>
      <c r="M53" s="58"/>
      <c r="N53" s="58"/>
      <c r="O53" s="58"/>
      <c r="P53" s="58"/>
      <c r="Q53" s="58"/>
    </row>
    <row r="54" spans="1:16" ht="15.75">
      <c r="A54" s="349" t="s">
        <v>71</v>
      </c>
      <c r="B54" s="333">
        <v>0</v>
      </c>
      <c r="C54" s="333">
        <v>0</v>
      </c>
      <c r="D54" s="333">
        <v>0</v>
      </c>
      <c r="E54" s="58"/>
      <c r="F54" s="58"/>
      <c r="G54" s="58"/>
      <c r="H54" s="58"/>
      <c r="I54" s="58"/>
      <c r="J54" s="58"/>
      <c r="K54" s="58"/>
      <c r="L54" s="58"/>
      <c r="M54" s="58"/>
      <c r="N54" s="58"/>
      <c r="O54" s="58"/>
      <c r="P54" s="58"/>
    </row>
    <row r="55" spans="1:16" ht="15.75">
      <c r="A55" s="349" t="s">
        <v>1099</v>
      </c>
      <c r="B55" s="333">
        <v>2000</v>
      </c>
      <c r="C55" s="333">
        <v>0</v>
      </c>
      <c r="D55" s="333">
        <v>0</v>
      </c>
      <c r="E55" s="58"/>
      <c r="F55" s="58"/>
      <c r="G55" s="58"/>
      <c r="H55" s="58"/>
      <c r="I55" s="58"/>
      <c r="J55" s="58"/>
      <c r="K55" s="58"/>
      <c r="L55" s="58"/>
      <c r="M55" s="58"/>
      <c r="N55" s="58"/>
      <c r="O55" s="58"/>
      <c r="P55" s="58"/>
    </row>
    <row r="56" spans="1:16" ht="15.75">
      <c r="A56" s="349" t="s">
        <v>1078</v>
      </c>
      <c r="B56" s="333">
        <v>2221</v>
      </c>
      <c r="C56" s="333">
        <v>1426</v>
      </c>
      <c r="D56" s="282">
        <f>Nhood!E7</f>
        <v>1345</v>
      </c>
      <c r="E56" s="802"/>
      <c r="F56" s="58"/>
      <c r="G56" s="58"/>
      <c r="H56" s="58"/>
      <c r="I56" s="58"/>
      <c r="J56" s="58"/>
      <c r="K56" s="58"/>
      <c r="L56" s="58"/>
      <c r="M56" s="58"/>
      <c r="N56" s="58"/>
      <c r="O56" s="58"/>
      <c r="P56" s="58"/>
    </row>
    <row r="57" spans="1:16" ht="15.75">
      <c r="A57" s="245" t="s">
        <v>134</v>
      </c>
      <c r="B57" s="337">
        <f>SUM(B51:B56)</f>
        <v>67125.91</v>
      </c>
      <c r="C57" s="337">
        <f>SUM(C51:C56)</f>
        <v>45926</v>
      </c>
      <c r="D57" s="337">
        <f>SUM(D51:D56)</f>
        <v>46012</v>
      </c>
      <c r="E57" s="58"/>
      <c r="F57" s="58"/>
      <c r="G57" s="58"/>
      <c r="H57" s="58"/>
      <c r="I57" s="58"/>
      <c r="J57" s="58"/>
      <c r="K57" s="58"/>
      <c r="L57" s="58"/>
      <c r="M57" s="58"/>
      <c r="N57" s="58"/>
      <c r="O57" s="58"/>
      <c r="P57" s="58"/>
    </row>
    <row r="58" spans="1:16" ht="15.75">
      <c r="A58" s="64"/>
      <c r="B58" s="201"/>
      <c r="C58" s="201"/>
      <c r="D58" s="201"/>
      <c r="E58" s="58"/>
      <c r="F58" s="58"/>
      <c r="G58" s="58"/>
      <c r="H58" s="58"/>
      <c r="I58" s="58"/>
      <c r="J58" s="58"/>
      <c r="K58" s="58"/>
      <c r="L58" s="58"/>
      <c r="M58" s="58"/>
      <c r="N58" s="58"/>
      <c r="O58" s="58"/>
      <c r="P58" s="58"/>
    </row>
    <row r="59" spans="1:16" ht="16.5" thickBot="1">
      <c r="A59" s="245" t="s">
        <v>72</v>
      </c>
      <c r="B59" s="350">
        <f>B13+B20+B27+B33+B40+B47++B48+B49+B50+B57</f>
        <v>617088.15</v>
      </c>
      <c r="C59" s="350">
        <f>C13+C20+C27+C33+C40+C47+C48+C49+C50+C57</f>
        <v>666583</v>
      </c>
      <c r="D59" s="350">
        <f>D13+D20+D27+D33+D40+D47+D48+D49+D50+D57</f>
        <v>848226</v>
      </c>
      <c r="E59" s="58"/>
      <c r="F59" s="58"/>
      <c r="G59" s="58"/>
      <c r="H59" s="58"/>
      <c r="I59" s="58"/>
      <c r="J59" s="58"/>
      <c r="K59" s="58"/>
      <c r="L59" s="58"/>
      <c r="M59" s="58"/>
      <c r="N59" s="58"/>
      <c r="O59" s="58"/>
      <c r="P59" s="58"/>
    </row>
    <row r="60" spans="1:16" ht="16.5" thickTop="1">
      <c r="A60" s="64"/>
      <c r="B60" s="201"/>
      <c r="C60" s="201"/>
      <c r="D60" s="201"/>
      <c r="E60" s="58"/>
      <c r="F60" s="58"/>
      <c r="G60" s="58"/>
      <c r="H60" s="58"/>
      <c r="I60" s="58"/>
      <c r="J60" s="58"/>
      <c r="K60" s="58"/>
      <c r="L60" s="58"/>
      <c r="M60" s="58"/>
      <c r="N60" s="58"/>
      <c r="O60" s="58"/>
      <c r="P60" s="58"/>
    </row>
    <row r="61" spans="1:16" ht="15.75">
      <c r="A61" s="210" t="s">
        <v>177</v>
      </c>
      <c r="B61" s="739" t="str">
        <f>CONCATENATE("",general!C74,"b")</f>
        <v>8b</v>
      </c>
      <c r="C61" s="201"/>
      <c r="D61" s="201"/>
      <c r="E61" s="58"/>
      <c r="F61" s="58"/>
      <c r="G61" s="58"/>
      <c r="H61" s="58"/>
      <c r="I61" s="58"/>
      <c r="J61" s="58"/>
      <c r="K61" s="58"/>
      <c r="L61" s="58"/>
      <c r="M61" s="58"/>
      <c r="N61" s="58"/>
      <c r="O61" s="58"/>
      <c r="P61" s="58"/>
    </row>
  </sheetData>
  <sheetProtection/>
  <printOptions/>
  <pageMargins left="0.75" right="0.75" top="1" bottom="1" header="0.5" footer="0.5"/>
  <pageSetup blackAndWhite="1" fitToHeight="1" fitToWidth="1" horizontalDpi="600" verticalDpi="600" orientation="portrait" scale="65"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P88"/>
  <sheetViews>
    <sheetView zoomScalePageLayoutView="0" workbookViewId="0" topLeftCell="A1">
      <selection activeCell="B61" sqref="B6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Blue Rapids</v>
      </c>
      <c r="C1" s="201"/>
      <c r="D1" s="64"/>
      <c r="E1" s="161">
        <f>inputPrYr!C5</f>
        <v>2014</v>
      </c>
    </row>
    <row r="2" spans="2:5" ht="15.75">
      <c r="B2" s="64"/>
      <c r="C2" s="64"/>
      <c r="D2" s="64"/>
      <c r="E2" s="218"/>
    </row>
    <row r="3" spans="2:5" ht="15.75">
      <c r="B3" s="81" t="s">
        <v>221</v>
      </c>
      <c r="C3" s="81"/>
      <c r="D3" s="276"/>
      <c r="E3" s="163"/>
    </row>
    <row r="4" spans="2:5" ht="15.75">
      <c r="B4" s="69" t="s">
        <v>164</v>
      </c>
      <c r="C4" s="713" t="s">
        <v>828</v>
      </c>
      <c r="D4" s="714" t="s">
        <v>829</v>
      </c>
      <c r="E4" s="174" t="s">
        <v>830</v>
      </c>
    </row>
    <row r="5" spans="2:5" ht="15.75">
      <c r="B5" s="449" t="str">
        <f>inputPrYr!B18</f>
        <v>Bond &amp; Interest</v>
      </c>
      <c r="C5" s="331" t="str">
        <f>CONCATENATE("Actual for ",$E$1-2,"")</f>
        <v>Actual for 2012</v>
      </c>
      <c r="D5" s="412" t="str">
        <f>CONCATENATE("Estimate for ",$E$1-1,"")</f>
        <v>Estimate for 2013</v>
      </c>
      <c r="E5" s="229" t="str">
        <f>CONCATENATE("Year for ",$E$1,"")</f>
        <v>Year for 2014</v>
      </c>
    </row>
    <row r="6" spans="2:7" ht="15.75">
      <c r="B6" s="178" t="s">
        <v>278</v>
      </c>
      <c r="C6" s="444">
        <v>26854.87</v>
      </c>
      <c r="D6" s="443">
        <f>C34</f>
        <v>11525.619999999999</v>
      </c>
      <c r="E6" s="189">
        <f>D34</f>
        <v>15153.619999999999</v>
      </c>
      <c r="F6" s="790"/>
      <c r="G6" s="773"/>
    </row>
    <row r="7" spans="2:7" ht="15.75">
      <c r="B7" s="178" t="s">
        <v>280</v>
      </c>
      <c r="C7" s="190"/>
      <c r="D7" s="443"/>
      <c r="E7" s="189"/>
      <c r="F7" s="779"/>
      <c r="G7" s="773"/>
    </row>
    <row r="8" spans="2:7" ht="15.75">
      <c r="B8" s="178" t="s">
        <v>165</v>
      </c>
      <c r="C8" s="440">
        <v>0</v>
      </c>
      <c r="D8" s="443">
        <f>IF(inputPrYr!H16&gt;0,inputPrYr!G18,inputPrYr!E18)</f>
        <v>17552</v>
      </c>
      <c r="E8" s="343" t="s">
        <v>152</v>
      </c>
      <c r="F8" s="779"/>
      <c r="G8" s="773"/>
    </row>
    <row r="9" spans="2:7" ht="15.75">
      <c r="B9" s="178" t="s">
        <v>166</v>
      </c>
      <c r="C9" s="440">
        <v>0</v>
      </c>
      <c r="D9" s="445">
        <v>0</v>
      </c>
      <c r="E9" s="87"/>
      <c r="F9" s="773"/>
      <c r="G9" s="773"/>
    </row>
    <row r="10" spans="2:7" ht="15.75">
      <c r="B10" s="178" t="s">
        <v>167</v>
      </c>
      <c r="C10" s="440">
        <v>0</v>
      </c>
      <c r="D10" s="445">
        <v>0</v>
      </c>
      <c r="E10" s="189">
        <f>Mvalloc!D10</f>
        <v>3348</v>
      </c>
      <c r="F10" s="778"/>
      <c r="G10" s="773"/>
    </row>
    <row r="11" spans="2:7" ht="15.75">
      <c r="B11" s="178" t="s">
        <v>168</v>
      </c>
      <c r="C11" s="440">
        <v>0</v>
      </c>
      <c r="D11" s="445">
        <v>0</v>
      </c>
      <c r="E11" s="189">
        <f>Mvalloc!E10</f>
        <v>91</v>
      </c>
      <c r="F11" s="778"/>
      <c r="G11" s="773"/>
    </row>
    <row r="12" spans="2:7" ht="15.75">
      <c r="B12" s="191" t="s">
        <v>217</v>
      </c>
      <c r="C12" s="440">
        <v>0</v>
      </c>
      <c r="D12" s="445">
        <v>0</v>
      </c>
      <c r="E12" s="189">
        <f>Mvalloc!F10</f>
        <v>57</v>
      </c>
      <c r="F12" s="778"/>
      <c r="G12" s="773"/>
    </row>
    <row r="13" spans="2:7" ht="15.75">
      <c r="B13" s="345" t="s">
        <v>1098</v>
      </c>
      <c r="C13" s="440">
        <v>0</v>
      </c>
      <c r="D13" s="445">
        <v>1429</v>
      </c>
      <c r="E13" s="786">
        <v>0</v>
      </c>
      <c r="F13" s="773"/>
      <c r="G13" s="773"/>
    </row>
    <row r="14" spans="2:7" ht="15.75">
      <c r="B14" s="345"/>
      <c r="C14" s="440"/>
      <c r="D14" s="445"/>
      <c r="E14" s="87"/>
      <c r="F14" s="773"/>
      <c r="G14" s="778"/>
    </row>
    <row r="15" spans="2:7" ht="15.75">
      <c r="B15" s="335" t="s">
        <v>170</v>
      </c>
      <c r="C15" s="440"/>
      <c r="D15" s="445"/>
      <c r="E15" s="87"/>
      <c r="F15" s="773"/>
      <c r="G15" s="778"/>
    </row>
    <row r="16" spans="2:7" ht="15.75">
      <c r="B16" s="178" t="s">
        <v>256</v>
      </c>
      <c r="C16" s="491"/>
      <c r="D16" s="445"/>
      <c r="E16" s="87"/>
      <c r="F16" s="773"/>
      <c r="G16" s="778"/>
    </row>
    <row r="17" spans="2:10" ht="15.75">
      <c r="B17" s="178" t="s">
        <v>646</v>
      </c>
      <c r="C17" s="411">
        <f>IF(C18*0.1&lt;C16,"Exceed 10% Rule","")</f>
      </c>
      <c r="D17" s="411">
        <f>IF(D18*0.1&lt;D16,"Exceeds 10% Rule","")</f>
      </c>
      <c r="E17" s="423">
        <f>IF(E18*0.1&lt;E16,"Exceed 10% Rule","")</f>
      </c>
      <c r="G17" s="856" t="str">
        <f>CONCATENATE("Desired Carryover Into ",E1+1,"")</f>
        <v>Desired Carryover Into 2015</v>
      </c>
      <c r="H17" s="857"/>
      <c r="I17" s="857"/>
      <c r="J17" s="858"/>
    </row>
    <row r="18" spans="2:10" ht="15.75">
      <c r="B18" s="287" t="s">
        <v>171</v>
      </c>
      <c r="C18" s="446">
        <f>SUM(C8:C16)</f>
        <v>0</v>
      </c>
      <c r="D18" s="446">
        <f>SUM(D8:D16)</f>
        <v>18981</v>
      </c>
      <c r="E18" s="346">
        <f>SUM(E9:E16)</f>
        <v>3496</v>
      </c>
      <c r="G18" s="563"/>
      <c r="H18" s="461"/>
      <c r="I18" s="477"/>
      <c r="J18" s="564"/>
    </row>
    <row r="19" spans="2:10" ht="15.75">
      <c r="B19" s="287" t="s">
        <v>172</v>
      </c>
      <c r="C19" s="446">
        <f>C6+C18</f>
        <v>26854.87</v>
      </c>
      <c r="D19" s="446">
        <f>D6+D18</f>
        <v>30506.62</v>
      </c>
      <c r="E19" s="346">
        <f>E6+E18</f>
        <v>18649.62</v>
      </c>
      <c r="G19" s="483" t="s">
        <v>654</v>
      </c>
      <c r="H19" s="477"/>
      <c r="I19" s="477"/>
      <c r="J19" s="471">
        <v>0</v>
      </c>
    </row>
    <row r="20" spans="2:10" ht="15.75">
      <c r="B20" s="178" t="s">
        <v>173</v>
      </c>
      <c r="C20" s="178"/>
      <c r="D20" s="443"/>
      <c r="E20" s="189"/>
      <c r="G20" s="563" t="s">
        <v>653</v>
      </c>
      <c r="H20" s="461"/>
      <c r="I20" s="461"/>
      <c r="J20" s="694">
        <f>IF(J19=0,"",ROUND((J19+E40-G39)/inputOth!E7*1000,3)-L34)</f>
      </c>
    </row>
    <row r="21" spans="2:10" ht="15.75">
      <c r="B21" s="789" t="s">
        <v>1085</v>
      </c>
      <c r="C21" s="440">
        <v>2000</v>
      </c>
      <c r="D21" s="445">
        <v>7000</v>
      </c>
      <c r="E21" s="87">
        <v>7000</v>
      </c>
      <c r="G21" s="660" t="str">
        <f>CONCATENATE("",E1," Tot Exp/Non-Appr Must Be:")</f>
        <v>2014 Tot Exp/Non-Appr Must Be:</v>
      </c>
      <c r="H21" s="657"/>
      <c r="I21" s="658"/>
      <c r="J21" s="654">
        <f>IF(J19&gt;0,IF(E37&lt;E19,IF(J19=G39,E38,((J19-G39)*(1-D39))+E19),E38+(J19-G39)),0)</f>
        <v>0</v>
      </c>
    </row>
    <row r="22" spans="2:10" ht="15.75">
      <c r="B22" s="789" t="s">
        <v>1086</v>
      </c>
      <c r="C22" s="440">
        <v>13328</v>
      </c>
      <c r="D22" s="445">
        <v>8245</v>
      </c>
      <c r="E22" s="87">
        <v>7948</v>
      </c>
      <c r="G22" s="692" t="s">
        <v>832</v>
      </c>
      <c r="H22" s="697"/>
      <c r="I22" s="697"/>
      <c r="J22" s="661">
        <f>IF(J19&gt;0,J21-E38,0)</f>
        <v>0</v>
      </c>
    </row>
    <row r="23" spans="2:5" ht="15.75">
      <c r="B23" s="789" t="s">
        <v>1087</v>
      </c>
      <c r="C23" s="418">
        <v>1.25</v>
      </c>
      <c r="D23" s="445">
        <v>2</v>
      </c>
      <c r="E23" s="87">
        <v>2</v>
      </c>
    </row>
    <row r="24" spans="2:16" ht="15.75">
      <c r="B24" s="789" t="s">
        <v>1089</v>
      </c>
      <c r="C24" s="440">
        <v>0</v>
      </c>
      <c r="D24" s="445">
        <v>0</v>
      </c>
      <c r="E24" s="87">
        <v>2945</v>
      </c>
      <c r="F24" s="808"/>
      <c r="G24" s="808"/>
      <c r="H24" s="808"/>
      <c r="I24" s="808"/>
      <c r="J24" s="808"/>
      <c r="K24" s="795"/>
      <c r="L24" s="795"/>
      <c r="M24" s="795"/>
      <c r="N24" s="795"/>
      <c r="O24" s="795"/>
      <c r="P24" s="795"/>
    </row>
    <row r="25" spans="2:16" ht="15.75">
      <c r="B25" s="789" t="s">
        <v>1090</v>
      </c>
      <c r="C25" s="440">
        <v>0</v>
      </c>
      <c r="D25" s="445">
        <v>0</v>
      </c>
      <c r="E25" s="87">
        <v>3825</v>
      </c>
      <c r="F25" s="808"/>
      <c r="G25" s="808"/>
      <c r="H25" s="808"/>
      <c r="I25" s="808"/>
      <c r="J25" s="808"/>
      <c r="K25" s="795"/>
      <c r="L25" s="795"/>
      <c r="M25" s="795"/>
      <c r="N25" s="795"/>
      <c r="O25" s="795"/>
      <c r="P25" s="795"/>
    </row>
    <row r="26" spans="2:16" ht="15.75">
      <c r="B26" s="789" t="s">
        <v>1091</v>
      </c>
      <c r="C26" s="440">
        <v>0</v>
      </c>
      <c r="D26" s="445">
        <v>0</v>
      </c>
      <c r="E26" s="87">
        <v>2</v>
      </c>
      <c r="F26" s="808"/>
      <c r="G26" s="808"/>
      <c r="H26" s="808"/>
      <c r="I26" s="808"/>
      <c r="J26" s="808"/>
      <c r="K26" s="795"/>
      <c r="L26" s="795"/>
      <c r="M26" s="795"/>
      <c r="N26" s="795"/>
      <c r="O26" s="795"/>
      <c r="P26" s="795"/>
    </row>
    <row r="27" spans="2:16" ht="15.75">
      <c r="B27" s="789" t="s">
        <v>1026</v>
      </c>
      <c r="C27" s="440">
        <v>0</v>
      </c>
      <c r="D27" s="445">
        <v>0</v>
      </c>
      <c r="E27" s="87">
        <v>16289</v>
      </c>
      <c r="F27" s="808"/>
      <c r="G27" s="808"/>
      <c r="H27" s="808"/>
      <c r="I27" s="808"/>
      <c r="J27" s="808"/>
      <c r="K27" s="808"/>
      <c r="L27" s="808"/>
      <c r="M27" s="808"/>
      <c r="N27" s="808"/>
      <c r="O27" s="808"/>
      <c r="P27" s="795"/>
    </row>
    <row r="28" spans="2:16" ht="15.75">
      <c r="B28" s="345"/>
      <c r="C28" s="440"/>
      <c r="D28" s="445"/>
      <c r="E28" s="87"/>
      <c r="F28" s="808"/>
      <c r="G28" s="808"/>
      <c r="H28" s="808"/>
      <c r="I28" s="808"/>
      <c r="J28" s="808"/>
      <c r="K28" s="808"/>
      <c r="L28" s="808"/>
      <c r="M28" s="808"/>
      <c r="N28" s="808"/>
      <c r="O28" s="808"/>
      <c r="P28" s="795"/>
    </row>
    <row r="29" spans="2:5" ht="15.75">
      <c r="B29" s="345"/>
      <c r="C29" s="440"/>
      <c r="D29" s="445"/>
      <c r="E29" s="87"/>
    </row>
    <row r="30" spans="2:5" ht="15.75">
      <c r="B30" s="341" t="s">
        <v>53</v>
      </c>
      <c r="C30" s="440"/>
      <c r="D30" s="445">
        <v>106</v>
      </c>
      <c r="E30" s="189">
        <f>Nhood!E8</f>
        <v>110</v>
      </c>
    </row>
    <row r="31" spans="2:15" ht="15.75">
      <c r="B31" s="341" t="s">
        <v>256</v>
      </c>
      <c r="C31" s="491"/>
      <c r="D31" s="445"/>
      <c r="E31" s="87"/>
      <c r="G31" s="856" t="str">
        <f>CONCATENATE("Projected Carryover Into ",E1+1,"")</f>
        <v>Projected Carryover Into 2015</v>
      </c>
      <c r="H31" s="874"/>
      <c r="I31" s="874"/>
      <c r="J31" s="873"/>
      <c r="L31" s="869" t="s">
        <v>949</v>
      </c>
      <c r="M31" s="870"/>
      <c r="N31" s="870"/>
      <c r="O31" s="871"/>
    </row>
    <row r="32" spans="2:15" ht="15.75">
      <c r="B32" s="341" t="s">
        <v>651</v>
      </c>
      <c r="C32" s="411">
        <f>IF(C33*0.1&lt;C31,"Exceed 10% Rule","")</f>
      </c>
      <c r="D32" s="411">
        <f>IF(D33*0.1&lt;D31,"Exceed 10% Rule","")</f>
      </c>
      <c r="E32" s="423">
        <f>IF(E33*0.1&lt;E31,"Exceed 10% Rule","")</f>
      </c>
      <c r="G32" s="563"/>
      <c r="H32" s="477"/>
      <c r="I32" s="477"/>
      <c r="J32" s="693"/>
      <c r="L32" s="705"/>
      <c r="M32" s="475"/>
      <c r="N32" s="655"/>
      <c r="O32" s="656"/>
    </row>
    <row r="33" spans="2:15" ht="15.75">
      <c r="B33" s="287" t="s">
        <v>174</v>
      </c>
      <c r="C33" s="442">
        <f>SUM(C21:C31)</f>
        <v>15329.25</v>
      </c>
      <c r="D33" s="442">
        <f>SUM(D21:D31)</f>
        <v>15353</v>
      </c>
      <c r="E33" s="338">
        <f>SUM(E21:E31)</f>
        <v>38121</v>
      </c>
      <c r="G33" s="474">
        <f>D34</f>
        <v>15153.619999999999</v>
      </c>
      <c r="H33" s="475" t="str">
        <f>CONCATENATE("",E1-1," Ending Cash Balance (est.)")</f>
        <v>2013 Ending Cash Balance (est.)</v>
      </c>
      <c r="I33" s="476"/>
      <c r="J33" s="693"/>
      <c r="L33" s="707">
        <f>summ!H17</f>
        <v>6.17</v>
      </c>
      <c r="M33" s="475" t="str">
        <f>CONCATENATE("",E1," Fund Mill Rate")</f>
        <v>2014 Fund Mill Rate</v>
      </c>
      <c r="N33" s="655"/>
      <c r="O33" s="656"/>
    </row>
    <row r="34" spans="2:15" ht="15.75">
      <c r="B34" s="178" t="s">
        <v>279</v>
      </c>
      <c r="C34" s="447">
        <f>C19-C33</f>
        <v>11525.619999999999</v>
      </c>
      <c r="D34" s="447">
        <f>D19-D33</f>
        <v>15153.619999999999</v>
      </c>
      <c r="E34" s="343" t="s">
        <v>152</v>
      </c>
      <c r="F34"/>
      <c r="G34" s="474">
        <f>E18</f>
        <v>3496</v>
      </c>
      <c r="H34" s="477" t="str">
        <f>CONCATENATE("",E1," Non-AV Receipts (est.)")</f>
        <v>2014 Non-AV Receipts (est.)</v>
      </c>
      <c r="I34" s="476"/>
      <c r="J34" s="693"/>
      <c r="L34" s="706">
        <f>summ!E17</f>
        <v>5.764</v>
      </c>
      <c r="M34" s="475" t="str">
        <f>CONCATENATE("",E1-1," Fund Mill Rate")</f>
        <v>2013 Fund Mill Rate</v>
      </c>
      <c r="N34" s="655"/>
      <c r="O34" s="656"/>
    </row>
    <row r="35" spans="2:15" ht="15.75">
      <c r="B35" s="210" t="str">
        <f>CONCATENATE("",E1-2,"/",E1-1," Budget Authority Amount:")</f>
        <v>2012/2013 Budget Authority Amount:</v>
      </c>
      <c r="C35" s="221">
        <f>inputOth!B56</f>
        <v>30575</v>
      </c>
      <c r="D35" s="291">
        <f>inputPrYr!D18</f>
        <v>29075</v>
      </c>
      <c r="E35" s="343" t="s">
        <v>152</v>
      </c>
      <c r="F35" s="292"/>
      <c r="G35" s="478">
        <f>IF(E39&gt;0,E38,E40)</f>
        <v>19471.38</v>
      </c>
      <c r="H35" s="477" t="str">
        <f>CONCATENATE("",E1," Ad Valorem Tax (est.)")</f>
        <v>2014 Ad Valorem Tax (est.)</v>
      </c>
      <c r="I35" s="476"/>
      <c r="J35" s="693"/>
      <c r="K35" s="699">
        <f>IF(G35=E40,"","Note: Does not include Delinquent Taxes")</f>
      </c>
      <c r="L35" s="708">
        <f>summ!H32</f>
        <v>87.277</v>
      </c>
      <c r="M35" s="475" t="str">
        <f>CONCATENATE("Total ",E1," Mill Rate")</f>
        <v>Total 2014 Mill Rate</v>
      </c>
      <c r="N35" s="655"/>
      <c r="O35" s="656"/>
    </row>
    <row r="36" spans="2:15" ht="15.75">
      <c r="B36" s="210"/>
      <c r="C36" s="865" t="s">
        <v>647</v>
      </c>
      <c r="D36" s="866"/>
      <c r="E36" s="87"/>
      <c r="F36" s="490">
        <f>IF(E33/0.95-E33&lt;E36,"Exceeds 5%","")</f>
      </c>
      <c r="G36" s="474">
        <f>SUM(G33:G35)</f>
        <v>38121</v>
      </c>
      <c r="H36" s="477" t="str">
        <f>CONCATENATE("Total ",E1," Resources Available")</f>
        <v>Total 2014 Resources Available</v>
      </c>
      <c r="I36" s="476"/>
      <c r="J36" s="693"/>
      <c r="L36" s="706">
        <f>summ!E32</f>
        <v>86.767</v>
      </c>
      <c r="M36" s="643" t="str">
        <f>CONCATENATE("Total ",E1-1," Mill Rate")</f>
        <v>Total 2013 Mill Rate</v>
      </c>
      <c r="N36" s="644"/>
      <c r="O36" s="645"/>
    </row>
    <row r="37" spans="2:10" ht="15.75">
      <c r="B37" s="452" t="str">
        <f>CONCATENATE(C85,"     ",D85)</f>
        <v>     </v>
      </c>
      <c r="C37" s="867" t="s">
        <v>648</v>
      </c>
      <c r="D37" s="868"/>
      <c r="E37" s="189">
        <f>E33+E36</f>
        <v>38121</v>
      </c>
      <c r="F37"/>
      <c r="G37" s="479"/>
      <c r="H37" s="477"/>
      <c r="I37" s="477"/>
      <c r="J37" s="693"/>
    </row>
    <row r="38" spans="2:14" ht="15.75">
      <c r="B38" s="452" t="str">
        <f>CONCATENATE(C86,"     ",D86)</f>
        <v>     </v>
      </c>
      <c r="C38" s="293"/>
      <c r="D38" s="218" t="s">
        <v>175</v>
      </c>
      <c r="E38" s="94">
        <f>IF(E37-E19&gt;0,E37-E19,0)</f>
        <v>19471.38</v>
      </c>
      <c r="F38"/>
      <c r="G38" s="478">
        <f>C33</f>
        <v>15329.25</v>
      </c>
      <c r="H38" s="477" t="str">
        <f>CONCATENATE("Less ",E1-2," Expenditures")</f>
        <v>Less 2012 Expenditures</v>
      </c>
      <c r="I38" s="477"/>
      <c r="J38" s="693"/>
      <c r="L38" s="749" t="s">
        <v>978</v>
      </c>
      <c r="M38" s="748"/>
      <c r="N38" s="747" t="str">
        <f>cert!E38</f>
        <v>Yes</v>
      </c>
    </row>
    <row r="39" spans="2:10" ht="15.75">
      <c r="B39" s="218"/>
      <c r="C39" s="439" t="s">
        <v>649</v>
      </c>
      <c r="D39" s="703">
        <f>inputOth!E41</f>
        <v>0</v>
      </c>
      <c r="E39" s="189">
        <f>ROUND(IF(D39&gt;0,(E38*D39),0),0)</f>
        <v>0</v>
      </c>
      <c r="F39"/>
      <c r="G39" s="695">
        <f>G36-G38</f>
        <v>22791.75</v>
      </c>
      <c r="H39" s="696" t="str">
        <f>CONCATENATE("Projected ",E1+1," carryover (est.)")</f>
        <v>Projected 2015 carryover (est.)</v>
      </c>
      <c r="I39" s="481"/>
      <c r="J39" s="734"/>
    </row>
    <row r="40" spans="2:6" ht="16.5" thickBot="1">
      <c r="B40" s="64"/>
      <c r="C40" s="859" t="str">
        <f>CONCATENATE("Amount of  ",E1-1," Ad Valorem Tax")</f>
        <v>Amount of  2013 Ad Valorem Tax</v>
      </c>
      <c r="D40" s="860"/>
      <c r="E40" s="710">
        <f>SUM(E38:E39)</f>
        <v>19471.38</v>
      </c>
      <c r="F40"/>
    </row>
    <row r="41" spans="2:6" ht="16.5" thickTop="1">
      <c r="B41" s="64"/>
      <c r="C41" s="859"/>
      <c r="D41" s="860"/>
      <c r="E41" s="711"/>
      <c r="F41"/>
    </row>
    <row r="42" spans="2:6" ht="15.75">
      <c r="B42" s="64"/>
      <c r="C42" s="629"/>
      <c r="D42" s="64"/>
      <c r="E42" s="64"/>
      <c r="F42"/>
    </row>
    <row r="43" spans="2:6" ht="15.75">
      <c r="B43" s="69"/>
      <c r="C43" s="69"/>
      <c r="D43" s="276"/>
      <c r="E43" s="276"/>
      <c r="F43"/>
    </row>
    <row r="44" spans="2:6" ht="15.75">
      <c r="B44" s="69" t="s">
        <v>164</v>
      </c>
      <c r="C44" s="713" t="s">
        <v>828</v>
      </c>
      <c r="D44" s="714" t="s">
        <v>829</v>
      </c>
      <c r="E44" s="174" t="s">
        <v>830</v>
      </c>
      <c r="F44"/>
    </row>
    <row r="45" spans="2:6" ht="15.75">
      <c r="B45" s="450" t="str">
        <f>inputPrYr!B21</f>
        <v>Library</v>
      </c>
      <c r="C45" s="331" t="str">
        <f>CONCATENATE("Actual for ",$E$1-2,"")</f>
        <v>Actual for 2012</v>
      </c>
      <c r="D45" s="412" t="str">
        <f>CONCATENATE("Estimate for ",$E$1-1,"")</f>
        <v>Estimate for 2013</v>
      </c>
      <c r="E45" s="229" t="str">
        <f>CONCATENATE("Year for ",$E$1,"")</f>
        <v>Year for 2014</v>
      </c>
      <c r="F45"/>
    </row>
    <row r="46" spans="2:5" ht="15.75">
      <c r="B46" s="178" t="s">
        <v>278</v>
      </c>
      <c r="C46" s="440">
        <v>0</v>
      </c>
      <c r="D46" s="443">
        <f>C66</f>
        <v>0</v>
      </c>
      <c r="E46" s="189">
        <f>D66</f>
        <v>0</v>
      </c>
    </row>
    <row r="47" spans="2:6" ht="15.75">
      <c r="B47" s="278" t="s">
        <v>280</v>
      </c>
      <c r="C47" s="178"/>
      <c r="D47" s="443"/>
      <c r="E47" s="189"/>
      <c r="F47"/>
    </row>
    <row r="48" spans="2:6" ht="15.75">
      <c r="B48" s="178" t="s">
        <v>165</v>
      </c>
      <c r="C48" s="491">
        <v>8708</v>
      </c>
      <c r="D48" s="443">
        <f>IF(inputPrYr!H16&gt;0,inputPrYr!G19,inputPrYr!E21)</f>
        <v>16969</v>
      </c>
      <c r="E48" s="343" t="s">
        <v>152</v>
      </c>
      <c r="F48"/>
    </row>
    <row r="49" spans="2:6" ht="15.75">
      <c r="B49" s="178" t="s">
        <v>166</v>
      </c>
      <c r="C49" s="491">
        <v>328</v>
      </c>
      <c r="D49" s="445">
        <v>0</v>
      </c>
      <c r="E49" s="87">
        <v>0</v>
      </c>
      <c r="F49"/>
    </row>
    <row r="50" spans="2:14" ht="15.75">
      <c r="B50" s="178" t="s">
        <v>167</v>
      </c>
      <c r="C50" s="491">
        <v>1730</v>
      </c>
      <c r="D50" s="445">
        <v>1803</v>
      </c>
      <c r="E50" s="189">
        <f>Mvalloc!D11</f>
        <v>3237</v>
      </c>
      <c r="F50" s="790"/>
      <c r="G50" s="795"/>
      <c r="H50" s="795"/>
      <c r="I50" s="795"/>
      <c r="J50" s="795"/>
      <c r="K50" s="795"/>
      <c r="L50" s="795"/>
      <c r="M50" s="795"/>
      <c r="N50" s="795"/>
    </row>
    <row r="51" spans="2:14" ht="15.75">
      <c r="B51" s="178" t="s">
        <v>168</v>
      </c>
      <c r="C51" s="491">
        <v>51</v>
      </c>
      <c r="D51" s="445">
        <v>50</v>
      </c>
      <c r="E51" s="189">
        <f>Mvalloc!E11</f>
        <v>88</v>
      </c>
      <c r="F51" s="809"/>
      <c r="G51" s="795"/>
      <c r="H51" s="795"/>
      <c r="I51" s="795"/>
      <c r="J51" s="795"/>
      <c r="K51" s="795"/>
      <c r="L51" s="795"/>
      <c r="M51" s="795"/>
      <c r="N51" s="795"/>
    </row>
    <row r="52" spans="2:14" ht="15.75">
      <c r="B52" s="191" t="s">
        <v>217</v>
      </c>
      <c r="C52" s="491">
        <v>29</v>
      </c>
      <c r="D52" s="445">
        <v>28</v>
      </c>
      <c r="E52" s="189">
        <f>Mvalloc!F11</f>
        <v>55</v>
      </c>
      <c r="F52" s="795"/>
      <c r="G52" s="795"/>
      <c r="H52" s="795"/>
      <c r="I52" s="795"/>
      <c r="J52" s="795"/>
      <c r="K52" s="795"/>
      <c r="L52" s="795"/>
      <c r="M52" s="795"/>
      <c r="N52" s="795"/>
    </row>
    <row r="53" spans="2:14" ht="15.75">
      <c r="B53" s="345"/>
      <c r="C53" s="491"/>
      <c r="D53" s="445"/>
      <c r="E53" s="87"/>
      <c r="F53" s="795"/>
      <c r="G53" s="795"/>
      <c r="H53" s="795"/>
      <c r="I53" s="795"/>
      <c r="J53" s="795"/>
      <c r="K53" s="795"/>
      <c r="L53" s="795"/>
      <c r="M53" s="795"/>
      <c r="N53" s="795"/>
    </row>
    <row r="54" spans="2:14" ht="15.75">
      <c r="B54" s="335" t="s">
        <v>170</v>
      </c>
      <c r="C54" s="491"/>
      <c r="D54" s="445"/>
      <c r="E54" s="87"/>
      <c r="F54" s="795"/>
      <c r="G54" s="795"/>
      <c r="H54" s="795"/>
      <c r="I54" s="795"/>
      <c r="J54" s="795"/>
      <c r="K54" s="795"/>
      <c r="L54" s="795"/>
      <c r="M54" s="795"/>
      <c r="N54" s="795"/>
    </row>
    <row r="55" spans="2:14" ht="15.75">
      <c r="B55" s="178" t="s">
        <v>256</v>
      </c>
      <c r="C55" s="491"/>
      <c r="D55" s="491"/>
      <c r="E55" s="583"/>
      <c r="F55" s="795"/>
      <c r="G55" s="795"/>
      <c r="H55" s="795"/>
      <c r="I55" s="795"/>
      <c r="J55" s="795"/>
      <c r="K55" s="795"/>
      <c r="L55" s="795"/>
      <c r="M55" s="795"/>
      <c r="N55" s="795"/>
    </row>
    <row r="56" spans="2:14" ht="15.75">
      <c r="B56" s="178" t="s">
        <v>646</v>
      </c>
      <c r="C56" s="411">
        <f>IF(C57*0.1&lt;C55,"Exceed 10% Rule","")</f>
      </c>
      <c r="D56" s="411">
        <f>IF(D57*0.1&lt;D55,"Exceeds 10% Rule","")</f>
      </c>
      <c r="E56" s="423">
        <f>IF(E57*0.1&lt;E55,"Exceed 10% Rule","")</f>
      </c>
      <c r="F56" s="795"/>
      <c r="G56" s="795"/>
      <c r="H56" s="795"/>
      <c r="I56" s="795"/>
      <c r="J56" s="795"/>
      <c r="K56" s="795"/>
      <c r="L56" s="795"/>
      <c r="M56" s="795"/>
      <c r="N56" s="795"/>
    </row>
    <row r="57" spans="2:14" ht="15.75">
      <c r="B57" s="287" t="s">
        <v>171</v>
      </c>
      <c r="C57" s="442">
        <f>SUM(C48:C55)</f>
        <v>10846</v>
      </c>
      <c r="D57" s="442">
        <f>SUM(D48:D55)</f>
        <v>18850</v>
      </c>
      <c r="E57" s="338">
        <f>SUM(E49:E55)</f>
        <v>3380</v>
      </c>
      <c r="F57" s="795"/>
      <c r="G57" s="795"/>
      <c r="H57" s="795"/>
      <c r="I57" s="795"/>
      <c r="J57" s="795"/>
      <c r="K57" s="795"/>
      <c r="L57" s="795"/>
      <c r="M57" s="795"/>
      <c r="N57" s="795"/>
    </row>
    <row r="58" spans="2:14" ht="15.75">
      <c r="B58" s="287" t="s">
        <v>172</v>
      </c>
      <c r="C58" s="442">
        <f>C46+C57</f>
        <v>10846</v>
      </c>
      <c r="D58" s="442">
        <f>D46+D57</f>
        <v>18850</v>
      </c>
      <c r="E58" s="338">
        <f>E46+E57</f>
        <v>3380</v>
      </c>
      <c r="F58" s="795"/>
      <c r="G58" s="795"/>
      <c r="H58" s="795"/>
      <c r="I58" s="795"/>
      <c r="J58" s="795"/>
      <c r="K58" s="795"/>
      <c r="L58" s="795"/>
      <c r="M58" s="795"/>
      <c r="N58" s="795"/>
    </row>
    <row r="59" spans="2:14" ht="15.75">
      <c r="B59" s="178" t="s">
        <v>173</v>
      </c>
      <c r="C59" s="178"/>
      <c r="D59" s="443"/>
      <c r="E59" s="189"/>
      <c r="F59" s="795"/>
      <c r="G59" s="795"/>
      <c r="H59" s="795"/>
      <c r="I59" s="795"/>
      <c r="J59" s="795"/>
      <c r="K59" s="795"/>
      <c r="L59" s="795"/>
      <c r="M59" s="795"/>
      <c r="N59" s="795"/>
    </row>
    <row r="60" spans="2:14" ht="15.75">
      <c r="B60" s="345" t="s">
        <v>1121</v>
      </c>
      <c r="C60" s="440">
        <v>10753</v>
      </c>
      <c r="D60" s="445">
        <v>18741</v>
      </c>
      <c r="E60" s="87">
        <v>20730</v>
      </c>
      <c r="F60" s="790"/>
      <c r="G60" s="795"/>
      <c r="H60" s="795"/>
      <c r="I60" s="795"/>
      <c r="J60" s="795"/>
      <c r="K60" s="795"/>
      <c r="L60" s="795"/>
      <c r="M60" s="795"/>
      <c r="N60" s="795"/>
    </row>
    <row r="61" spans="2:5" ht="15.75">
      <c r="B61" s="345"/>
      <c r="C61" s="440"/>
      <c r="D61" s="445"/>
      <c r="E61" s="87"/>
    </row>
    <row r="62" spans="2:6" ht="15.75">
      <c r="B62" s="191" t="s">
        <v>53</v>
      </c>
      <c r="C62" s="440">
        <v>93</v>
      </c>
      <c r="D62" s="445">
        <v>109</v>
      </c>
      <c r="E62" s="189">
        <f>Nhood!E9</f>
        <v>98</v>
      </c>
      <c r="F62"/>
    </row>
    <row r="63" spans="2:15" ht="15.75">
      <c r="B63" s="191" t="s">
        <v>256</v>
      </c>
      <c r="C63" s="491"/>
      <c r="D63" s="445"/>
      <c r="E63" s="87"/>
      <c r="F63"/>
      <c r="G63" s="856" t="str">
        <f>CONCATENATE("Projected Carryover Into ",E1+1,"")</f>
        <v>Projected Carryover Into 2015</v>
      </c>
      <c r="H63" s="872"/>
      <c r="I63" s="872"/>
      <c r="J63" s="873"/>
      <c r="L63" s="856" t="str">
        <f>CONCATENATE("Desired Carryover Into ",E1+1,"")</f>
        <v>Desired Carryover Into 2015</v>
      </c>
      <c r="M63" s="857"/>
      <c r="N63" s="857"/>
      <c r="O63" s="858"/>
    </row>
    <row r="64" spans="2:15" ht="15.75">
      <c r="B64" s="191" t="s">
        <v>645</v>
      </c>
      <c r="C64" s="411">
        <f>IF(C65*0.1&lt;C63,"Exceed 10% Rule","")</f>
      </c>
      <c r="D64" s="411">
        <f>IF(D65*0.1&lt;D63,"Exceed 10% Rule","")</f>
      </c>
      <c r="E64" s="423">
        <f>IF(E65*0.1&lt;E63,"Exceed 10% Rule","")</f>
      </c>
      <c r="F64"/>
      <c r="G64" s="472"/>
      <c r="H64" s="461"/>
      <c r="I64" s="461"/>
      <c r="J64" s="709"/>
      <c r="L64" s="563"/>
      <c r="M64" s="461"/>
      <c r="N64" s="477"/>
      <c r="O64" s="564"/>
    </row>
    <row r="65" spans="2:15" ht="15.75">
      <c r="B65" s="287" t="s">
        <v>174</v>
      </c>
      <c r="C65" s="442">
        <f>SUM(C60:C63)</f>
        <v>10846</v>
      </c>
      <c r="D65" s="442">
        <f>SUM(D60:D63)</f>
        <v>18850</v>
      </c>
      <c r="E65" s="338">
        <f>SUM(E60:E63)</f>
        <v>20828</v>
      </c>
      <c r="F65"/>
      <c r="G65" s="474">
        <f>D66</f>
        <v>0</v>
      </c>
      <c r="H65" s="475" t="str">
        <f>CONCATENATE("",E1-1," Ending Cash Balance (est.)")</f>
        <v>2013 Ending Cash Balance (est.)</v>
      </c>
      <c r="I65" s="476"/>
      <c r="J65" s="709"/>
      <c r="L65" s="483" t="s">
        <v>654</v>
      </c>
      <c r="M65" s="477"/>
      <c r="N65" s="477"/>
      <c r="O65" s="471">
        <v>0</v>
      </c>
    </row>
    <row r="66" spans="2:15" ht="15.75">
      <c r="B66" s="178" t="s">
        <v>279</v>
      </c>
      <c r="C66" s="447">
        <f>C58-C65</f>
        <v>0</v>
      </c>
      <c r="D66" s="447">
        <f>D58-D65</f>
        <v>0</v>
      </c>
      <c r="E66" s="343" t="s">
        <v>152</v>
      </c>
      <c r="F66"/>
      <c r="G66" s="474">
        <f>E57</f>
        <v>3380</v>
      </c>
      <c r="H66" s="477" t="str">
        <f>CONCATENATE("",E1," Non-AV Receipts (est.)")</f>
        <v>2014 Non-AV Receipts (est.)</v>
      </c>
      <c r="I66" s="476"/>
      <c r="J66" s="709"/>
      <c r="L66" s="563" t="s">
        <v>653</v>
      </c>
      <c r="M66" s="461"/>
      <c r="N66" s="461"/>
      <c r="O66" s="694">
        <f>IF(O65=0,"",ROUND((O65+E72-G71)/inputOth!E7*1000,3)-G76)</f>
      </c>
    </row>
    <row r="67" spans="2:15" ht="15.75">
      <c r="B67" s="210" t="str">
        <f>CONCATENATE("",E1-2,"/",E1-1," Budget Authority Amount:")</f>
        <v>2012/2013 Budget Authority Amount:</v>
      </c>
      <c r="C67" s="221">
        <f>inputOth!B57</f>
        <v>10850</v>
      </c>
      <c r="D67" s="221">
        <f>inputPrYr!D21</f>
        <v>19094</v>
      </c>
      <c r="E67" s="343" t="s">
        <v>152</v>
      </c>
      <c r="F67" s="292"/>
      <c r="G67" s="478">
        <f>IF(E71&gt;0,E70,E72)</f>
        <v>17448</v>
      </c>
      <c r="H67" s="477" t="str">
        <f>CONCATENATE("",E1," Ad Valorem Tax (est.)")</f>
        <v>2014 Ad Valorem Tax (est.)</v>
      </c>
      <c r="I67" s="476"/>
      <c r="J67" s="709"/>
      <c r="K67" s="699">
        <f>IF(G67=E72,"","Note: Does not include Delinquent Taxes")</f>
      </c>
      <c r="L67" s="660" t="str">
        <f>CONCATENATE("",E1," Tot Exp/Non-Appr Must Be:")</f>
        <v>2014 Tot Exp/Non-Appr Must Be:</v>
      </c>
      <c r="M67" s="657"/>
      <c r="N67" s="658"/>
      <c r="O67" s="654">
        <f>IF(O65&gt;0,IF(E69&lt;E58,IF(O65=G71,E69,((O65-G71)*(1-D71))+E58),E69+(O65-G71)),0)</f>
        <v>0</v>
      </c>
    </row>
    <row r="68" spans="2:15" ht="15.75">
      <c r="B68" s="210"/>
      <c r="C68" s="865" t="s">
        <v>647</v>
      </c>
      <c r="D68" s="866"/>
      <c r="E68" s="87"/>
      <c r="F68" s="690">
        <f>IF(E65/0.95-E65&lt;E68,"Exceeds 5%","")</f>
      </c>
      <c r="G68" s="565">
        <f>SUM(G65:G67)</f>
        <v>20828</v>
      </c>
      <c r="H68" s="477" t="str">
        <f>CONCATENATE("Total ",E1," Resources Available")</f>
        <v>Total 2014 Resources Available</v>
      </c>
      <c r="I68" s="473"/>
      <c r="J68" s="709"/>
      <c r="L68" s="692" t="s">
        <v>832</v>
      </c>
      <c r="M68" s="697"/>
      <c r="N68" s="697"/>
      <c r="O68" s="661">
        <f>IF(O65&gt;0,O67-E69,0)</f>
        <v>0</v>
      </c>
    </row>
    <row r="69" spans="2:10" ht="15.75">
      <c r="B69" s="452" t="str">
        <f>CONCATENATE(C87,"     ",D87)</f>
        <v>     </v>
      </c>
      <c r="C69" s="867" t="s">
        <v>648</v>
      </c>
      <c r="D69" s="868"/>
      <c r="E69" s="189">
        <f>E65+E68</f>
        <v>20828</v>
      </c>
      <c r="F69"/>
      <c r="G69" s="568"/>
      <c r="H69" s="566"/>
      <c r="I69" s="461"/>
      <c r="J69" s="709"/>
    </row>
    <row r="70" spans="2:10" ht="15.75">
      <c r="B70" s="452" t="str">
        <f>CONCATENATE(C88,"     ",D88)</f>
        <v>     </v>
      </c>
      <c r="C70" s="293"/>
      <c r="D70" s="218" t="s">
        <v>175</v>
      </c>
      <c r="E70" s="94">
        <f>IF(E69-E58&gt;0,E69-E58,0)</f>
        <v>17448</v>
      </c>
      <c r="F70"/>
      <c r="G70" s="567">
        <f>ROUND(C65*0.05+C65,0)</f>
        <v>11388</v>
      </c>
      <c r="H70" s="566" t="str">
        <f>CONCATENATE("Less ",E1-2," Expenditures + 5%")</f>
        <v>Less 2012 Expenditures + 5%</v>
      </c>
      <c r="I70" s="473"/>
      <c r="J70" s="709"/>
    </row>
    <row r="71" spans="2:10" ht="15.75">
      <c r="B71" s="218"/>
      <c r="C71" s="439" t="s">
        <v>649</v>
      </c>
      <c r="D71" s="703">
        <f>inputOth!E41</f>
        <v>0</v>
      </c>
      <c r="E71" s="189">
        <f>ROUND(IF(E70&gt;0,(E70*D71),0),0)</f>
        <v>0</v>
      </c>
      <c r="F71"/>
      <c r="G71" s="577">
        <f>G68-G70</f>
        <v>9440</v>
      </c>
      <c r="H71" s="578" t="str">
        <f>CONCATENATE("Projected ",E1+1," carryover (est.)")</f>
        <v>Projected 2015 carryover (est.)</v>
      </c>
      <c r="I71" s="482"/>
      <c r="J71" s="735"/>
    </row>
    <row r="72" spans="2:6" ht="16.5" thickBot="1">
      <c r="B72" s="64"/>
      <c r="C72" s="859" t="str">
        <f>CONCATENATE("Amount of  ",E1-1," Ad Valorem Tax")</f>
        <v>Amount of  2013 Ad Valorem Tax</v>
      </c>
      <c r="D72" s="860"/>
      <c r="E72" s="710">
        <f>E70+E71</f>
        <v>17448</v>
      </c>
      <c r="F72" s="691" t="str">
        <f>IF('Library Grant'!F33="","",IF('Library Grant'!F33="Qualify","Qualifies for State Library Grant","See 'Library Grant' tab"))</f>
        <v>Qualifies for State Library Grant</v>
      </c>
    </row>
    <row r="73" spans="2:10" ht="16.5" thickTop="1">
      <c r="B73" s="218"/>
      <c r="C73" s="859"/>
      <c r="D73" s="860"/>
      <c r="E73" s="711"/>
      <c r="F73"/>
      <c r="G73" s="869" t="s">
        <v>949</v>
      </c>
      <c r="H73" s="870"/>
      <c r="I73" s="870"/>
      <c r="J73" s="871"/>
    </row>
    <row r="74" spans="2:10" ht="15.75">
      <c r="B74" s="218"/>
      <c r="C74" s="218"/>
      <c r="D74" s="218"/>
      <c r="E74" s="218"/>
      <c r="G74" s="705"/>
      <c r="H74" s="475"/>
      <c r="I74" s="655"/>
      <c r="J74" s="656"/>
    </row>
    <row r="75" spans="2:10" ht="15.75">
      <c r="B75" s="218" t="s">
        <v>177</v>
      </c>
      <c r="C75" s="344">
        <v>9</v>
      </c>
      <c r="D75" s="218"/>
      <c r="E75" s="218"/>
      <c r="F75"/>
      <c r="G75" s="707">
        <f>summ!H18</f>
        <v>5.529</v>
      </c>
      <c r="H75" s="475" t="str">
        <f>CONCATENATE("",E1," Fund Mill Rate")</f>
        <v>2014 Fund Mill Rate</v>
      </c>
      <c r="I75" s="655"/>
      <c r="J75" s="656"/>
    </row>
    <row r="76" spans="7:10" ht="15.75">
      <c r="G76" s="706">
        <f>summ!E18</f>
        <v>5.572</v>
      </c>
      <c r="H76" s="475" t="str">
        <f>CONCATENATE("",E1-1," Fund Mill Rate")</f>
        <v>2013 Fund Mill Rate</v>
      </c>
      <c r="I76" s="655"/>
      <c r="J76" s="656"/>
    </row>
    <row r="77" spans="7:10" ht="15.75">
      <c r="G77" s="708">
        <f>summ!H32</f>
        <v>87.277</v>
      </c>
      <c r="H77" s="475" t="str">
        <f>CONCATENATE("Total ",E1," Mill Rate")</f>
        <v>Total 2014 Mill Rate</v>
      </c>
      <c r="I77" s="655"/>
      <c r="J77" s="656"/>
    </row>
    <row r="78" spans="7:10" ht="15.75">
      <c r="G78" s="706">
        <f>summ!E32</f>
        <v>86.767</v>
      </c>
      <c r="H78" s="643" t="str">
        <f>CONCATENATE("Total ",E1-1," Mill Rate")</f>
        <v>Total 2013 Mill Rate</v>
      </c>
      <c r="I78" s="644"/>
      <c r="J78" s="645"/>
    </row>
    <row r="79" spans="7:10" ht="15.75">
      <c r="G79" s="712"/>
      <c r="H79" s="712"/>
      <c r="I79" s="712"/>
      <c r="J79" s="712"/>
    </row>
    <row r="80" spans="3:9" ht="15.75">
      <c r="C80" s="65" t="s">
        <v>650</v>
      </c>
      <c r="D80" s="65" t="s">
        <v>650</v>
      </c>
      <c r="G80" s="752" t="s">
        <v>978</v>
      </c>
      <c r="H80" s="751"/>
      <c r="I80" s="750" t="str">
        <f>cert!E38</f>
        <v>Yes</v>
      </c>
    </row>
    <row r="81" spans="3:4" ht="15.75">
      <c r="C81" s="65" t="s">
        <v>650</v>
      </c>
      <c r="D81" s="65" t="s">
        <v>650</v>
      </c>
    </row>
    <row r="83" spans="3:4" ht="15.75">
      <c r="C83" s="65" t="s">
        <v>650</v>
      </c>
      <c r="D83" s="65" t="s">
        <v>650</v>
      </c>
    </row>
    <row r="84" spans="3:4" ht="15.75">
      <c r="C84" s="65" t="s">
        <v>650</v>
      </c>
      <c r="D84" s="65" t="s">
        <v>650</v>
      </c>
    </row>
    <row r="85" spans="3:4" ht="15.75" hidden="1">
      <c r="C85" s="460">
        <f>IF(C33&gt;C35,"See Tab A","")</f>
      </c>
      <c r="D85" s="460">
        <f>IF(D33&gt;D35,"See Tab C","")</f>
      </c>
    </row>
    <row r="86" spans="3:4" ht="15.75" hidden="1">
      <c r="C86" s="460">
        <f>IF(C34&lt;0,"See Tab B","")</f>
      </c>
      <c r="D86" s="460">
        <f>IF(D34&lt;0,"See Tab D","")</f>
      </c>
    </row>
    <row r="87" spans="3:4" ht="15.75" hidden="1">
      <c r="C87" s="453">
        <f>IF(C65&gt;C67,"See Tab A","")</f>
      </c>
      <c r="D87" s="453">
        <f>IF(D65&gt;D67,"See Tab C","")</f>
      </c>
    </row>
    <row r="88" spans="3:4" ht="15.75" hidden="1">
      <c r="C88" s="453">
        <f>IF(C66&lt;0,"See Tab B","")</f>
      </c>
      <c r="D88" s="453">
        <f>IF(D66&lt;0,"See Tab D","")</f>
      </c>
    </row>
  </sheetData>
  <sheetProtection/>
  <mergeCells count="14">
    <mergeCell ref="L31:O31"/>
    <mergeCell ref="C73:D73"/>
    <mergeCell ref="C72:D72"/>
    <mergeCell ref="C68:D68"/>
    <mergeCell ref="C69:D69"/>
    <mergeCell ref="L63:O63"/>
    <mergeCell ref="G63:J63"/>
    <mergeCell ref="G73:J73"/>
    <mergeCell ref="C36:D36"/>
    <mergeCell ref="C37:D37"/>
    <mergeCell ref="C40:D40"/>
    <mergeCell ref="G17:J17"/>
    <mergeCell ref="G31:J31"/>
    <mergeCell ref="C41:D41"/>
  </mergeCells>
  <conditionalFormatting sqref="C65">
    <cfRule type="cellIs" priority="18" dxfId="0" operator="greaterThan" stopIfTrue="1">
      <formula>$C$67</formula>
    </cfRule>
  </conditionalFormatting>
  <conditionalFormatting sqref="C66:D66 C34:D34">
    <cfRule type="cellIs" priority="17" dxfId="0" operator="lessThan" stopIfTrue="1">
      <formula>0</formula>
    </cfRule>
  </conditionalFormatting>
  <conditionalFormatting sqref="D65">
    <cfRule type="cellIs" priority="16" dxfId="0" operator="greaterThan" stopIfTrue="1">
      <formula>$D$67</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6 C55:E55">
    <cfRule type="cellIs" priority="7" dxfId="0" operator="greaterThan" stopIfTrue="1">
      <formula>$C$18*0.1</formula>
    </cfRule>
  </conditionalFormatting>
  <conditionalFormatting sqref="D16">
    <cfRule type="cellIs" priority="6" dxfId="0" operator="greaterThan" stopIfTrue="1">
      <formula>$D$18*0.1</formula>
    </cfRule>
  </conditionalFormatting>
  <conditionalFormatting sqref="C63">
    <cfRule type="cellIs" priority="3" dxfId="0" operator="greaterThan" stopIfTrue="1">
      <formula>$C$65*0.1</formula>
    </cfRule>
  </conditionalFormatting>
  <conditionalFormatting sqref="D63">
    <cfRule type="cellIs" priority="2" dxfId="0" operator="greaterThan" stopIfTrue="1">
      <formula>$D$65*0.1</formula>
    </cfRule>
  </conditionalFormatting>
  <conditionalFormatting sqref="E63">
    <cfRule type="cellIs" priority="1" dxfId="0" operator="greaterThan" stopIfTrue="1">
      <formula>$E$65*0.1</formula>
    </cfRule>
  </conditionalFormatting>
  <conditionalFormatting sqref="E16">
    <cfRule type="cellIs" priority="26" dxfId="0" operator="greaterThan" stopIfTrue="1">
      <formula>$E$18*0.1+$E$40</formula>
    </cfRule>
  </conditionalFormatting>
  <printOptions/>
  <pageMargins left="0.75" right="0.75" top="1" bottom="1" header="0.5" footer="0.5"/>
  <pageSetup blackAndWhite="1" fitToHeight="1" fitToWidth="1" horizontalDpi="600" verticalDpi="600" orientation="portrait" scale="5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Q74"/>
  <sheetViews>
    <sheetView zoomScalePageLayoutView="0" workbookViewId="0" topLeftCell="A49">
      <selection activeCell="A37" sqref="A37"/>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Blue Rapids</v>
      </c>
      <c r="C1" s="64"/>
      <c r="D1" s="64"/>
      <c r="E1" s="161">
        <f>inputPrYr!$C$5</f>
        <v>2014</v>
      </c>
    </row>
    <row r="2" spans="2:5" ht="15.75">
      <c r="B2" s="64"/>
      <c r="C2" s="64"/>
      <c r="D2" s="64"/>
      <c r="E2" s="218"/>
    </row>
    <row r="3" spans="2:5" ht="15.75">
      <c r="B3" s="81" t="s">
        <v>222</v>
      </c>
      <c r="C3" s="329"/>
      <c r="D3" s="329"/>
      <c r="E3" s="330"/>
    </row>
    <row r="4" spans="2:5" ht="15.75">
      <c r="B4" s="69" t="s">
        <v>164</v>
      </c>
      <c r="C4" s="713" t="s">
        <v>828</v>
      </c>
      <c r="D4" s="714" t="s">
        <v>829</v>
      </c>
      <c r="E4" s="174" t="s">
        <v>830</v>
      </c>
    </row>
    <row r="5" spans="2:15" ht="15.75">
      <c r="B5" s="450" t="str">
        <f>(inputPrYr!B28)</f>
        <v>Special Highway</v>
      </c>
      <c r="C5" s="331" t="str">
        <f>CONCATENATE("Actual for ",$E$1-2,"")</f>
        <v>Actual for 2012</v>
      </c>
      <c r="D5" s="412" t="str">
        <f>CONCATENATE("Estimate for ",$E$1-1,"")</f>
        <v>Estimate for 2013</v>
      </c>
      <c r="E5" s="229" t="str">
        <f>CONCATENATE("Year for ",$E$1,"")</f>
        <v>Year for 2014</v>
      </c>
      <c r="F5" s="805"/>
      <c r="G5" s="805"/>
      <c r="H5" s="805"/>
      <c r="I5" s="805"/>
      <c r="J5" s="805"/>
      <c r="K5" s="805"/>
      <c r="L5" s="805"/>
      <c r="M5" s="805"/>
      <c r="N5" s="805"/>
      <c r="O5" s="805"/>
    </row>
    <row r="6" spans="2:15" ht="15.75">
      <c r="B6" s="178" t="s">
        <v>278</v>
      </c>
      <c r="C6" s="87">
        <v>0</v>
      </c>
      <c r="D6" s="189">
        <f>C25</f>
        <v>0.020000000000436557</v>
      </c>
      <c r="E6" s="189">
        <f>D25</f>
        <v>0.020000000000436557</v>
      </c>
      <c r="F6" s="790"/>
      <c r="G6" s="805"/>
      <c r="H6" s="805"/>
      <c r="I6" s="805"/>
      <c r="J6" s="805"/>
      <c r="K6" s="805"/>
      <c r="L6" s="805"/>
      <c r="M6" s="805"/>
      <c r="N6" s="805"/>
      <c r="O6" s="805"/>
    </row>
    <row r="7" spans="2:15" ht="15.75">
      <c r="B7" s="278" t="s">
        <v>280</v>
      </c>
      <c r="C7" s="189"/>
      <c r="D7" s="189"/>
      <c r="E7" s="189"/>
      <c r="F7" s="782"/>
      <c r="G7" s="805"/>
      <c r="H7" s="805"/>
      <c r="I7" s="805"/>
      <c r="J7" s="805"/>
      <c r="K7" s="805"/>
      <c r="L7" s="805"/>
      <c r="M7" s="805"/>
      <c r="N7" s="805"/>
      <c r="O7" s="805"/>
    </row>
    <row r="8" spans="2:15" ht="15.75">
      <c r="B8" s="341" t="s">
        <v>179</v>
      </c>
      <c r="C8" s="87">
        <v>26241.58</v>
      </c>
      <c r="D8" s="189">
        <f>inputOth!E47</f>
        <v>25320</v>
      </c>
      <c r="E8" s="189">
        <f>inputOth!E45</f>
        <v>26230</v>
      </c>
      <c r="F8" s="782"/>
      <c r="G8" s="805"/>
      <c r="H8" s="805"/>
      <c r="I8" s="805"/>
      <c r="J8" s="805"/>
      <c r="K8" s="805"/>
      <c r="L8" s="805"/>
      <c r="M8" s="805"/>
      <c r="N8" s="805"/>
      <c r="O8" s="805"/>
    </row>
    <row r="9" spans="2:15" ht="15.75">
      <c r="B9" s="341" t="s">
        <v>319</v>
      </c>
      <c r="C9" s="87">
        <v>0</v>
      </c>
      <c r="D9" s="189">
        <f>inputOth!E48</f>
        <v>0</v>
      </c>
      <c r="E9" s="189">
        <f>inputOth!E46</f>
        <v>0</v>
      </c>
      <c r="F9" s="782"/>
      <c r="G9" s="805"/>
      <c r="H9" s="805"/>
      <c r="I9" s="805"/>
      <c r="J9" s="805"/>
      <c r="K9" s="805"/>
      <c r="L9" s="805"/>
      <c r="M9" s="805"/>
      <c r="N9" s="805"/>
      <c r="O9" s="805"/>
    </row>
    <row r="10" spans="2:15" ht="15.75">
      <c r="B10" s="290" t="s">
        <v>1023</v>
      </c>
      <c r="C10" s="87">
        <v>0</v>
      </c>
      <c r="D10" s="87">
        <v>950</v>
      </c>
      <c r="E10" s="87">
        <v>950</v>
      </c>
      <c r="F10" s="772"/>
      <c r="G10" s="805"/>
      <c r="H10" s="805"/>
      <c r="I10" s="805"/>
      <c r="J10" s="805"/>
      <c r="K10" s="805"/>
      <c r="L10" s="805"/>
      <c r="M10" s="805"/>
      <c r="N10" s="805"/>
      <c r="O10" s="805"/>
    </row>
    <row r="11" spans="2:15" ht="15.75">
      <c r="B11" s="290"/>
      <c r="C11" s="87"/>
      <c r="D11" s="87"/>
      <c r="E11" s="87"/>
      <c r="F11" s="772"/>
      <c r="G11" s="805"/>
      <c r="H11" s="805"/>
      <c r="I11" s="805"/>
      <c r="J11" s="805"/>
      <c r="K11" s="805"/>
      <c r="L11" s="805"/>
      <c r="M11" s="805"/>
      <c r="N11" s="805"/>
      <c r="O11" s="805"/>
    </row>
    <row r="12" spans="2:15" ht="15.75">
      <c r="B12" s="335" t="s">
        <v>170</v>
      </c>
      <c r="C12" s="87">
        <v>0</v>
      </c>
      <c r="D12" s="87">
        <v>0</v>
      </c>
      <c r="E12" s="87">
        <v>0</v>
      </c>
      <c r="F12" s="772"/>
      <c r="G12" s="805"/>
      <c r="H12" s="805"/>
      <c r="I12" s="805"/>
      <c r="J12" s="805"/>
      <c r="K12" s="805"/>
      <c r="L12" s="805"/>
      <c r="M12" s="805"/>
      <c r="N12" s="805"/>
      <c r="O12" s="805"/>
    </row>
    <row r="13" spans="2:15" ht="15.75">
      <c r="B13" s="339" t="s">
        <v>256</v>
      </c>
      <c r="C13" s="87">
        <v>0</v>
      </c>
      <c r="D13" s="87">
        <v>0</v>
      </c>
      <c r="E13" s="87">
        <v>0</v>
      </c>
      <c r="F13" s="772"/>
      <c r="G13" s="805"/>
      <c r="H13" s="805"/>
      <c r="I13" s="805"/>
      <c r="J13" s="805"/>
      <c r="K13" s="805"/>
      <c r="L13" s="805"/>
      <c r="M13" s="805"/>
      <c r="N13" s="805"/>
      <c r="O13" s="805"/>
    </row>
    <row r="14" spans="2:15" ht="15.75">
      <c r="B14" s="339" t="s">
        <v>646</v>
      </c>
      <c r="C14" s="451">
        <f>IF(C15*0.1&lt;C13,"Exceed 10% Rule","")</f>
      </c>
      <c r="D14" s="336">
        <f>IF(D15*0.1&lt;D13,"Exceed 10% Rule","")</f>
      </c>
      <c r="E14" s="336">
        <f>IF(E15*0.1&lt;E13,"Exceed 10% Rule","")</f>
      </c>
      <c r="F14" s="772"/>
      <c r="G14" s="805"/>
      <c r="H14" s="805"/>
      <c r="I14" s="805"/>
      <c r="J14" s="805"/>
      <c r="K14" s="805"/>
      <c r="L14" s="805"/>
      <c r="M14" s="805"/>
      <c r="N14" s="805"/>
      <c r="O14" s="805"/>
    </row>
    <row r="15" spans="2:15" ht="15.75">
      <c r="B15" s="287" t="s">
        <v>171</v>
      </c>
      <c r="C15" s="338">
        <f>SUM(C8:C13)</f>
        <v>26241.58</v>
      </c>
      <c r="D15" s="338">
        <f>SUM(D8:D13)</f>
        <v>26270</v>
      </c>
      <c r="E15" s="338">
        <f>SUM(E8:E13)</f>
        <v>27180</v>
      </c>
      <c r="F15" s="772"/>
      <c r="G15" s="805"/>
      <c r="H15" s="805"/>
      <c r="I15" s="805"/>
      <c r="J15" s="805"/>
      <c r="K15" s="805"/>
      <c r="L15" s="805"/>
      <c r="M15" s="805"/>
      <c r="N15" s="805"/>
      <c r="O15" s="805"/>
    </row>
    <row r="16" spans="2:15" ht="15.75">
      <c r="B16" s="287" t="s">
        <v>172</v>
      </c>
      <c r="C16" s="338">
        <f>C6+C15</f>
        <v>26241.58</v>
      </c>
      <c r="D16" s="338">
        <f>D6+D15</f>
        <v>26270.02</v>
      </c>
      <c r="E16" s="338">
        <f>E6+E15</f>
        <v>27180.02</v>
      </c>
      <c r="F16" s="805"/>
      <c r="G16" s="805"/>
      <c r="H16" s="805"/>
      <c r="I16" s="805"/>
      <c r="J16" s="805"/>
      <c r="K16" s="805"/>
      <c r="L16" s="805"/>
      <c r="M16" s="805"/>
      <c r="N16" s="805"/>
      <c r="O16" s="805"/>
    </row>
    <row r="17" spans="2:15" ht="15.75">
      <c r="B17" s="178" t="s">
        <v>173</v>
      </c>
      <c r="C17" s="189"/>
      <c r="D17" s="189"/>
      <c r="E17" s="189"/>
      <c r="F17" s="772"/>
      <c r="G17" s="772"/>
      <c r="H17" s="772"/>
      <c r="I17" s="772"/>
      <c r="J17" s="772"/>
      <c r="K17" s="772"/>
      <c r="L17" s="772"/>
      <c r="M17" s="772"/>
      <c r="N17" s="805"/>
      <c r="O17" s="805"/>
    </row>
    <row r="18" spans="2:15" ht="15.75">
      <c r="B18" s="290" t="s">
        <v>1024</v>
      </c>
      <c r="C18" s="87">
        <v>0</v>
      </c>
      <c r="D18" s="87">
        <v>0</v>
      </c>
      <c r="E18" s="87">
        <v>0</v>
      </c>
      <c r="F18" s="772"/>
      <c r="G18" s="772"/>
      <c r="H18" s="772"/>
      <c r="I18" s="772"/>
      <c r="J18" s="772"/>
      <c r="K18" s="772"/>
      <c r="L18" s="772"/>
      <c r="M18" s="772"/>
      <c r="N18" s="805"/>
      <c r="O18" s="805"/>
    </row>
    <row r="19" spans="2:15" ht="15.75">
      <c r="B19" s="403" t="s">
        <v>1025</v>
      </c>
      <c r="C19" s="87">
        <v>26241.56</v>
      </c>
      <c r="D19" s="87">
        <v>26270</v>
      </c>
      <c r="E19" s="87">
        <v>27180</v>
      </c>
      <c r="F19" s="772"/>
      <c r="G19" s="772"/>
      <c r="H19" s="772"/>
      <c r="I19" s="772"/>
      <c r="J19" s="772"/>
      <c r="K19" s="772"/>
      <c r="L19" s="772"/>
      <c r="M19" s="772"/>
      <c r="N19" s="805"/>
      <c r="O19" s="805"/>
    </row>
    <row r="20" spans="2:15" ht="15.75">
      <c r="B20" s="290" t="s">
        <v>1079</v>
      </c>
      <c r="C20" s="87">
        <v>0</v>
      </c>
      <c r="D20" s="87">
        <v>0</v>
      </c>
      <c r="E20" s="87">
        <v>0</v>
      </c>
      <c r="F20" s="782"/>
      <c r="G20" s="772"/>
      <c r="H20" s="772"/>
      <c r="I20" s="772"/>
      <c r="J20" s="772"/>
      <c r="K20" s="772"/>
      <c r="L20" s="772"/>
      <c r="M20" s="772"/>
      <c r="N20" s="805"/>
      <c r="O20" s="805"/>
    </row>
    <row r="21" spans="2:15" ht="15.75">
      <c r="B21" s="290"/>
      <c r="C21" s="87"/>
      <c r="D21" s="87"/>
      <c r="E21" s="87"/>
      <c r="F21" s="772"/>
      <c r="G21" s="772"/>
      <c r="H21" s="772"/>
      <c r="I21" s="772"/>
      <c r="J21" s="772"/>
      <c r="K21" s="772"/>
      <c r="L21" s="772"/>
      <c r="M21" s="772"/>
      <c r="N21" s="805"/>
      <c r="O21" s="805"/>
    </row>
    <row r="22" spans="2:15" ht="15.75">
      <c r="B22" s="191" t="s">
        <v>256</v>
      </c>
      <c r="C22" s="87"/>
      <c r="D22" s="87"/>
      <c r="E22" s="87"/>
      <c r="F22" s="805"/>
      <c r="G22" s="806"/>
      <c r="H22" s="806"/>
      <c r="I22" s="806"/>
      <c r="J22" s="806"/>
      <c r="K22" s="806"/>
      <c r="L22" s="806"/>
      <c r="M22" s="806"/>
      <c r="N22" s="805"/>
      <c r="O22" s="805"/>
    </row>
    <row r="23" spans="2:15" ht="15.75">
      <c r="B23" s="86" t="s">
        <v>645</v>
      </c>
      <c r="C23" s="451">
        <f>IF(C24*0.1&lt;C22,"Exceed 10% Rule","")</f>
      </c>
      <c r="D23" s="336">
        <f>IF(D24*0.1&lt;D22,"Exceed 10% Rule","")</f>
      </c>
      <c r="E23" s="336">
        <f>IF(E24*0.1&lt;E22,"Exceed 10% Rule","")</f>
      </c>
      <c r="F23" s="805"/>
      <c r="G23" s="806"/>
      <c r="H23" s="806"/>
      <c r="I23" s="806"/>
      <c r="J23" s="806"/>
      <c r="K23" s="806"/>
      <c r="L23" s="806"/>
      <c r="M23" s="806"/>
      <c r="N23" s="805"/>
      <c r="O23" s="805"/>
    </row>
    <row r="24" spans="2:15" ht="15.75">
      <c r="B24" s="287" t="s">
        <v>174</v>
      </c>
      <c r="C24" s="338">
        <f>SUM(C18:C22)</f>
        <v>26241.56</v>
      </c>
      <c r="D24" s="338">
        <f>SUM(D18:D22)</f>
        <v>26270</v>
      </c>
      <c r="E24" s="338">
        <f>SUM(E18:E22)</f>
        <v>27180</v>
      </c>
      <c r="F24" s="806"/>
      <c r="G24" s="806"/>
      <c r="H24" s="806"/>
      <c r="I24" s="806"/>
      <c r="J24" s="806"/>
      <c r="K24" s="806"/>
      <c r="L24" s="806"/>
      <c r="M24" s="806"/>
      <c r="N24" s="805"/>
      <c r="O24" s="805"/>
    </row>
    <row r="25" spans="2:15" ht="15.75">
      <c r="B25" s="178" t="s">
        <v>279</v>
      </c>
      <c r="C25" s="94">
        <f>C16-C24</f>
        <v>0.020000000000436557</v>
      </c>
      <c r="D25" s="94">
        <f>D16-D24</f>
        <v>0.020000000000436557</v>
      </c>
      <c r="E25" s="94">
        <f>E16-E24</f>
        <v>0.020000000000436557</v>
      </c>
      <c r="F25" s="806"/>
      <c r="G25" s="772"/>
      <c r="H25" s="772"/>
      <c r="I25" s="772"/>
      <c r="J25" s="772"/>
      <c r="K25" s="772"/>
      <c r="L25" s="772"/>
      <c r="M25" s="772"/>
      <c r="N25" s="805"/>
      <c r="O25" s="805"/>
    </row>
    <row r="26" spans="2:15" ht="15.75">
      <c r="B26" s="210" t="str">
        <f>CONCATENATE("",E1-2,"/",E1-1," Budget Authority Amount:")</f>
        <v>2012/2013 Budget Authority Amount:</v>
      </c>
      <c r="C26" s="221">
        <f>inputOth!B58</f>
        <v>28940</v>
      </c>
      <c r="D26" s="221">
        <f>inputPrYr!D28</f>
        <v>27470</v>
      </c>
      <c r="E26" s="458">
        <f>IF(E25&lt;0,"See Tab E","")</f>
      </c>
      <c r="F26" s="806"/>
      <c r="G26" s="772"/>
      <c r="H26" s="772"/>
      <c r="I26" s="772"/>
      <c r="J26" s="772"/>
      <c r="K26" s="772"/>
      <c r="L26" s="772"/>
      <c r="M26" s="772"/>
      <c r="N26" s="805"/>
      <c r="O26" s="805"/>
    </row>
    <row r="27" spans="2:13" ht="15.75">
      <c r="B27" s="210"/>
      <c r="C27" s="293">
        <f>IF(C24&gt;C26,"See Tab A","")</f>
      </c>
      <c r="D27" s="293">
        <f>IF(D24&gt;D26,"See Tab C","")</f>
      </c>
      <c r="E27" s="208"/>
      <c r="F27" s="773"/>
      <c r="G27" s="773"/>
      <c r="H27" s="773"/>
      <c r="I27" s="773"/>
      <c r="J27" s="773"/>
      <c r="K27" s="773"/>
      <c r="L27" s="773"/>
      <c r="M27" s="773"/>
    </row>
    <row r="28" spans="2:13" ht="15.75">
      <c r="B28" s="210"/>
      <c r="C28" s="293">
        <f>IF(C25&lt;0,"See Tab B","")</f>
      </c>
      <c r="D28" s="293">
        <f>IF(D25&lt;0,"See Tab D","")</f>
      </c>
      <c r="E28" s="208"/>
      <c r="F28" s="773"/>
      <c r="G28" s="773"/>
      <c r="H28" s="773"/>
      <c r="I28" s="773"/>
      <c r="J28" s="773"/>
      <c r="K28" s="773"/>
      <c r="L28" s="773"/>
      <c r="M28" s="773"/>
    </row>
    <row r="29" spans="2:13" ht="15.75">
      <c r="B29" s="64"/>
      <c r="C29" s="208"/>
      <c r="D29" s="208"/>
      <c r="E29" s="208"/>
      <c r="F29" s="773"/>
      <c r="G29" s="773"/>
      <c r="H29" s="773"/>
      <c r="I29" s="773"/>
      <c r="J29" s="773"/>
      <c r="K29" s="773"/>
      <c r="L29" s="773"/>
      <c r="M29" s="773"/>
    </row>
    <row r="30" spans="2:17" ht="15.75">
      <c r="B30" s="69" t="s">
        <v>164</v>
      </c>
      <c r="C30" s="713" t="s">
        <v>828</v>
      </c>
      <c r="D30" s="714" t="s">
        <v>829</v>
      </c>
      <c r="E30" s="174" t="s">
        <v>830</v>
      </c>
      <c r="F30" s="772"/>
      <c r="G30" s="772"/>
      <c r="H30" s="810"/>
      <c r="I30" s="772"/>
      <c r="J30" s="772"/>
      <c r="K30" s="772"/>
      <c r="L30" s="772"/>
      <c r="M30" s="772"/>
      <c r="N30" s="805"/>
      <c r="O30" s="805"/>
      <c r="P30" s="805"/>
      <c r="Q30" s="805"/>
    </row>
    <row r="31" spans="2:17" ht="15.75">
      <c r="B31" s="449" t="str">
        <f>(inputPrYr!B29)</f>
        <v>Water/Sewer/Refuse</v>
      </c>
      <c r="C31" s="331" t="str">
        <f>CONCATENATE("Actual for ",$E$1-2,"")</f>
        <v>Actual for 2012</v>
      </c>
      <c r="D31" s="412" t="str">
        <f>CONCATENATE("Estimate for ",$E$1-1,"")</f>
        <v>Estimate for 2013</v>
      </c>
      <c r="E31" s="229" t="str">
        <f>CONCATENATE("Year for ",$E$1,"")</f>
        <v>Year for 2014</v>
      </c>
      <c r="F31" s="805"/>
      <c r="G31" s="782"/>
      <c r="H31" s="782"/>
      <c r="I31" s="782"/>
      <c r="J31" s="782"/>
      <c r="K31" s="782"/>
      <c r="L31" s="772"/>
      <c r="M31" s="772"/>
      <c r="N31" s="805"/>
      <c r="O31" s="805"/>
      <c r="P31" s="805"/>
      <c r="Q31" s="805"/>
    </row>
    <row r="32" spans="2:17" ht="15.75">
      <c r="B32" s="178" t="s">
        <v>278</v>
      </c>
      <c r="C32" s="87">
        <v>201744.29</v>
      </c>
      <c r="D32" s="189">
        <f>C65</f>
        <v>193505.07999999996</v>
      </c>
      <c r="E32" s="189">
        <f>D65</f>
        <v>190224.07999999996</v>
      </c>
      <c r="F32" s="790"/>
      <c r="G32" s="772"/>
      <c r="H32" s="772"/>
      <c r="I32" s="772"/>
      <c r="J32" s="772"/>
      <c r="K32" s="772"/>
      <c r="L32" s="772"/>
      <c r="M32" s="772"/>
      <c r="N32" s="805"/>
      <c r="O32" s="805"/>
      <c r="P32" s="805"/>
      <c r="Q32" s="805"/>
    </row>
    <row r="33" spans="2:17" ht="15.75">
      <c r="B33" s="178" t="s">
        <v>280</v>
      </c>
      <c r="C33" s="189"/>
      <c r="D33" s="189"/>
      <c r="E33" s="189"/>
      <c r="F33" s="772"/>
      <c r="G33" s="772"/>
      <c r="H33" s="772"/>
      <c r="I33" s="805"/>
      <c r="J33" s="805"/>
      <c r="K33" s="805"/>
      <c r="L33" s="805"/>
      <c r="M33" s="805"/>
      <c r="N33" s="805"/>
      <c r="O33" s="805"/>
      <c r="P33" s="805"/>
      <c r="Q33" s="805"/>
    </row>
    <row r="34" spans="2:17" ht="15.75">
      <c r="B34" s="290" t="s">
        <v>1027</v>
      </c>
      <c r="C34" s="87">
        <v>7388.7</v>
      </c>
      <c r="D34" s="87">
        <v>7400</v>
      </c>
      <c r="E34" s="87">
        <v>7400</v>
      </c>
      <c r="F34" s="806"/>
      <c r="G34" s="772"/>
      <c r="H34" s="772"/>
      <c r="I34" s="805"/>
      <c r="J34" s="805"/>
      <c r="K34" s="805"/>
      <c r="L34" s="805"/>
      <c r="M34" s="805"/>
      <c r="N34" s="805"/>
      <c r="O34" s="805"/>
      <c r="P34" s="805"/>
      <c r="Q34" s="805"/>
    </row>
    <row r="35" spans="2:17" ht="15.75">
      <c r="B35" s="290" t="s">
        <v>1028</v>
      </c>
      <c r="C35" s="87">
        <v>179790.23</v>
      </c>
      <c r="D35" s="87">
        <v>175300</v>
      </c>
      <c r="E35" s="87">
        <v>189300</v>
      </c>
      <c r="F35" s="805"/>
      <c r="G35" s="793"/>
      <c r="H35" s="772"/>
      <c r="I35" s="805"/>
      <c r="J35" s="805"/>
      <c r="K35" s="805"/>
      <c r="L35" s="805"/>
      <c r="M35" s="805"/>
      <c r="N35" s="805"/>
      <c r="O35" s="805"/>
      <c r="P35" s="805"/>
      <c r="Q35" s="805"/>
    </row>
    <row r="36" spans="2:17" ht="15.75">
      <c r="B36" s="290" t="s">
        <v>1029</v>
      </c>
      <c r="C36" s="87">
        <v>36181.78</v>
      </c>
      <c r="D36" s="87">
        <v>57000</v>
      </c>
      <c r="E36" s="87">
        <v>57000</v>
      </c>
      <c r="F36" s="806"/>
      <c r="G36" s="772"/>
      <c r="H36" s="772"/>
      <c r="I36" s="805"/>
      <c r="J36" s="811"/>
      <c r="K36" s="805"/>
      <c r="L36" s="805"/>
      <c r="M36" s="805"/>
      <c r="N36" s="805"/>
      <c r="O36" s="805"/>
      <c r="P36" s="805"/>
      <c r="Q36" s="805"/>
    </row>
    <row r="37" spans="2:17" ht="15.75">
      <c r="B37" s="290" t="s">
        <v>1030</v>
      </c>
      <c r="C37" s="87">
        <v>72845.8</v>
      </c>
      <c r="D37" s="87">
        <v>86600</v>
      </c>
      <c r="E37" s="87">
        <v>89100</v>
      </c>
      <c r="F37" s="806"/>
      <c r="G37" s="772"/>
      <c r="H37" s="782"/>
      <c r="I37" s="805"/>
      <c r="J37" s="805"/>
      <c r="K37" s="805"/>
      <c r="L37" s="805"/>
      <c r="M37" s="805"/>
      <c r="N37" s="805"/>
      <c r="O37" s="805"/>
      <c r="P37" s="805"/>
      <c r="Q37" s="805"/>
    </row>
    <row r="38" spans="2:17" ht="15.75">
      <c r="B38" s="290" t="s">
        <v>1031</v>
      </c>
      <c r="C38" s="87">
        <v>4920.43</v>
      </c>
      <c r="D38" s="87">
        <v>6400</v>
      </c>
      <c r="E38" s="87">
        <v>6400</v>
      </c>
      <c r="F38" s="772"/>
      <c r="G38" s="772"/>
      <c r="H38" s="782"/>
      <c r="I38" s="805"/>
      <c r="J38" s="805"/>
      <c r="K38" s="805"/>
      <c r="L38" s="805"/>
      <c r="M38" s="805"/>
      <c r="N38" s="805"/>
      <c r="O38" s="805"/>
      <c r="P38" s="805"/>
      <c r="Q38" s="805"/>
    </row>
    <row r="39" spans="2:17" ht="15.75">
      <c r="B39" s="290" t="s">
        <v>1008</v>
      </c>
      <c r="C39" s="87">
        <v>228.95</v>
      </c>
      <c r="D39" s="87">
        <v>230</v>
      </c>
      <c r="E39" s="87">
        <v>230</v>
      </c>
      <c r="F39" s="772"/>
      <c r="G39" s="772"/>
      <c r="H39" s="782"/>
      <c r="I39" s="805"/>
      <c r="J39" s="805"/>
      <c r="K39" s="805"/>
      <c r="L39" s="805"/>
      <c r="M39" s="805"/>
      <c r="N39" s="805"/>
      <c r="O39" s="805"/>
      <c r="P39" s="805"/>
      <c r="Q39" s="805"/>
    </row>
    <row r="40" spans="2:17" ht="15.75">
      <c r="B40" s="290" t="s">
        <v>1032</v>
      </c>
      <c r="C40" s="87">
        <v>0</v>
      </c>
      <c r="D40" s="87">
        <v>0</v>
      </c>
      <c r="E40" s="87">
        <v>0</v>
      </c>
      <c r="F40" s="772"/>
      <c r="G40" s="772"/>
      <c r="H40" s="782"/>
      <c r="I40" s="805"/>
      <c r="J40" s="805"/>
      <c r="K40" s="805"/>
      <c r="L40" s="805"/>
      <c r="M40" s="805"/>
      <c r="N40" s="805"/>
      <c r="O40" s="805"/>
      <c r="P40" s="805"/>
      <c r="Q40" s="805"/>
    </row>
    <row r="41" spans="2:17" ht="15.75">
      <c r="B41" s="290" t="s">
        <v>1013</v>
      </c>
      <c r="C41" s="87">
        <v>1093</v>
      </c>
      <c r="D41" s="87">
        <v>0</v>
      </c>
      <c r="E41" s="87">
        <v>0</v>
      </c>
      <c r="F41" s="772"/>
      <c r="G41" s="772"/>
      <c r="H41" s="782"/>
      <c r="I41" s="805"/>
      <c r="J41" s="805"/>
      <c r="K41" s="805"/>
      <c r="L41" s="805"/>
      <c r="M41" s="805"/>
      <c r="N41" s="805"/>
      <c r="O41" s="805"/>
      <c r="P41" s="805"/>
      <c r="Q41" s="805"/>
    </row>
    <row r="42" spans="2:17" ht="15.75">
      <c r="B42" s="290" t="s">
        <v>1084</v>
      </c>
      <c r="C42" s="87">
        <v>75000</v>
      </c>
      <c r="D42" s="87">
        <v>52810</v>
      </c>
      <c r="E42" s="87">
        <v>0</v>
      </c>
      <c r="F42" s="772"/>
      <c r="G42" s="810"/>
      <c r="H42" s="772"/>
      <c r="I42" s="805"/>
      <c r="J42" s="805"/>
      <c r="K42" s="805"/>
      <c r="L42" s="805"/>
      <c r="M42" s="805"/>
      <c r="N42" s="805"/>
      <c r="O42" s="805"/>
      <c r="P42" s="805"/>
      <c r="Q42" s="805"/>
    </row>
    <row r="43" spans="2:17" ht="15.75">
      <c r="B43" s="335" t="s">
        <v>170</v>
      </c>
      <c r="C43" s="87">
        <v>701.93</v>
      </c>
      <c r="D43" s="87">
        <v>675</v>
      </c>
      <c r="E43" s="87">
        <v>715</v>
      </c>
      <c r="F43" s="772"/>
      <c r="G43" s="772"/>
      <c r="H43" s="782"/>
      <c r="I43" s="805"/>
      <c r="J43" s="805"/>
      <c r="K43" s="805"/>
      <c r="L43" s="805"/>
      <c r="M43" s="805"/>
      <c r="N43" s="805"/>
      <c r="O43" s="805"/>
      <c r="P43" s="805"/>
      <c r="Q43" s="805"/>
    </row>
    <row r="44" spans="2:17" ht="15.75">
      <c r="B44" s="339" t="s">
        <v>256</v>
      </c>
      <c r="C44" s="87">
        <v>120</v>
      </c>
      <c r="D44" s="87">
        <v>3500</v>
      </c>
      <c r="E44" s="87">
        <v>3500</v>
      </c>
      <c r="F44" s="772"/>
      <c r="G44" s="772"/>
      <c r="H44" s="782"/>
      <c r="I44" s="805"/>
      <c r="J44" s="805"/>
      <c r="K44" s="805"/>
      <c r="L44" s="805"/>
      <c r="M44" s="805"/>
      <c r="N44" s="805"/>
      <c r="O44" s="805"/>
      <c r="P44" s="805"/>
      <c r="Q44" s="805"/>
    </row>
    <row r="45" spans="2:17" ht="15.75">
      <c r="B45" s="339" t="s">
        <v>54</v>
      </c>
      <c r="C45" s="451">
        <f>IF(C46*0.1&lt;C44,"Exceed 10% Rule","")</f>
      </c>
      <c r="D45" s="336">
        <f>IF(D46*0.1&lt;D44,"Exceed 10% Rule","")</f>
      </c>
      <c r="E45" s="336">
        <f>IF(E46*0.1&lt;E44,"Exceed 10% Rule","")</f>
      </c>
      <c r="F45" s="772"/>
      <c r="G45" s="772"/>
      <c r="H45" s="782"/>
      <c r="I45" s="805"/>
      <c r="J45" s="805"/>
      <c r="K45" s="805"/>
      <c r="L45" s="805"/>
      <c r="M45" s="805"/>
      <c r="N45" s="805"/>
      <c r="O45" s="805"/>
      <c r="P45" s="805"/>
      <c r="Q45" s="805"/>
    </row>
    <row r="46" spans="2:17" ht="15.75">
      <c r="B46" s="287" t="s">
        <v>171</v>
      </c>
      <c r="C46" s="338">
        <f>SUM(C34:C44)</f>
        <v>378270.82</v>
      </c>
      <c r="D46" s="338">
        <f>SUM(D34:D44)</f>
        <v>389915</v>
      </c>
      <c r="E46" s="338">
        <f>SUM(E34:E44)</f>
        <v>353645</v>
      </c>
      <c r="F46" s="772"/>
      <c r="G46" s="772"/>
      <c r="H46" s="782"/>
      <c r="I46" s="805"/>
      <c r="J46" s="805"/>
      <c r="K46" s="805"/>
      <c r="L46" s="805"/>
      <c r="M46" s="805"/>
      <c r="N46" s="805"/>
      <c r="O46" s="805"/>
      <c r="P46" s="805"/>
      <c r="Q46" s="805"/>
    </row>
    <row r="47" spans="2:17" ht="15.75">
      <c r="B47" s="287" t="s">
        <v>172</v>
      </c>
      <c r="C47" s="338">
        <f>C32+C46</f>
        <v>580015.11</v>
      </c>
      <c r="D47" s="338">
        <f>D32+D46</f>
        <v>583420.08</v>
      </c>
      <c r="E47" s="338">
        <f>E32+E46</f>
        <v>543869.08</v>
      </c>
      <c r="F47" s="772"/>
      <c r="G47" s="772"/>
      <c r="H47" s="784"/>
      <c r="I47" s="805"/>
      <c r="J47" s="805"/>
      <c r="K47" s="805"/>
      <c r="L47" s="805"/>
      <c r="M47" s="805"/>
      <c r="N47" s="805"/>
      <c r="O47" s="805"/>
      <c r="P47" s="805"/>
      <c r="Q47" s="805"/>
    </row>
    <row r="48" spans="2:17" ht="15.75">
      <c r="B48" s="178" t="s">
        <v>173</v>
      </c>
      <c r="C48" s="189"/>
      <c r="D48" s="189"/>
      <c r="E48" s="189"/>
      <c r="F48" s="805"/>
      <c r="G48" s="772"/>
      <c r="H48" s="772"/>
      <c r="I48" s="805"/>
      <c r="J48" s="805"/>
      <c r="K48" s="805"/>
      <c r="L48" s="805"/>
      <c r="M48" s="805"/>
      <c r="N48" s="805"/>
      <c r="O48" s="805"/>
      <c r="P48" s="805"/>
      <c r="Q48" s="805"/>
    </row>
    <row r="49" spans="2:17" ht="15.75">
      <c r="B49" s="290" t="s">
        <v>1024</v>
      </c>
      <c r="C49" s="87">
        <v>50692.43</v>
      </c>
      <c r="D49" s="87">
        <v>51000</v>
      </c>
      <c r="E49" s="87">
        <v>52000</v>
      </c>
      <c r="F49" s="782"/>
      <c r="G49" s="782"/>
      <c r="H49" s="782"/>
      <c r="I49" s="782"/>
      <c r="J49" s="782"/>
      <c r="K49" s="782"/>
      <c r="L49" s="782"/>
      <c r="M49" s="782"/>
      <c r="N49" s="782"/>
      <c r="O49" s="782"/>
      <c r="P49" s="782"/>
      <c r="Q49" s="805"/>
    </row>
    <row r="50" spans="2:17" ht="15.75">
      <c r="B50" s="623" t="s">
        <v>1033</v>
      </c>
      <c r="C50" s="87">
        <v>8186.75</v>
      </c>
      <c r="D50" s="87">
        <v>10200</v>
      </c>
      <c r="E50" s="87">
        <v>10500</v>
      </c>
      <c r="F50" s="782"/>
      <c r="G50" s="782"/>
      <c r="H50" s="782"/>
      <c r="I50" s="782"/>
      <c r="J50" s="782"/>
      <c r="K50" s="782"/>
      <c r="L50" s="782"/>
      <c r="M50" s="782"/>
      <c r="N50" s="782"/>
      <c r="O50" s="782"/>
      <c r="P50" s="782"/>
      <c r="Q50" s="805"/>
    </row>
    <row r="51" spans="2:17" ht="15.75">
      <c r="B51" s="623" t="s">
        <v>1020</v>
      </c>
      <c r="C51" s="87">
        <v>13467.93</v>
      </c>
      <c r="D51" s="87">
        <v>13900</v>
      </c>
      <c r="E51" s="87">
        <v>14300</v>
      </c>
      <c r="F51" s="782"/>
      <c r="G51" s="782"/>
      <c r="H51" s="782"/>
      <c r="I51" s="782"/>
      <c r="J51" s="782"/>
      <c r="K51" s="782"/>
      <c r="L51" s="782"/>
      <c r="M51" s="782"/>
      <c r="N51" s="782"/>
      <c r="O51" s="782"/>
      <c r="P51" s="782"/>
      <c r="Q51" s="805"/>
    </row>
    <row r="52" spans="2:17" ht="15.75">
      <c r="B52" s="623" t="s">
        <v>1034</v>
      </c>
      <c r="C52" s="87">
        <v>5177</v>
      </c>
      <c r="D52" s="87">
        <v>5300</v>
      </c>
      <c r="E52" s="87">
        <v>5300</v>
      </c>
      <c r="F52" s="782"/>
      <c r="G52" s="782"/>
      <c r="H52" s="782"/>
      <c r="I52" s="782"/>
      <c r="J52" s="782"/>
      <c r="K52" s="782"/>
      <c r="L52" s="782"/>
      <c r="M52" s="782"/>
      <c r="N52" s="782"/>
      <c r="O52" s="782"/>
      <c r="P52" s="782"/>
      <c r="Q52" s="805"/>
    </row>
    <row r="53" spans="2:17" ht="15.75">
      <c r="B53" s="623" t="s">
        <v>1035</v>
      </c>
      <c r="C53" s="87">
        <v>0</v>
      </c>
      <c r="D53" s="87">
        <v>0</v>
      </c>
      <c r="E53" s="87">
        <v>190418</v>
      </c>
      <c r="F53" s="782"/>
      <c r="G53" s="782"/>
      <c r="H53" s="782"/>
      <c r="I53" s="782"/>
      <c r="J53" s="782"/>
      <c r="K53" s="782"/>
      <c r="L53" s="782"/>
      <c r="M53" s="782"/>
      <c r="N53" s="782"/>
      <c r="O53" s="782"/>
      <c r="P53" s="782"/>
      <c r="Q53" s="805"/>
    </row>
    <row r="54" spans="2:17" ht="15.75">
      <c r="B54" s="623" t="s">
        <v>1036</v>
      </c>
      <c r="C54" s="87">
        <v>73800</v>
      </c>
      <c r="D54" s="87">
        <v>79800</v>
      </c>
      <c r="E54" s="87">
        <v>80400</v>
      </c>
      <c r="F54" s="806"/>
      <c r="G54" s="772"/>
      <c r="H54" s="772"/>
      <c r="I54" s="772"/>
      <c r="J54" s="772"/>
      <c r="K54" s="772"/>
      <c r="L54" s="772"/>
      <c r="M54" s="772"/>
      <c r="N54" s="772"/>
      <c r="O54" s="772"/>
      <c r="P54" s="772"/>
      <c r="Q54" s="805"/>
    </row>
    <row r="55" spans="2:17" ht="15.75">
      <c r="B55" s="623" t="s">
        <v>1037</v>
      </c>
      <c r="C55" s="87">
        <v>15185.92</v>
      </c>
      <c r="D55" s="87">
        <v>15186</v>
      </c>
      <c r="E55" s="87">
        <v>15186</v>
      </c>
      <c r="F55" s="790"/>
      <c r="G55" s="772"/>
      <c r="H55" s="772"/>
      <c r="I55" s="772"/>
      <c r="J55" s="772"/>
      <c r="K55" s="772"/>
      <c r="L55" s="772"/>
      <c r="M55" s="772"/>
      <c r="N55" s="772"/>
      <c r="O55" s="772"/>
      <c r="P55" s="772"/>
      <c r="Q55" s="805"/>
    </row>
    <row r="56" spans="2:17" ht="15.75">
      <c r="B56" s="623" t="s">
        <v>1119</v>
      </c>
      <c r="C56" s="87">
        <v>0</v>
      </c>
      <c r="D56" s="87">
        <v>0</v>
      </c>
      <c r="E56" s="87">
        <v>8265</v>
      </c>
      <c r="F56" s="790"/>
      <c r="G56" s="772"/>
      <c r="H56" s="772"/>
      <c r="I56" s="772"/>
      <c r="J56" s="772"/>
      <c r="K56" s="772"/>
      <c r="L56" s="772"/>
      <c r="M56" s="772"/>
      <c r="N56" s="772"/>
      <c r="O56" s="772"/>
      <c r="P56" s="772"/>
      <c r="Q56" s="805"/>
    </row>
    <row r="57" spans="2:17" ht="15.75">
      <c r="B57" s="623" t="s">
        <v>1038</v>
      </c>
      <c r="C57" s="87">
        <v>5000</v>
      </c>
      <c r="D57" s="87">
        <v>5000</v>
      </c>
      <c r="E57" s="87">
        <v>5000</v>
      </c>
      <c r="F57" s="805"/>
      <c r="G57" s="782"/>
      <c r="H57" s="782"/>
      <c r="I57" s="782"/>
      <c r="J57" s="782"/>
      <c r="K57" s="782"/>
      <c r="L57" s="782"/>
      <c r="M57" s="772"/>
      <c r="N57" s="772"/>
      <c r="O57" s="772"/>
      <c r="P57" s="772"/>
      <c r="Q57" s="805"/>
    </row>
    <row r="58" spans="2:17" ht="15.75">
      <c r="B58" s="623" t="s">
        <v>1039</v>
      </c>
      <c r="C58" s="87">
        <v>140000</v>
      </c>
      <c r="D58" s="87">
        <v>160000</v>
      </c>
      <c r="E58" s="87">
        <v>162500</v>
      </c>
      <c r="F58" s="782"/>
      <c r="G58" s="782"/>
      <c r="H58" s="782"/>
      <c r="I58" s="782"/>
      <c r="J58" s="782"/>
      <c r="K58" s="782"/>
      <c r="L58" s="782"/>
      <c r="M58" s="772"/>
      <c r="N58" s="772"/>
      <c r="O58" s="772"/>
      <c r="P58" s="772"/>
      <c r="Q58" s="805"/>
    </row>
    <row r="59" spans="2:17" ht="15.75">
      <c r="B59" s="623" t="s">
        <v>1101</v>
      </c>
      <c r="C59" s="87">
        <v>75000</v>
      </c>
      <c r="D59" s="87">
        <v>52810</v>
      </c>
      <c r="E59" s="87">
        <v>0</v>
      </c>
      <c r="F59" s="782"/>
      <c r="G59" s="782"/>
      <c r="H59" s="782"/>
      <c r="I59" s="782"/>
      <c r="J59" s="772"/>
      <c r="K59" s="772"/>
      <c r="L59" s="772"/>
      <c r="M59" s="772"/>
      <c r="N59" s="772"/>
      <c r="O59" s="772"/>
      <c r="P59" s="772"/>
      <c r="Q59" s="805"/>
    </row>
    <row r="60" spans="2:17" ht="15.75">
      <c r="B60" s="623"/>
      <c r="C60" s="87"/>
      <c r="D60" s="87"/>
      <c r="E60" s="87"/>
      <c r="F60" s="772"/>
      <c r="G60" s="772"/>
      <c r="H60" s="772"/>
      <c r="I60" s="772"/>
      <c r="J60" s="772"/>
      <c r="K60" s="772"/>
      <c r="L60" s="772"/>
      <c r="M60" s="772"/>
      <c r="N60" s="772"/>
      <c r="O60" s="772"/>
      <c r="P60" s="772"/>
      <c r="Q60" s="805"/>
    </row>
    <row r="61" spans="2:17" ht="15.75">
      <c r="B61" s="404"/>
      <c r="C61" s="87"/>
      <c r="D61" s="87"/>
      <c r="E61" s="87"/>
      <c r="F61" s="772"/>
      <c r="G61" s="772"/>
      <c r="H61" s="772"/>
      <c r="I61" s="772"/>
      <c r="J61" s="772"/>
      <c r="K61" s="772"/>
      <c r="L61" s="772"/>
      <c r="M61" s="772"/>
      <c r="N61" s="772"/>
      <c r="O61" s="772"/>
      <c r="P61" s="772"/>
      <c r="Q61" s="805"/>
    </row>
    <row r="62" spans="2:17" ht="15.75">
      <c r="B62" s="191" t="s">
        <v>256</v>
      </c>
      <c r="C62" s="87"/>
      <c r="D62" s="87"/>
      <c r="E62" s="87"/>
      <c r="F62" s="805"/>
      <c r="G62" s="806"/>
      <c r="H62" s="806"/>
      <c r="I62" s="806"/>
      <c r="J62" s="806"/>
      <c r="K62" s="806"/>
      <c r="L62" s="772"/>
      <c r="M62" s="772"/>
      <c r="N62" s="772"/>
      <c r="O62" s="772"/>
      <c r="P62" s="772"/>
      <c r="Q62" s="805"/>
    </row>
    <row r="63" spans="2:17" ht="15.75">
      <c r="B63" s="191" t="s">
        <v>55</v>
      </c>
      <c r="C63" s="451">
        <f>IF(C64*0.1&lt;C62,"Exceed 10% Rule","")</f>
      </c>
      <c r="D63" s="336">
        <f>IF(D64*0.1&lt;D62,"Exceed 10% Rule","")</f>
      </c>
      <c r="E63" s="336">
        <f>IF(E64*0.1&lt;E62,"Exceed 10% Rule","")</f>
      </c>
      <c r="F63" s="805"/>
      <c r="G63" s="806"/>
      <c r="H63" s="806"/>
      <c r="I63" s="806"/>
      <c r="J63" s="806"/>
      <c r="K63" s="806"/>
      <c r="L63" s="772"/>
      <c r="M63" s="772"/>
      <c r="N63" s="772"/>
      <c r="O63" s="772"/>
      <c r="P63" s="772"/>
      <c r="Q63" s="805"/>
    </row>
    <row r="64" spans="2:17" ht="15.75">
      <c r="B64" s="287" t="s">
        <v>174</v>
      </c>
      <c r="C64" s="338">
        <f>SUM(C49:C62)</f>
        <v>386510.03</v>
      </c>
      <c r="D64" s="338">
        <f>SUM(D49:D62)</f>
        <v>393196</v>
      </c>
      <c r="E64" s="338">
        <f>SUM(E49:E62)</f>
        <v>543869</v>
      </c>
      <c r="F64" s="806"/>
      <c r="G64" s="806"/>
      <c r="H64" s="806"/>
      <c r="I64" s="806"/>
      <c r="J64" s="806"/>
      <c r="K64" s="806"/>
      <c r="L64" s="772"/>
      <c r="M64" s="772"/>
      <c r="N64" s="772"/>
      <c r="O64" s="772"/>
      <c r="P64" s="772"/>
      <c r="Q64" s="805"/>
    </row>
    <row r="65" spans="2:17" ht="15.75">
      <c r="B65" s="178" t="s">
        <v>279</v>
      </c>
      <c r="C65" s="94">
        <f>C47-C64</f>
        <v>193505.07999999996</v>
      </c>
      <c r="D65" s="94">
        <f>D47-D64</f>
        <v>190224.07999999996</v>
      </c>
      <c r="E65" s="94">
        <f>E47-E64</f>
        <v>0.07999999995809048</v>
      </c>
      <c r="F65" s="806"/>
      <c r="G65" s="772"/>
      <c r="H65" s="772"/>
      <c r="I65" s="772"/>
      <c r="J65" s="772"/>
      <c r="K65" s="772"/>
      <c r="L65" s="772"/>
      <c r="M65" s="772"/>
      <c r="N65" s="772"/>
      <c r="O65" s="772"/>
      <c r="P65" s="772"/>
      <c r="Q65" s="805"/>
    </row>
    <row r="66" spans="2:17" ht="15.75">
      <c r="B66" s="210" t="str">
        <f>CONCATENATE("",E1-2,"/",E1-1," Budget Authority Amount:")</f>
        <v>2012/2013 Budget Authority Amount:</v>
      </c>
      <c r="C66" s="221">
        <f>inputOth!B59</f>
        <v>555191</v>
      </c>
      <c r="D66" s="221">
        <f>inputPrYr!D29</f>
        <v>508458</v>
      </c>
      <c r="E66" s="458">
        <f>IF(E65&lt;0,"See Tab E","")</f>
      </c>
      <c r="F66" s="806"/>
      <c r="G66" s="805"/>
      <c r="H66" s="805"/>
      <c r="I66" s="805"/>
      <c r="J66" s="805"/>
      <c r="K66" s="805"/>
      <c r="L66" s="805"/>
      <c r="M66" s="805"/>
      <c r="N66" s="805"/>
      <c r="O66" s="805"/>
      <c r="P66" s="805"/>
      <c r="Q66" s="805"/>
    </row>
    <row r="67" spans="2:17" ht="15.75">
      <c r="B67" s="210"/>
      <c r="C67" s="293">
        <f>IF(C64&gt;C66,"See Tab A","")</f>
      </c>
      <c r="D67" s="293">
        <f>IF(D64&gt;D66,"See Tab C","")</f>
      </c>
      <c r="E67" s="64"/>
      <c r="F67" s="772"/>
      <c r="G67" s="805"/>
      <c r="H67" s="805"/>
      <c r="I67" s="805"/>
      <c r="J67" s="805"/>
      <c r="K67" s="805"/>
      <c r="L67" s="805"/>
      <c r="M67" s="805"/>
      <c r="N67" s="805"/>
      <c r="O67" s="805"/>
      <c r="P67" s="805"/>
      <c r="Q67" s="805"/>
    </row>
    <row r="68" spans="2:17" ht="15.75">
      <c r="B68" s="210"/>
      <c r="C68" s="293">
        <f>IF(C65&lt;0,"See Tab B","")</f>
      </c>
      <c r="D68" s="293">
        <f>IF(D65&lt;0,"See Tab D","")</f>
      </c>
      <c r="E68" s="64"/>
      <c r="F68" s="812"/>
      <c r="G68" s="805"/>
      <c r="H68" s="805"/>
      <c r="I68" s="805"/>
      <c r="J68" s="805"/>
      <c r="K68" s="805"/>
      <c r="L68" s="805"/>
      <c r="M68" s="805"/>
      <c r="N68" s="805"/>
      <c r="O68" s="805"/>
      <c r="P68" s="805"/>
      <c r="Q68" s="805"/>
    </row>
    <row r="69" spans="2:17" ht="15.75">
      <c r="B69" s="64"/>
      <c r="C69" s="64"/>
      <c r="D69" s="64"/>
      <c r="E69" s="64"/>
      <c r="F69" s="812"/>
      <c r="G69" s="805"/>
      <c r="H69" s="805"/>
      <c r="I69" s="805"/>
      <c r="J69" s="805"/>
      <c r="K69" s="805"/>
      <c r="L69" s="805"/>
      <c r="M69" s="805"/>
      <c r="N69" s="805"/>
      <c r="O69" s="805"/>
      <c r="P69" s="805"/>
      <c r="Q69" s="805"/>
    </row>
    <row r="70" spans="2:17" ht="15.75">
      <c r="B70" s="218" t="s">
        <v>177</v>
      </c>
      <c r="C70" s="295">
        <v>10</v>
      </c>
      <c r="D70" s="64"/>
      <c r="E70" s="64"/>
      <c r="F70" s="812"/>
      <c r="G70" s="805"/>
      <c r="H70" s="805"/>
      <c r="I70" s="805"/>
      <c r="J70" s="805"/>
      <c r="K70" s="805"/>
      <c r="L70" s="805"/>
      <c r="M70" s="805"/>
      <c r="N70" s="805"/>
      <c r="O70" s="805"/>
      <c r="P70" s="805"/>
      <c r="Q70" s="805"/>
    </row>
    <row r="71" spans="6:17" ht="15.75">
      <c r="F71" s="805"/>
      <c r="G71" s="805"/>
      <c r="H71" s="805"/>
      <c r="I71" s="805"/>
      <c r="J71" s="805"/>
      <c r="K71" s="805"/>
      <c r="L71" s="805"/>
      <c r="M71" s="805"/>
      <c r="N71" s="805"/>
      <c r="O71" s="805"/>
      <c r="P71" s="805"/>
      <c r="Q71" s="805"/>
    </row>
    <row r="72" spans="6:17" ht="15.75">
      <c r="F72" s="805"/>
      <c r="G72" s="805"/>
      <c r="H72" s="805"/>
      <c r="I72" s="805"/>
      <c r="J72" s="805"/>
      <c r="K72" s="805"/>
      <c r="L72" s="805"/>
      <c r="M72" s="805"/>
      <c r="N72" s="805"/>
      <c r="O72" s="805"/>
      <c r="P72" s="805"/>
      <c r="Q72" s="805"/>
    </row>
    <row r="73" spans="6:17" ht="15.75">
      <c r="F73" s="805"/>
      <c r="G73" s="805"/>
      <c r="H73" s="805"/>
      <c r="I73" s="805"/>
      <c r="J73" s="805"/>
      <c r="K73" s="805"/>
      <c r="L73" s="805"/>
      <c r="M73" s="805"/>
      <c r="N73" s="805"/>
      <c r="O73" s="805"/>
      <c r="P73" s="805"/>
      <c r="Q73" s="805"/>
    </row>
    <row r="74" spans="6:17" ht="15.75">
      <c r="F74" s="805"/>
      <c r="G74" s="805"/>
      <c r="H74" s="805"/>
      <c r="I74" s="805"/>
      <c r="J74" s="805"/>
      <c r="K74" s="805"/>
      <c r="L74" s="805"/>
      <c r="M74" s="805"/>
      <c r="N74" s="805"/>
      <c r="O74" s="805"/>
      <c r="P74" s="805"/>
      <c r="Q74" s="805"/>
    </row>
  </sheetData>
  <sheetProtection/>
  <conditionalFormatting sqref="C13">
    <cfRule type="cellIs" priority="10" dxfId="146" operator="greaterThan" stopIfTrue="1">
      <formula>$C$15*0.1</formula>
    </cfRule>
  </conditionalFormatting>
  <conditionalFormatting sqref="C44">
    <cfRule type="cellIs" priority="11" dxfId="146" operator="greaterThan" stopIfTrue="1">
      <formula>$C$46*0.1</formula>
    </cfRule>
  </conditionalFormatting>
  <conditionalFormatting sqref="D13">
    <cfRule type="cellIs" priority="12" dxfId="146" operator="greaterThan" stopIfTrue="1">
      <formula>$D$15*0.1</formula>
    </cfRule>
  </conditionalFormatting>
  <conditionalFormatting sqref="E13">
    <cfRule type="cellIs" priority="13" dxfId="146" operator="greaterThan" stopIfTrue="1">
      <formula>$E$15*0.1</formula>
    </cfRule>
  </conditionalFormatting>
  <conditionalFormatting sqref="D44">
    <cfRule type="cellIs" priority="14" dxfId="146" operator="greaterThan" stopIfTrue="1">
      <formula>$D$46*0.1</formula>
    </cfRule>
  </conditionalFormatting>
  <conditionalFormatting sqref="C22">
    <cfRule type="cellIs" priority="16" dxfId="146" operator="greaterThan" stopIfTrue="1">
      <formula>$C$24*0.1</formula>
    </cfRule>
  </conditionalFormatting>
  <conditionalFormatting sqref="D22">
    <cfRule type="cellIs" priority="17" dxfId="146" operator="greaterThan" stopIfTrue="1">
      <formula>$D$24*0.1</formula>
    </cfRule>
  </conditionalFormatting>
  <conditionalFormatting sqref="E22">
    <cfRule type="cellIs" priority="18" dxfId="146" operator="greaterThan" stopIfTrue="1">
      <formula>$E$24*0.1</formula>
    </cfRule>
  </conditionalFormatting>
  <conditionalFormatting sqref="C62">
    <cfRule type="cellIs" priority="19" dxfId="146" operator="greaterThan" stopIfTrue="1">
      <formula>$C$64*0.1</formula>
    </cfRule>
  </conditionalFormatting>
  <conditionalFormatting sqref="D62">
    <cfRule type="cellIs" priority="20" dxfId="146" operator="greaterThan" stopIfTrue="1">
      <formula>$D$64*0.1</formula>
    </cfRule>
  </conditionalFormatting>
  <conditionalFormatting sqref="E62">
    <cfRule type="cellIs" priority="21" dxfId="146" operator="greaterThan" stopIfTrue="1">
      <formula>$E$64*0.1</formula>
    </cfRule>
  </conditionalFormatting>
  <conditionalFormatting sqref="E25 C65">
    <cfRule type="cellIs" priority="22" dxfId="1" operator="lessThan" stopIfTrue="1">
      <formula>0</formula>
    </cfRule>
  </conditionalFormatting>
  <conditionalFormatting sqref="D64">
    <cfRule type="cellIs" priority="23" dxfId="1" operator="greaterThan" stopIfTrue="1">
      <formula>$D$66</formula>
    </cfRule>
  </conditionalFormatting>
  <conditionalFormatting sqref="E65">
    <cfRule type="cellIs" priority="24" dxfId="11" operator="lessThan" stopIfTrue="1">
      <formula>0</formula>
    </cfRule>
  </conditionalFormatting>
  <conditionalFormatting sqref="D25">
    <cfRule type="cellIs" priority="7" dxfId="0" operator="lessThan" stopIfTrue="1">
      <formula>0</formula>
    </cfRule>
    <cfRule type="cellIs" priority="9" dxfId="0" operator="lessThan" stopIfTrue="1">
      <formula>0</formula>
    </cfRule>
  </conditionalFormatting>
  <conditionalFormatting sqref="D65">
    <cfRule type="cellIs" priority="8" dxfId="0" operator="lessThan" stopIfTrue="1">
      <formula>0</formula>
    </cfRule>
  </conditionalFormatting>
  <conditionalFormatting sqref="C25">
    <cfRule type="cellIs" priority="6" dxfId="0" operator="lessThan" stopIfTrue="1">
      <formula>0</formula>
    </cfRule>
  </conditionalFormatting>
  <conditionalFormatting sqref="D24">
    <cfRule type="cellIs" priority="4" dxfId="0" operator="greaterThan" stopIfTrue="1">
      <formula>$D$26</formula>
    </cfRule>
  </conditionalFormatting>
  <conditionalFormatting sqref="C24">
    <cfRule type="cellIs" priority="3" dxfId="0" operator="greaterThan" stopIfTrue="1">
      <formula>$C$26</formula>
    </cfRule>
  </conditionalFormatting>
  <conditionalFormatting sqref="C64">
    <cfRule type="cellIs" priority="2" dxfId="0" operator="greaterThan" stopIfTrue="1">
      <formula>$C$66</formula>
    </cfRule>
  </conditionalFormatting>
  <conditionalFormatting sqref="E44">
    <cfRule type="cellIs" priority="1" dxfId="146" operator="greaterThan" stopIfTrue="1">
      <formula>$D$46*0.1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M53"/>
  <sheetViews>
    <sheetView zoomScalePageLayoutView="0" workbookViewId="0" topLeftCell="A1">
      <selection activeCell="H41" sqref="H4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Blue Rapids</v>
      </c>
      <c r="C1" s="64"/>
      <c r="D1" s="64"/>
      <c r="E1" s="161">
        <f>inputPrYr!$C$5</f>
        <v>2014</v>
      </c>
    </row>
    <row r="2" spans="2:5" ht="15.75">
      <c r="B2" s="64"/>
      <c r="C2" s="64"/>
      <c r="D2" s="64"/>
      <c r="E2" s="218"/>
    </row>
    <row r="3" spans="2:5" ht="15.75">
      <c r="B3" s="81" t="s">
        <v>222</v>
      </c>
      <c r="C3" s="172"/>
      <c r="D3" s="172"/>
      <c r="E3" s="163"/>
    </row>
    <row r="4" spans="2:13" ht="15.75">
      <c r="B4" s="69" t="s">
        <v>164</v>
      </c>
      <c r="C4" s="713" t="s">
        <v>828</v>
      </c>
      <c r="D4" s="714" t="s">
        <v>829</v>
      </c>
      <c r="E4" s="174" t="s">
        <v>830</v>
      </c>
      <c r="F4" s="805"/>
      <c r="G4" s="805"/>
      <c r="H4" s="805"/>
      <c r="I4" s="805"/>
      <c r="J4" s="805"/>
      <c r="K4" s="805"/>
      <c r="L4" s="805"/>
      <c r="M4" s="805"/>
    </row>
    <row r="5" spans="2:13" ht="15.75">
      <c r="B5" s="450" t="str">
        <f>(inputPrYr!B30)</f>
        <v>Capital Improvement</v>
      </c>
      <c r="C5" s="331" t="str">
        <f>CONCATENATE("Actual for ",$E$1-2,"")</f>
        <v>Actual for 2012</v>
      </c>
      <c r="D5" s="412" t="str">
        <f>CONCATENATE("Estimate for ",$E$1-1,"")</f>
        <v>Estimate for 2013</v>
      </c>
      <c r="E5" s="229" t="str">
        <f>CONCATENATE("Year for ",$E$1,"")</f>
        <v>Year for 2014</v>
      </c>
      <c r="F5" s="805"/>
      <c r="G5" s="805"/>
      <c r="H5" s="805"/>
      <c r="I5" s="805"/>
      <c r="J5" s="805"/>
      <c r="K5" s="805"/>
      <c r="L5" s="805"/>
      <c r="M5" s="805"/>
    </row>
    <row r="6" spans="2:13" ht="15.75">
      <c r="B6" s="178" t="s">
        <v>278</v>
      </c>
      <c r="C6" s="87">
        <v>116523.39</v>
      </c>
      <c r="D6" s="189">
        <f>C22</f>
        <v>117534.4</v>
      </c>
      <c r="E6" s="189">
        <f>D22</f>
        <v>101784.4</v>
      </c>
      <c r="F6" s="790"/>
      <c r="G6" s="805"/>
      <c r="H6" s="805"/>
      <c r="I6" s="805"/>
      <c r="J6" s="805"/>
      <c r="K6" s="805"/>
      <c r="L6" s="805"/>
      <c r="M6" s="805"/>
    </row>
    <row r="7" spans="2:13" ht="15.75">
      <c r="B7" s="278" t="s">
        <v>280</v>
      </c>
      <c r="C7" s="189"/>
      <c r="D7" s="189"/>
      <c r="E7" s="189"/>
      <c r="F7" s="772"/>
      <c r="G7" s="805"/>
      <c r="H7" s="805"/>
      <c r="I7" s="805"/>
      <c r="J7" s="805"/>
      <c r="K7" s="805"/>
      <c r="L7" s="805"/>
      <c r="M7" s="805"/>
    </row>
    <row r="8" spans="2:13" ht="15.75">
      <c r="B8" s="290"/>
      <c r="C8" s="87"/>
      <c r="D8" s="87"/>
      <c r="E8" s="87"/>
      <c r="F8" s="782"/>
      <c r="G8" s="805"/>
      <c r="H8" s="805"/>
      <c r="I8" s="805"/>
      <c r="J8" s="805"/>
      <c r="K8" s="805"/>
      <c r="L8" s="805"/>
      <c r="M8" s="805"/>
    </row>
    <row r="9" spans="2:13" ht="15.75">
      <c r="B9" s="290"/>
      <c r="C9" s="87"/>
      <c r="D9" s="87"/>
      <c r="E9" s="87"/>
      <c r="F9" s="782"/>
      <c r="G9" s="805"/>
      <c r="H9" s="805"/>
      <c r="I9" s="805"/>
      <c r="J9" s="805"/>
      <c r="K9" s="805"/>
      <c r="L9" s="805"/>
      <c r="M9" s="805"/>
    </row>
    <row r="10" spans="2:13" ht="15.75">
      <c r="B10" s="335" t="s">
        <v>170</v>
      </c>
      <c r="C10" s="87">
        <v>1011.01</v>
      </c>
      <c r="D10" s="87">
        <v>1250</v>
      </c>
      <c r="E10" s="87">
        <v>1250</v>
      </c>
      <c r="F10" s="772"/>
      <c r="G10" s="805"/>
      <c r="H10" s="805"/>
      <c r="I10" s="805"/>
      <c r="J10" s="805"/>
      <c r="K10" s="805"/>
      <c r="L10" s="805"/>
      <c r="M10" s="805"/>
    </row>
    <row r="11" spans="2:13" ht="15.75">
      <c r="B11" s="339" t="s">
        <v>256</v>
      </c>
      <c r="C11" s="87"/>
      <c r="D11" s="87"/>
      <c r="E11" s="87"/>
      <c r="F11" s="790"/>
      <c r="G11" s="805"/>
      <c r="H11" s="805"/>
      <c r="I11" s="805"/>
      <c r="J11" s="805"/>
      <c r="K11" s="805"/>
      <c r="L11" s="805"/>
      <c r="M11" s="805"/>
    </row>
    <row r="12" spans="2:13" ht="15.75">
      <c r="B12" s="339" t="s">
        <v>646</v>
      </c>
      <c r="C12" s="451">
        <f>IF(C13*0.1&lt;C11,"Exceed 10% Rule","")</f>
      </c>
      <c r="D12" s="336">
        <f>IF(D13*0.1&lt;D11,"Exceed 10% Rule","")</f>
      </c>
      <c r="E12" s="336">
        <f>IF(E13*0.1&lt;E11,"Exceed 10% Rule","")</f>
      </c>
      <c r="F12" s="790"/>
      <c r="G12" s="805"/>
      <c r="H12" s="805"/>
      <c r="I12" s="805"/>
      <c r="J12" s="805"/>
      <c r="K12" s="805"/>
      <c r="L12" s="805"/>
      <c r="M12" s="805"/>
    </row>
    <row r="13" spans="2:13" ht="15.75">
      <c r="B13" s="287" t="s">
        <v>171</v>
      </c>
      <c r="C13" s="338">
        <f>SUM(C8:C11)</f>
        <v>1011.01</v>
      </c>
      <c r="D13" s="338">
        <f>SUM(D8:D11)</f>
        <v>1250</v>
      </c>
      <c r="E13" s="338">
        <f>SUM(E8:E11)</f>
        <v>1250</v>
      </c>
      <c r="F13" s="805"/>
      <c r="G13" s="805"/>
      <c r="H13" s="805"/>
      <c r="I13" s="805"/>
      <c r="J13" s="805"/>
      <c r="K13" s="805"/>
      <c r="L13" s="805"/>
      <c r="M13" s="805"/>
    </row>
    <row r="14" spans="2:13" ht="15.75">
      <c r="B14" s="287" t="s">
        <v>172</v>
      </c>
      <c r="C14" s="338">
        <f>C6+C13</f>
        <v>117534.4</v>
      </c>
      <c r="D14" s="338">
        <f>D6+D13</f>
        <v>118784.4</v>
      </c>
      <c r="E14" s="338">
        <f>E6+E13</f>
        <v>103034.4</v>
      </c>
      <c r="F14" s="805"/>
      <c r="G14" s="805"/>
      <c r="H14" s="805"/>
      <c r="I14" s="805"/>
      <c r="J14" s="805"/>
      <c r="K14" s="805"/>
      <c r="L14" s="805"/>
      <c r="M14" s="805"/>
    </row>
    <row r="15" spans="2:13" ht="15.75">
      <c r="B15" s="178" t="s">
        <v>173</v>
      </c>
      <c r="C15" s="189"/>
      <c r="D15" s="189"/>
      <c r="E15" s="189"/>
      <c r="F15" s="772"/>
      <c r="G15" s="805"/>
      <c r="H15" s="805"/>
      <c r="I15" s="805"/>
      <c r="J15" s="805"/>
      <c r="K15" s="805"/>
      <c r="L15" s="805"/>
      <c r="M15" s="805"/>
    </row>
    <row r="16" spans="2:13" ht="15.75">
      <c r="B16" s="405" t="s">
        <v>1024</v>
      </c>
      <c r="C16" s="87">
        <v>0</v>
      </c>
      <c r="D16" s="406">
        <v>2000</v>
      </c>
      <c r="E16" s="406">
        <v>2000</v>
      </c>
      <c r="F16" s="805"/>
      <c r="G16" s="805"/>
      <c r="H16" s="805"/>
      <c r="I16" s="805"/>
      <c r="J16" s="805"/>
      <c r="K16" s="805"/>
      <c r="L16" s="805"/>
      <c r="M16" s="805"/>
    </row>
    <row r="17" spans="2:13" ht="15.75">
      <c r="B17" s="405" t="s">
        <v>1035</v>
      </c>
      <c r="C17" s="87">
        <v>0</v>
      </c>
      <c r="D17" s="406">
        <v>15000</v>
      </c>
      <c r="E17" s="406">
        <v>101034</v>
      </c>
      <c r="F17" s="813"/>
      <c r="G17" s="805"/>
      <c r="H17" s="805"/>
      <c r="I17" s="805"/>
      <c r="J17" s="805"/>
      <c r="K17" s="805"/>
      <c r="L17" s="805"/>
      <c r="M17" s="805"/>
    </row>
    <row r="18" spans="2:13" ht="15.75">
      <c r="B18" s="405"/>
      <c r="C18" s="87"/>
      <c r="D18" s="406"/>
      <c r="E18" s="87"/>
      <c r="F18" s="772"/>
      <c r="G18" s="805"/>
      <c r="H18" s="805"/>
      <c r="I18" s="805"/>
      <c r="J18" s="805"/>
      <c r="K18" s="805"/>
      <c r="L18" s="805"/>
      <c r="M18" s="805"/>
    </row>
    <row r="19" spans="2:13" ht="15.75">
      <c r="B19" s="191" t="s">
        <v>256</v>
      </c>
      <c r="C19" s="87"/>
      <c r="D19" s="406"/>
      <c r="E19" s="87"/>
      <c r="F19" s="805"/>
      <c r="G19" s="805"/>
      <c r="H19" s="805"/>
      <c r="I19" s="805"/>
      <c r="J19" s="805"/>
      <c r="K19" s="805"/>
      <c r="L19" s="805"/>
      <c r="M19" s="805"/>
    </row>
    <row r="20" spans="2:13" ht="15.75">
      <c r="B20" s="191" t="s">
        <v>645</v>
      </c>
      <c r="C20" s="451">
        <f>IF(C21*0.1&lt;C19,"Exceed 10% Rule","")</f>
      </c>
      <c r="D20" s="336">
        <f>IF(D21*0.1&lt;D19,"Exceed 10% Rule","")</f>
      </c>
      <c r="E20" s="336">
        <f>IF(E21*0.1&lt;E19,"Exceed 10% Rule","")</f>
      </c>
      <c r="F20" s="805"/>
      <c r="G20" s="805"/>
      <c r="H20" s="805"/>
      <c r="I20" s="805"/>
      <c r="J20" s="805"/>
      <c r="K20" s="805"/>
      <c r="L20" s="805"/>
      <c r="M20" s="805"/>
    </row>
    <row r="21" spans="2:13" ht="15.75">
      <c r="B21" s="287" t="s">
        <v>174</v>
      </c>
      <c r="C21" s="338">
        <f>SUM(C16:C19)</f>
        <v>0</v>
      </c>
      <c r="D21" s="338">
        <f>SUM(D16:D19)</f>
        <v>17000</v>
      </c>
      <c r="E21" s="338">
        <f>SUM(E16:E19)</f>
        <v>103034</v>
      </c>
      <c r="F21" s="772"/>
      <c r="G21" s="805"/>
      <c r="H21" s="805"/>
      <c r="I21" s="805"/>
      <c r="J21" s="805"/>
      <c r="K21" s="805"/>
      <c r="L21" s="805"/>
      <c r="M21" s="805"/>
    </row>
    <row r="22" spans="2:13" ht="15.75">
      <c r="B22" s="178" t="s">
        <v>279</v>
      </c>
      <c r="C22" s="94">
        <f>C14-C21</f>
        <v>117534.4</v>
      </c>
      <c r="D22" s="94">
        <f>D14-D21</f>
        <v>101784.4</v>
      </c>
      <c r="E22" s="94">
        <f>E14-E21</f>
        <v>0.39999999999417923</v>
      </c>
      <c r="F22" s="772"/>
      <c r="G22" s="805"/>
      <c r="H22" s="805"/>
      <c r="I22" s="805"/>
      <c r="J22" s="805"/>
      <c r="K22" s="805"/>
      <c r="L22" s="805"/>
      <c r="M22" s="805"/>
    </row>
    <row r="23" spans="2:13" ht="15.75">
      <c r="B23" s="210" t="str">
        <f>CONCATENATE("",E1-2,"/",E1-1," Budget Authority Amount:")</f>
        <v>2012/2013 Budget Authority Amount:</v>
      </c>
      <c r="C23" s="221">
        <f>inputOth!B60</f>
        <v>132569</v>
      </c>
      <c r="D23" s="221">
        <f>inputPrYr!D30</f>
        <v>103023</v>
      </c>
      <c r="E23" s="458">
        <f>IF(E22&lt;0,"See Tab E","")</f>
      </c>
      <c r="F23" s="772"/>
      <c r="G23" s="805"/>
      <c r="H23" s="805"/>
      <c r="I23" s="805"/>
      <c r="J23" s="805"/>
      <c r="K23" s="805"/>
      <c r="L23" s="805"/>
      <c r="M23" s="805"/>
    </row>
    <row r="24" spans="2:13" ht="15.75">
      <c r="B24" s="210"/>
      <c r="C24" s="293">
        <f>IF(C21&gt;C23,"See Tab A","")</f>
      </c>
      <c r="D24" s="293">
        <f>IF(D21&gt;D23,"See Tab C","")</f>
      </c>
      <c r="E24" s="340"/>
      <c r="F24" s="772"/>
      <c r="G24" s="772"/>
      <c r="H24" s="772"/>
      <c r="I24" s="772"/>
      <c r="J24" s="772"/>
      <c r="K24" s="772"/>
      <c r="L24" s="772"/>
      <c r="M24" s="805"/>
    </row>
    <row r="25" spans="2:12" ht="15.75">
      <c r="B25" s="347"/>
      <c r="C25" s="293">
        <f>IF(C22&lt;0,"See Tab B","")</f>
      </c>
      <c r="D25" s="293">
        <f>IF(D22&lt;0,"See Tab D","")</f>
      </c>
      <c r="E25" s="340"/>
      <c r="F25" s="773"/>
      <c r="G25" s="773"/>
      <c r="H25" s="773"/>
      <c r="I25" s="773"/>
      <c r="J25" s="773"/>
      <c r="K25" s="773"/>
      <c r="L25" s="773"/>
    </row>
    <row r="26" spans="2:12" ht="15.75">
      <c r="B26" s="347" t="s">
        <v>1109</v>
      </c>
      <c r="C26" s="340"/>
      <c r="D26" s="340"/>
      <c r="E26" s="340"/>
      <c r="F26" s="773"/>
      <c r="G26" s="773"/>
      <c r="H26" s="773"/>
      <c r="I26" s="773"/>
      <c r="J26" s="773"/>
      <c r="K26" s="773"/>
      <c r="L26" s="773"/>
    </row>
    <row r="27" spans="2:12" ht="15.75">
      <c r="B27" s="64"/>
      <c r="C27" s="340"/>
      <c r="D27" s="340"/>
      <c r="E27" s="340"/>
      <c r="F27" s="773"/>
      <c r="G27" s="773"/>
      <c r="H27" s="773"/>
      <c r="I27" s="773"/>
      <c r="J27" s="773"/>
      <c r="K27" s="773"/>
      <c r="L27" s="773"/>
    </row>
    <row r="28" spans="2:12" ht="15.75">
      <c r="B28" s="69" t="s">
        <v>164</v>
      </c>
      <c r="C28" s="713" t="s">
        <v>828</v>
      </c>
      <c r="D28" s="714" t="s">
        <v>829</v>
      </c>
      <c r="E28" s="174" t="s">
        <v>830</v>
      </c>
      <c r="F28" s="773"/>
      <c r="G28" s="773"/>
      <c r="H28" s="773"/>
      <c r="I28" s="773"/>
      <c r="J28" s="773"/>
      <c r="K28" s="773"/>
      <c r="L28" s="773"/>
    </row>
    <row r="29" spans="2:12" ht="15.75">
      <c r="B29" s="450" t="str">
        <f>(inputPrYr!B31)</f>
        <v>Utility System Reserve</v>
      </c>
      <c r="C29" s="331" t="str">
        <f>CONCATENATE("Actual for ",$E$1-2,"")</f>
        <v>Actual for 2012</v>
      </c>
      <c r="D29" s="412" t="str">
        <f>CONCATENATE("Estimate for ",$E$1-1,"")</f>
        <v>Estimate for 2013</v>
      </c>
      <c r="E29" s="229" t="str">
        <f>CONCATENATE("Year for ",$E$1,"")</f>
        <v>Year for 2014</v>
      </c>
      <c r="F29" s="772"/>
      <c r="G29" s="772"/>
      <c r="H29" s="772"/>
      <c r="I29" s="772"/>
      <c r="J29" s="772"/>
      <c r="K29" s="772"/>
      <c r="L29" s="773"/>
    </row>
    <row r="30" spans="2:12" ht="15.75">
      <c r="B30" s="178" t="s">
        <v>278</v>
      </c>
      <c r="C30" s="87">
        <v>168736.7</v>
      </c>
      <c r="D30" s="189">
        <f>C48</f>
        <v>105960.37000000001</v>
      </c>
      <c r="E30" s="189">
        <f>D48</f>
        <v>64950.37000000001</v>
      </c>
      <c r="F30" s="790"/>
      <c r="G30" s="772"/>
      <c r="H30" s="772"/>
      <c r="I30" s="772"/>
      <c r="J30" s="772"/>
      <c r="K30" s="772"/>
      <c r="L30" s="773"/>
    </row>
    <row r="31" spans="2:12" ht="15.75">
      <c r="B31" s="278" t="s">
        <v>280</v>
      </c>
      <c r="C31" s="189"/>
      <c r="D31" s="189"/>
      <c r="E31" s="189"/>
      <c r="F31" s="772"/>
      <c r="G31" s="772"/>
      <c r="H31" s="772"/>
      <c r="I31" s="772"/>
      <c r="J31" s="772"/>
      <c r="K31" s="772"/>
      <c r="L31" s="773"/>
    </row>
    <row r="32" spans="2:12" ht="15.75">
      <c r="B32" s="290" t="s">
        <v>1041</v>
      </c>
      <c r="C32" s="87">
        <v>5177.18</v>
      </c>
      <c r="D32" s="87">
        <v>5300</v>
      </c>
      <c r="E32" s="87">
        <v>5300</v>
      </c>
      <c r="F32" s="772"/>
      <c r="G32" s="772"/>
      <c r="H32" s="772"/>
      <c r="I32" s="772"/>
      <c r="J32" s="772"/>
      <c r="K32" s="772"/>
      <c r="L32" s="773"/>
    </row>
    <row r="33" spans="2:12" ht="15.75">
      <c r="B33" s="290" t="s">
        <v>1017</v>
      </c>
      <c r="C33" s="87">
        <v>5000</v>
      </c>
      <c r="D33" s="87">
        <v>5000</v>
      </c>
      <c r="E33" s="87">
        <v>5000</v>
      </c>
      <c r="F33" s="806"/>
      <c r="G33" s="806"/>
      <c r="H33" s="806"/>
      <c r="I33" s="806"/>
      <c r="J33" s="806"/>
      <c r="K33" s="806"/>
      <c r="L33" s="783"/>
    </row>
    <row r="34" spans="2:12" ht="15.75">
      <c r="B34" s="290"/>
      <c r="C34" s="87"/>
      <c r="D34" s="87"/>
      <c r="E34" s="87"/>
      <c r="F34" s="805"/>
      <c r="G34" s="806"/>
      <c r="H34" s="806"/>
      <c r="I34" s="806"/>
      <c r="J34" s="806"/>
      <c r="K34" s="806"/>
      <c r="L34" s="783"/>
    </row>
    <row r="35" spans="2:12" ht="15.75">
      <c r="B35" s="335" t="s">
        <v>170</v>
      </c>
      <c r="C35" s="87">
        <v>2071.19</v>
      </c>
      <c r="D35" s="87">
        <v>1500</v>
      </c>
      <c r="E35" s="87">
        <v>1505</v>
      </c>
      <c r="F35" s="806"/>
      <c r="G35" s="806"/>
      <c r="H35" s="806"/>
      <c r="I35" s="806"/>
      <c r="J35" s="806"/>
      <c r="K35" s="806"/>
      <c r="L35" s="783"/>
    </row>
    <row r="36" spans="2:12" ht="15.75">
      <c r="B36" s="339" t="s">
        <v>256</v>
      </c>
      <c r="C36" s="87"/>
      <c r="D36" s="87"/>
      <c r="E36" s="87"/>
      <c r="F36" s="806"/>
      <c r="G36" s="806"/>
      <c r="H36" s="806"/>
      <c r="I36" s="806"/>
      <c r="J36" s="806"/>
      <c r="K36" s="806"/>
      <c r="L36" s="783"/>
    </row>
    <row r="37" spans="2:12" ht="15.75">
      <c r="B37" s="339" t="s">
        <v>646</v>
      </c>
      <c r="C37" s="451">
        <f>IF(C38*0.1&lt;C36,"Exceed 10% Rule","")</f>
      </c>
      <c r="D37" s="336">
        <f>IF(D38*0.1&lt;D36,"Exceed 10% Rule","")</f>
      </c>
      <c r="E37" s="336">
        <f>IF(E38*0.1&lt;E36,"Exceed 10% Rule","")</f>
      </c>
      <c r="F37" s="772"/>
      <c r="G37" s="772"/>
      <c r="H37" s="772"/>
      <c r="I37" s="772"/>
      <c r="J37" s="772"/>
      <c r="K37" s="772"/>
      <c r="L37" s="773"/>
    </row>
    <row r="38" spans="2:12" ht="15.75">
      <c r="B38" s="287" t="s">
        <v>171</v>
      </c>
      <c r="C38" s="338">
        <f>SUM(C32:C36)</f>
        <v>12248.37</v>
      </c>
      <c r="D38" s="338">
        <f>SUM(D32:D36)</f>
        <v>11800</v>
      </c>
      <c r="E38" s="338">
        <f>SUM(E32:E36)</f>
        <v>11805</v>
      </c>
      <c r="F38" s="772"/>
      <c r="G38" s="772"/>
      <c r="H38" s="772"/>
      <c r="I38" s="772"/>
      <c r="J38" s="772"/>
      <c r="K38" s="772"/>
      <c r="L38" s="773"/>
    </row>
    <row r="39" spans="2:11" ht="15.75">
      <c r="B39" s="287" t="s">
        <v>172</v>
      </c>
      <c r="C39" s="338">
        <f>C30+C38</f>
        <v>180985.07</v>
      </c>
      <c r="D39" s="338">
        <f>D30+D38</f>
        <v>117760.37000000001</v>
      </c>
      <c r="E39" s="338">
        <f>E30+E38</f>
        <v>76755.37000000001</v>
      </c>
      <c r="F39" s="805"/>
      <c r="G39" s="805"/>
      <c r="H39" s="805"/>
      <c r="I39" s="805"/>
      <c r="J39" s="805"/>
      <c r="K39" s="805"/>
    </row>
    <row r="40" spans="2:11" ht="15.75">
      <c r="B40" s="178" t="s">
        <v>173</v>
      </c>
      <c r="C40" s="189"/>
      <c r="D40" s="189"/>
      <c r="E40" s="189"/>
      <c r="F40" s="805"/>
      <c r="G40" s="805"/>
      <c r="H40" s="805"/>
      <c r="I40" s="805"/>
      <c r="J40" s="805"/>
      <c r="K40" s="805"/>
    </row>
    <row r="41" spans="2:11" ht="15.75">
      <c r="B41" s="407" t="s">
        <v>1024</v>
      </c>
      <c r="C41" s="87">
        <v>24.7</v>
      </c>
      <c r="D41" s="87">
        <v>0</v>
      </c>
      <c r="E41" s="87">
        <v>0</v>
      </c>
      <c r="F41" s="805"/>
      <c r="G41" s="805"/>
      <c r="H41" s="805"/>
      <c r="I41" s="805"/>
      <c r="J41" s="805"/>
      <c r="K41" s="805"/>
    </row>
    <row r="42" spans="2:11" ht="15.75">
      <c r="B42" s="407" t="s">
        <v>1096</v>
      </c>
      <c r="C42" s="87">
        <v>75000</v>
      </c>
      <c r="D42" s="408">
        <v>52810</v>
      </c>
      <c r="E42" s="408">
        <v>0</v>
      </c>
      <c r="F42" s="805"/>
      <c r="G42" s="805"/>
      <c r="H42" s="805"/>
      <c r="I42" s="805"/>
      <c r="J42" s="805"/>
      <c r="K42" s="805"/>
    </row>
    <row r="43" spans="2:11" ht="15.75">
      <c r="B43" s="407" t="s">
        <v>1053</v>
      </c>
      <c r="C43" s="87">
        <v>0</v>
      </c>
      <c r="D43" s="408">
        <v>0</v>
      </c>
      <c r="E43" s="408">
        <v>76755</v>
      </c>
      <c r="F43" s="805"/>
      <c r="G43" s="805"/>
      <c r="H43" s="805"/>
      <c r="I43" s="805"/>
      <c r="J43" s="805"/>
      <c r="K43" s="805"/>
    </row>
    <row r="44" spans="2:11" ht="15.75">
      <c r="B44" s="290"/>
      <c r="C44" s="87"/>
      <c r="D44" s="87"/>
      <c r="E44" s="87"/>
      <c r="F44" s="805"/>
      <c r="G44" s="805"/>
      <c r="H44" s="805"/>
      <c r="I44" s="805"/>
      <c r="J44" s="805"/>
      <c r="K44" s="805"/>
    </row>
    <row r="45" spans="2:11" ht="15.75">
      <c r="B45" s="191" t="s">
        <v>256</v>
      </c>
      <c r="C45" s="87"/>
      <c r="D45" s="332"/>
      <c r="E45" s="332"/>
      <c r="F45" s="805"/>
      <c r="G45" s="805"/>
      <c r="H45" s="805"/>
      <c r="I45" s="805"/>
      <c r="J45" s="805"/>
      <c r="K45" s="805"/>
    </row>
    <row r="46" spans="2:11" ht="15.75">
      <c r="B46" s="191" t="s">
        <v>645</v>
      </c>
      <c r="C46" s="451">
        <f>IF(C47*0.1&lt;C45,"Exceed 10% Rule","")</f>
      </c>
      <c r="D46" s="336">
        <f>IF(D47*0.1&lt;D45,"Exceed 10% Rule","")</f>
      </c>
      <c r="E46" s="336">
        <f>IF(E47*0.1&lt;E45,"Exceed 10% Rule","")</f>
      </c>
      <c r="F46" s="806"/>
      <c r="G46" s="805"/>
      <c r="H46" s="805"/>
      <c r="I46" s="805"/>
      <c r="J46" s="805"/>
      <c r="K46" s="805"/>
    </row>
    <row r="47" spans="2:11" ht="15.75">
      <c r="B47" s="287" t="s">
        <v>174</v>
      </c>
      <c r="C47" s="338">
        <f>SUM(C41:C45)</f>
        <v>75024.7</v>
      </c>
      <c r="D47" s="338">
        <f>SUM(D41:D45)</f>
        <v>52810</v>
      </c>
      <c r="E47" s="338">
        <f>SUM(E41:E45)</f>
        <v>76755</v>
      </c>
      <c r="F47" s="806"/>
      <c r="G47" s="805"/>
      <c r="H47" s="805"/>
      <c r="I47" s="805"/>
      <c r="J47" s="805"/>
      <c r="K47" s="805"/>
    </row>
    <row r="48" spans="2:11" ht="15.75">
      <c r="B48" s="178" t="s">
        <v>279</v>
      </c>
      <c r="C48" s="94">
        <f>C39-C47</f>
        <v>105960.37000000001</v>
      </c>
      <c r="D48" s="94">
        <f>D39-D47</f>
        <v>64950.37000000001</v>
      </c>
      <c r="E48" s="94">
        <f>E39-E47</f>
        <v>0.3700000000098953</v>
      </c>
      <c r="F48" s="805"/>
      <c r="G48" s="805"/>
      <c r="H48" s="805"/>
      <c r="I48" s="805"/>
      <c r="J48" s="805"/>
      <c r="K48" s="805"/>
    </row>
    <row r="49" spans="2:11" ht="15.75">
      <c r="B49" s="210" t="str">
        <f>CONCATENATE("",E1-2,"/",E1-1," Budget Authority Amount:")</f>
        <v>2012/2013 Budget Authority Amount:</v>
      </c>
      <c r="C49" s="221">
        <f>inputOth!B61</f>
        <v>163741</v>
      </c>
      <c r="D49" s="221">
        <f>inputPrYr!D31</f>
        <v>119587</v>
      </c>
      <c r="E49" s="458">
        <f>IF(E48&lt;0,"See Tab E","")</f>
      </c>
      <c r="F49" s="805"/>
      <c r="G49" s="805"/>
      <c r="H49" s="805"/>
      <c r="I49" s="805"/>
      <c r="J49" s="805"/>
      <c r="K49" s="805"/>
    </row>
    <row r="50" spans="2:11" ht="15.75">
      <c r="B50" s="210"/>
      <c r="C50" s="293">
        <f>IF(C47&gt;C49,"See Tab A","")</f>
      </c>
      <c r="D50" s="293">
        <f>IF(D47&gt;D49,"See Tab C","")</f>
      </c>
      <c r="E50" s="64"/>
      <c r="F50" s="805"/>
      <c r="G50" s="805"/>
      <c r="H50" s="805"/>
      <c r="I50" s="805"/>
      <c r="J50" s="805"/>
      <c r="K50" s="805"/>
    </row>
    <row r="51" spans="2:11" ht="15.75">
      <c r="B51" s="210"/>
      <c r="C51" s="293">
        <f>IF(C48&lt;0,"See Tab B","")</f>
      </c>
      <c r="D51" s="293">
        <f>IF(D48&lt;0,"See Tab D","")</f>
      </c>
      <c r="E51" s="64"/>
      <c r="F51" s="805"/>
      <c r="G51" s="805"/>
      <c r="H51" s="805"/>
      <c r="I51" s="805"/>
      <c r="J51" s="805"/>
      <c r="K51" s="805"/>
    </row>
    <row r="52" spans="2:5" ht="15.75">
      <c r="B52" s="64"/>
      <c r="C52" s="64"/>
      <c r="D52" s="64"/>
      <c r="E52" s="64"/>
    </row>
    <row r="53" spans="2:5" ht="15.75">
      <c r="B53" s="218" t="s">
        <v>177</v>
      </c>
      <c r="C53" s="295">
        <v>11</v>
      </c>
      <c r="D53" s="64"/>
      <c r="E53" s="64"/>
    </row>
  </sheetData>
  <sheetProtection/>
  <conditionalFormatting sqref="C11">
    <cfRule type="cellIs" priority="6" dxfId="146" operator="greaterThan" stopIfTrue="1">
      <formula>$C$13*0.1</formula>
    </cfRule>
  </conditionalFormatting>
  <conditionalFormatting sqref="D11">
    <cfRule type="cellIs" priority="7" dxfId="146" operator="greaterThan" stopIfTrue="1">
      <formula>$D$13*0.1</formula>
    </cfRule>
  </conditionalFormatting>
  <conditionalFormatting sqref="C36">
    <cfRule type="cellIs" priority="9" dxfId="146" operator="greaterThan" stopIfTrue="1">
      <formula>$C$38*0.1</formula>
    </cfRule>
  </conditionalFormatting>
  <conditionalFormatting sqref="D36">
    <cfRule type="cellIs" priority="10" dxfId="146" operator="greaterThan" stopIfTrue="1">
      <formula>$D$38*0.1</formula>
    </cfRule>
  </conditionalFormatting>
  <conditionalFormatting sqref="C45">
    <cfRule type="cellIs" priority="12" dxfId="146" operator="greaterThan" stopIfTrue="1">
      <formula>$C$47*0.1</formula>
    </cfRule>
  </conditionalFormatting>
  <conditionalFormatting sqref="D45">
    <cfRule type="cellIs" priority="13" dxfId="146" operator="greaterThan" stopIfTrue="1">
      <formula>$D$47*0.1</formula>
    </cfRule>
  </conditionalFormatting>
  <conditionalFormatting sqref="E45">
    <cfRule type="cellIs" priority="14" dxfId="146" operator="greaterThan" stopIfTrue="1">
      <formula>$E$47*0.1</formula>
    </cfRule>
  </conditionalFormatting>
  <conditionalFormatting sqref="C19">
    <cfRule type="cellIs" priority="15" dxfId="146" operator="greaterThan" stopIfTrue="1">
      <formula>$C$21*0.1</formula>
    </cfRule>
  </conditionalFormatting>
  <conditionalFormatting sqref="D19">
    <cfRule type="cellIs" priority="16" dxfId="146" operator="greaterThan" stopIfTrue="1">
      <formula>$D$21*0.1</formula>
    </cfRule>
  </conditionalFormatting>
  <conditionalFormatting sqref="E19">
    <cfRule type="cellIs" priority="17" dxfId="146" operator="greaterThan" stopIfTrue="1">
      <formula>$E$21*0.1</formula>
    </cfRule>
  </conditionalFormatting>
  <conditionalFormatting sqref="C22 C48 E22 E48">
    <cfRule type="cellIs" priority="18" dxfId="1" operator="lessThan" stopIfTrue="1">
      <formula>0</formula>
    </cfRule>
  </conditionalFormatting>
  <conditionalFormatting sqref="D21">
    <cfRule type="cellIs" priority="19" dxfId="1" operator="greaterThan" stopIfTrue="1">
      <formula>$D$23</formula>
    </cfRule>
  </conditionalFormatting>
  <conditionalFormatting sqref="C47">
    <cfRule type="cellIs" priority="20" dxfId="1" operator="greaterThan" stopIfTrue="1">
      <formula>$C$49</formula>
    </cfRule>
  </conditionalFormatting>
  <conditionalFormatting sqref="D47">
    <cfRule type="cellIs" priority="21" dxfId="1" operator="greaterThan" stopIfTrue="1">
      <formula>$D$49</formula>
    </cfRule>
  </conditionalFormatting>
  <conditionalFormatting sqref="D22">
    <cfRule type="cellIs" priority="5" dxfId="0" operator="lessThan" stopIfTrue="1">
      <formula>0</formula>
    </cfRule>
  </conditionalFormatting>
  <conditionalFormatting sqref="D48">
    <cfRule type="cellIs" priority="4" dxfId="0" operator="lessThan" stopIfTrue="1">
      <formula>0</formula>
    </cfRule>
  </conditionalFormatting>
  <conditionalFormatting sqref="C21">
    <cfRule type="cellIs" priority="3" dxfId="0" operator="greaterThan" stopIfTrue="1">
      <formula>$C$23</formula>
    </cfRule>
  </conditionalFormatting>
  <conditionalFormatting sqref="E11">
    <cfRule type="cellIs" priority="2" dxfId="146" operator="greaterThan" stopIfTrue="1">
      <formula>$D$13*0.1</formula>
    </cfRule>
  </conditionalFormatting>
  <conditionalFormatting sqref="E36">
    <cfRule type="cellIs" priority="1" dxfId="146" operator="greaterThan" stopIfTrue="1">
      <formula>$D$38*0.1</formula>
    </cfRule>
  </conditionalFormatting>
  <printOptions/>
  <pageMargins left="0.5" right="0.5" top="1" bottom="0.5" header="0.5" footer="0.5"/>
  <pageSetup blackAndWhite="1" fitToHeight="1" fitToWidth="1" horizontalDpi="600" verticalDpi="600" orientation="portrait" scale="7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N55"/>
  <sheetViews>
    <sheetView zoomScalePageLayoutView="0" workbookViewId="0" topLeftCell="A19">
      <selection activeCell="J27" sqref="J27"/>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Blue Rapids</v>
      </c>
      <c r="C1" s="64"/>
      <c r="D1" s="64"/>
      <c r="E1" s="161">
        <f>inputPrYr!$C$5</f>
        <v>2014</v>
      </c>
    </row>
    <row r="2" spans="2:5" ht="15.75">
      <c r="B2" s="64"/>
      <c r="C2" s="64"/>
      <c r="D2" s="64"/>
      <c r="E2" s="218"/>
    </row>
    <row r="3" spans="2:5" ht="15.75">
      <c r="B3" s="81" t="s">
        <v>222</v>
      </c>
      <c r="C3" s="329"/>
      <c r="D3" s="329"/>
      <c r="E3" s="330"/>
    </row>
    <row r="4" spans="2:14" ht="15.75">
      <c r="B4" s="69" t="s">
        <v>164</v>
      </c>
      <c r="C4" s="713" t="s">
        <v>828</v>
      </c>
      <c r="D4" s="714" t="s">
        <v>829</v>
      </c>
      <c r="E4" s="174" t="s">
        <v>830</v>
      </c>
      <c r="F4" s="805"/>
      <c r="G4" s="805"/>
      <c r="H4" s="805"/>
      <c r="I4" s="805"/>
      <c r="J4" s="805"/>
      <c r="K4" s="805"/>
      <c r="L4" s="805"/>
      <c r="M4" s="805"/>
      <c r="N4" s="805"/>
    </row>
    <row r="5" spans="2:14" ht="15.75">
      <c r="B5" s="450" t="str">
        <f>(inputPrYr!B36)</f>
        <v>Spec. Law Enf. Trust Fund</v>
      </c>
      <c r="C5" s="331" t="str">
        <f>CONCATENATE("Actual for ",$E$1-2,"")</f>
        <v>Actual for 2012</v>
      </c>
      <c r="D5" s="412" t="str">
        <f>CONCATENATE("Estimate for ",$E$1-1,"")</f>
        <v>Estimate for 2013</v>
      </c>
      <c r="E5" s="229" t="str">
        <f>CONCATENATE("Year for ",$E$1,"")</f>
        <v>Year for 2014</v>
      </c>
      <c r="F5" s="805"/>
      <c r="G5" s="805"/>
      <c r="H5" s="805"/>
      <c r="I5" s="805"/>
      <c r="J5" s="805"/>
      <c r="K5" s="805"/>
      <c r="L5" s="805"/>
      <c r="M5" s="805"/>
      <c r="N5" s="805"/>
    </row>
    <row r="6" spans="2:14" ht="15.75">
      <c r="B6" s="178" t="s">
        <v>278</v>
      </c>
      <c r="C6" s="87">
        <v>515</v>
      </c>
      <c r="D6" s="189">
        <f>C21</f>
        <v>0</v>
      </c>
      <c r="E6" s="189">
        <f>D21</f>
        <v>0</v>
      </c>
      <c r="F6" s="784"/>
      <c r="G6" s="805"/>
      <c r="H6" s="805"/>
      <c r="I6" s="805"/>
      <c r="J6" s="805"/>
      <c r="K6" s="805"/>
      <c r="L6" s="805"/>
      <c r="M6" s="805"/>
      <c r="N6" s="805"/>
    </row>
    <row r="7" spans="2:14" ht="15.75">
      <c r="B7" s="278" t="s">
        <v>280</v>
      </c>
      <c r="C7" s="108"/>
      <c r="D7" s="108"/>
      <c r="E7" s="108"/>
      <c r="F7" s="805"/>
      <c r="G7" s="805"/>
      <c r="H7" s="805"/>
      <c r="I7" s="805"/>
      <c r="J7" s="805"/>
      <c r="K7" s="805"/>
      <c r="L7" s="805"/>
      <c r="M7" s="805"/>
      <c r="N7" s="805"/>
    </row>
    <row r="8" spans="2:14" ht="15.75">
      <c r="B8" s="290" t="s">
        <v>1042</v>
      </c>
      <c r="C8" s="333">
        <v>0</v>
      </c>
      <c r="D8" s="333">
        <v>1200</v>
      </c>
      <c r="E8" s="333">
        <v>1200</v>
      </c>
      <c r="F8" s="805"/>
      <c r="G8" s="805"/>
      <c r="H8" s="805"/>
      <c r="I8" s="805"/>
      <c r="J8" s="805"/>
      <c r="K8" s="805"/>
      <c r="L8" s="805"/>
      <c r="M8" s="805"/>
      <c r="N8" s="805"/>
    </row>
    <row r="9" spans="2:14" ht="15.75">
      <c r="B9" s="290"/>
      <c r="C9" s="333"/>
      <c r="D9" s="333"/>
      <c r="E9" s="333"/>
      <c r="F9" s="805"/>
      <c r="G9" s="805"/>
      <c r="H9" s="805"/>
      <c r="I9" s="805"/>
      <c r="J9" s="805"/>
      <c r="K9" s="805"/>
      <c r="L9" s="805"/>
      <c r="M9" s="805"/>
      <c r="N9" s="805"/>
    </row>
    <row r="10" spans="2:14" ht="15.75">
      <c r="B10" s="335" t="s">
        <v>170</v>
      </c>
      <c r="C10" s="333"/>
      <c r="D10" s="333"/>
      <c r="E10" s="333"/>
      <c r="F10" s="805"/>
      <c r="G10" s="805"/>
      <c r="H10" s="805"/>
      <c r="I10" s="805"/>
      <c r="J10" s="805"/>
      <c r="K10" s="805"/>
      <c r="L10" s="805"/>
      <c r="M10" s="805"/>
      <c r="N10" s="805"/>
    </row>
    <row r="11" spans="2:14" ht="15.75">
      <c r="B11" s="339" t="s">
        <v>256</v>
      </c>
      <c r="C11" s="333"/>
      <c r="D11" s="333"/>
      <c r="E11" s="333"/>
      <c r="F11" s="805"/>
      <c r="G11" s="805"/>
      <c r="H11" s="805"/>
      <c r="I11" s="805"/>
      <c r="J11" s="805"/>
      <c r="K11" s="805"/>
      <c r="L11" s="805"/>
      <c r="M11" s="805"/>
      <c r="N11" s="805"/>
    </row>
    <row r="12" spans="2:5" ht="15.75">
      <c r="B12" s="339" t="s">
        <v>646</v>
      </c>
      <c r="C12" s="451">
        <f>IF(C13*0.1&lt;C11,"Exceed 10% Rule","")</f>
      </c>
      <c r="D12" s="336">
        <f>IF(D13*0.1&lt;D11,"Exceed 10% Rule","")</f>
      </c>
      <c r="E12" s="336">
        <f>IF(E13*0.1&lt;E11,"Exceed 10% Rule","")</f>
      </c>
    </row>
    <row r="13" spans="2:5" ht="15.75">
      <c r="B13" s="287" t="s">
        <v>171</v>
      </c>
      <c r="C13" s="338">
        <f>SUM(C8:C11)</f>
        <v>0</v>
      </c>
      <c r="D13" s="338">
        <f>SUM(D8:D11)</f>
        <v>1200</v>
      </c>
      <c r="E13" s="338">
        <f>SUM(E8:E11)</f>
        <v>1200</v>
      </c>
    </row>
    <row r="14" spans="2:5" ht="15.75">
      <c r="B14" s="287" t="s">
        <v>172</v>
      </c>
      <c r="C14" s="338">
        <f>C6+C13</f>
        <v>515</v>
      </c>
      <c r="D14" s="338">
        <f>D6+D13</f>
        <v>1200</v>
      </c>
      <c r="E14" s="338">
        <f>E6+E13</f>
        <v>1200</v>
      </c>
    </row>
    <row r="15" spans="2:5" ht="15.75">
      <c r="B15" s="178" t="s">
        <v>173</v>
      </c>
      <c r="C15" s="108"/>
      <c r="D15" s="108"/>
      <c r="E15" s="108"/>
    </row>
    <row r="16" spans="2:5" ht="15.75">
      <c r="B16" s="290" t="s">
        <v>1024</v>
      </c>
      <c r="C16" s="333">
        <v>515</v>
      </c>
      <c r="D16" s="333">
        <v>1200</v>
      </c>
      <c r="E16" s="333">
        <v>1200</v>
      </c>
    </row>
    <row r="17" spans="2:5" ht="15.75">
      <c r="B17" s="290"/>
      <c r="C17" s="333"/>
      <c r="D17" s="333"/>
      <c r="E17" s="333"/>
    </row>
    <row r="18" spans="2:5" ht="15.75">
      <c r="B18" s="191" t="s">
        <v>256</v>
      </c>
      <c r="C18" s="333"/>
      <c r="D18" s="333"/>
      <c r="E18" s="333"/>
    </row>
    <row r="19" spans="2:5" ht="15.75">
      <c r="B19" s="191" t="s">
        <v>645</v>
      </c>
      <c r="C19" s="451">
        <f>IF(C20*0.1&lt;C18,"Exceed 10% Rule","")</f>
      </c>
      <c r="D19" s="336">
        <f>IF(D20*0.1&lt;D18,"Exceed 10% Rule","")</f>
      </c>
      <c r="E19" s="336">
        <f>IF(E20*0.1&lt;E18,"Exceed 10% Rule","")</f>
      </c>
    </row>
    <row r="20" spans="2:5" ht="15.75">
      <c r="B20" s="287" t="s">
        <v>174</v>
      </c>
      <c r="C20" s="338">
        <f>SUM(C16:C18)</f>
        <v>515</v>
      </c>
      <c r="D20" s="338">
        <f>SUM(D16:D18)</f>
        <v>1200</v>
      </c>
      <c r="E20" s="338">
        <f>SUM(E16:E18)</f>
        <v>1200</v>
      </c>
    </row>
    <row r="21" spans="2:5" ht="15.75">
      <c r="B21" s="178" t="s">
        <v>279</v>
      </c>
      <c r="C21" s="94">
        <f>C14-C20</f>
        <v>0</v>
      </c>
      <c r="D21" s="94">
        <f>D14-D20</f>
        <v>0</v>
      </c>
      <c r="E21" s="94">
        <f>E14-E20</f>
        <v>0</v>
      </c>
    </row>
    <row r="22" spans="2:5" ht="15.75">
      <c r="B22" s="210" t="str">
        <f>CONCATENATE("",E1-2,"/",E1-1," Budget Authority Amount:")</f>
        <v>2012/2013 Budget Authority Amount:</v>
      </c>
      <c r="C22" s="221">
        <f>inputOth!B63</f>
        <v>2165</v>
      </c>
      <c r="D22" s="221">
        <f>inputPrYr!D36</f>
        <v>2315</v>
      </c>
      <c r="E22" s="458">
        <f>IF(E21&lt;0,"See Tab E","")</f>
      </c>
    </row>
    <row r="23" spans="2:5" ht="15.75">
      <c r="B23" s="210"/>
      <c r="C23" s="293">
        <f>IF(C20&gt;C22,"See Tab A","")</f>
      </c>
      <c r="D23" s="293">
        <f>IF(D20&gt;D22,"See Tab C","")</f>
      </c>
      <c r="E23" s="208"/>
    </row>
    <row r="24" spans="2:5" ht="15.75">
      <c r="B24" s="210"/>
      <c r="C24" s="293">
        <f>IF(C21&lt;0,"See Tab B","")</f>
      </c>
      <c r="D24" s="293">
        <f>IF(D21&lt;0,"See Tab D","")</f>
      </c>
      <c r="E24" s="208"/>
    </row>
    <row r="25" spans="2:5" ht="15.75">
      <c r="B25" s="347" t="s">
        <v>1110</v>
      </c>
      <c r="C25" s="208"/>
      <c r="D25" s="208"/>
      <c r="E25" s="208"/>
    </row>
    <row r="26" spans="2:5" ht="15.75">
      <c r="B26" s="64"/>
      <c r="C26" s="208"/>
      <c r="D26" s="208"/>
      <c r="E26" s="208"/>
    </row>
    <row r="27" spans="2:5" ht="15.75">
      <c r="B27" s="69" t="s">
        <v>164</v>
      </c>
      <c r="C27" s="713" t="s">
        <v>828</v>
      </c>
      <c r="D27" s="714" t="s">
        <v>829</v>
      </c>
      <c r="E27" s="174" t="s">
        <v>830</v>
      </c>
    </row>
    <row r="28" spans="2:13" ht="15.75">
      <c r="B28" s="449" t="str">
        <f>(inputPrYr!B39)</f>
        <v>Storm Sewer Capital Project Fund</v>
      </c>
      <c r="C28" s="331" t="str">
        <f>CONCATENATE("Actual for ",$E$1-2,"")</f>
        <v>Actual for 2012</v>
      </c>
      <c r="D28" s="412" t="str">
        <f>CONCATENATE("Estimate for ",$E$1-1,"")</f>
        <v>Estimate for 2013</v>
      </c>
      <c r="E28" s="229" t="str">
        <f>CONCATENATE("Year for ",$E$1,"")</f>
        <v>Year for 2014</v>
      </c>
      <c r="F28" s="805"/>
      <c r="G28" s="805"/>
      <c r="H28" s="805"/>
      <c r="I28" s="805"/>
      <c r="J28" s="805"/>
      <c r="K28" s="805"/>
      <c r="L28" s="805"/>
      <c r="M28" s="805"/>
    </row>
    <row r="29" spans="2:13" ht="15.75">
      <c r="B29" s="178" t="s">
        <v>278</v>
      </c>
      <c r="C29" s="788">
        <v>0</v>
      </c>
      <c r="D29" s="189">
        <f>C50</f>
        <v>-55678</v>
      </c>
      <c r="E29" s="189">
        <f>D50</f>
        <v>0</v>
      </c>
      <c r="F29" s="784"/>
      <c r="G29" s="805"/>
      <c r="H29" s="805"/>
      <c r="I29" s="805"/>
      <c r="J29" s="805"/>
      <c r="K29" s="805"/>
      <c r="L29" s="805"/>
      <c r="M29" s="805"/>
    </row>
    <row r="30" spans="2:13" ht="15.75">
      <c r="B30" s="178" t="s">
        <v>280</v>
      </c>
      <c r="C30" s="108"/>
      <c r="D30" s="108"/>
      <c r="E30" s="108"/>
      <c r="F30" s="805"/>
      <c r="G30" s="805"/>
      <c r="H30" s="805"/>
      <c r="I30" s="805"/>
      <c r="J30" s="805"/>
      <c r="K30" s="805"/>
      <c r="L30" s="805"/>
      <c r="M30" s="805"/>
    </row>
    <row r="31" spans="2:13" ht="15.75">
      <c r="B31" s="290" t="s">
        <v>1043</v>
      </c>
      <c r="C31" s="333">
        <v>126991</v>
      </c>
      <c r="D31" s="333">
        <v>13009</v>
      </c>
      <c r="E31" s="333">
        <v>0</v>
      </c>
      <c r="F31" s="805"/>
      <c r="G31" s="805"/>
      <c r="H31" s="805"/>
      <c r="I31" s="805"/>
      <c r="J31" s="805"/>
      <c r="K31" s="805"/>
      <c r="L31" s="805"/>
      <c r="M31" s="805"/>
    </row>
    <row r="32" spans="2:13" ht="15.75">
      <c r="B32" s="290" t="s">
        <v>1044</v>
      </c>
      <c r="C32" s="333">
        <v>90000</v>
      </c>
      <c r="D32" s="333">
        <v>0</v>
      </c>
      <c r="E32" s="333">
        <v>0</v>
      </c>
      <c r="F32" s="805"/>
      <c r="G32" s="805"/>
      <c r="H32" s="805"/>
      <c r="I32" s="805"/>
      <c r="J32" s="805"/>
      <c r="K32" s="805"/>
      <c r="L32" s="805"/>
      <c r="M32" s="805"/>
    </row>
    <row r="33" spans="2:13" ht="15.75">
      <c r="B33" s="334" t="s">
        <v>1102</v>
      </c>
      <c r="C33" s="131">
        <v>75000</v>
      </c>
      <c r="D33" s="131">
        <v>52810</v>
      </c>
      <c r="E33" s="131">
        <v>0</v>
      </c>
      <c r="F33" s="805"/>
      <c r="G33" s="805"/>
      <c r="H33" s="805"/>
      <c r="I33" s="805"/>
      <c r="J33" s="805"/>
      <c r="K33" s="805"/>
      <c r="L33" s="805"/>
      <c r="M33" s="805"/>
    </row>
    <row r="34" spans="2:13" ht="15.75">
      <c r="B34" s="290" t="s">
        <v>1092</v>
      </c>
      <c r="C34" s="333">
        <v>0</v>
      </c>
      <c r="D34" s="333">
        <v>90000</v>
      </c>
      <c r="E34" s="333">
        <v>0</v>
      </c>
      <c r="F34" s="805"/>
      <c r="G34" s="805"/>
      <c r="H34" s="805"/>
      <c r="I34" s="805"/>
      <c r="J34" s="805"/>
      <c r="K34" s="805"/>
      <c r="L34" s="805"/>
      <c r="M34" s="805"/>
    </row>
    <row r="35" spans="2:13" ht="15.75">
      <c r="B35" s="335" t="s">
        <v>170</v>
      </c>
      <c r="C35" s="333">
        <v>0</v>
      </c>
      <c r="D35" s="333">
        <v>0</v>
      </c>
      <c r="E35" s="333">
        <v>0</v>
      </c>
      <c r="F35" s="785"/>
      <c r="G35" s="805"/>
      <c r="H35" s="805"/>
      <c r="I35" s="805"/>
      <c r="J35" s="805"/>
      <c r="K35" s="805"/>
      <c r="L35" s="805"/>
      <c r="M35" s="805"/>
    </row>
    <row r="36" spans="2:13" ht="15.75">
      <c r="B36" s="339" t="s">
        <v>256</v>
      </c>
      <c r="C36" s="333">
        <v>0</v>
      </c>
      <c r="D36" s="333">
        <v>0</v>
      </c>
      <c r="E36" s="333">
        <v>0</v>
      </c>
      <c r="F36" s="785"/>
      <c r="G36" s="805"/>
      <c r="H36" s="805"/>
      <c r="I36" s="805"/>
      <c r="J36" s="805"/>
      <c r="K36" s="805"/>
      <c r="L36" s="805"/>
      <c r="M36" s="805"/>
    </row>
    <row r="37" spans="2:13" ht="15.75">
      <c r="B37" s="339" t="s">
        <v>646</v>
      </c>
      <c r="C37" s="451">
        <f>IF(C38*0.1&lt;C36,"Exceed 10% Rule","")</f>
      </c>
      <c r="D37" s="336">
        <f>IF(D38*0.1&lt;D36,"Exceed 10% Rule","")</f>
      </c>
      <c r="E37" s="336">
        <f>IF(E38*0.1&lt;E36,"Exceed 10% Rule","")</f>
      </c>
      <c r="F37" s="785"/>
      <c r="G37" s="805"/>
      <c r="H37" s="805"/>
      <c r="I37" s="805"/>
      <c r="J37" s="805"/>
      <c r="K37" s="805"/>
      <c r="L37" s="805"/>
      <c r="M37" s="805"/>
    </row>
    <row r="38" spans="2:13" ht="15.75">
      <c r="B38" s="287" t="s">
        <v>171</v>
      </c>
      <c r="C38" s="338">
        <f>SUM(C31:C36)</f>
        <v>291991</v>
      </c>
      <c r="D38" s="338">
        <f>SUM(D31:D36)</f>
        <v>155819</v>
      </c>
      <c r="E38" s="338">
        <f>SUM(E31:E36)</f>
        <v>0</v>
      </c>
      <c r="F38" s="785"/>
      <c r="G38" s="805"/>
      <c r="H38" s="805"/>
      <c r="I38" s="805"/>
      <c r="J38" s="805"/>
      <c r="K38" s="805"/>
      <c r="L38" s="805"/>
      <c r="M38" s="805"/>
    </row>
    <row r="39" spans="2:13" ht="15.75">
      <c r="B39" s="287" t="s">
        <v>172</v>
      </c>
      <c r="C39" s="338">
        <f>C29+C38</f>
        <v>291991</v>
      </c>
      <c r="D39" s="338">
        <f>D29+D38</f>
        <v>100141</v>
      </c>
      <c r="E39" s="338">
        <f>E29+E38</f>
        <v>0</v>
      </c>
      <c r="F39" s="785"/>
      <c r="G39" s="805"/>
      <c r="H39" s="805"/>
      <c r="I39" s="805"/>
      <c r="J39" s="805"/>
      <c r="K39" s="805"/>
      <c r="L39" s="805"/>
      <c r="M39" s="805"/>
    </row>
    <row r="40" spans="2:13" ht="15.75">
      <c r="B40" s="178" t="s">
        <v>173</v>
      </c>
      <c r="C40" s="108"/>
      <c r="D40" s="108"/>
      <c r="E40" s="108"/>
      <c r="F40" s="805"/>
      <c r="G40" s="805"/>
      <c r="H40" s="805"/>
      <c r="I40" s="805"/>
      <c r="J40" s="805"/>
      <c r="K40" s="805"/>
      <c r="L40" s="805"/>
      <c r="M40" s="805"/>
    </row>
    <row r="41" spans="2:13" ht="15.75">
      <c r="B41" s="290" t="s">
        <v>1045</v>
      </c>
      <c r="C41" s="333">
        <v>345669</v>
      </c>
      <c r="D41" s="333">
        <v>0</v>
      </c>
      <c r="E41" s="333">
        <v>0</v>
      </c>
      <c r="F41" s="805"/>
      <c r="G41" s="805"/>
      <c r="H41" s="805"/>
      <c r="I41" s="805"/>
      <c r="J41" s="805"/>
      <c r="K41" s="805"/>
      <c r="L41" s="805"/>
      <c r="M41" s="805"/>
    </row>
    <row r="42" spans="2:13" ht="15.75">
      <c r="B42" s="290" t="s">
        <v>1097</v>
      </c>
      <c r="C42" s="333">
        <v>0</v>
      </c>
      <c r="D42" s="333">
        <v>8043</v>
      </c>
      <c r="E42" s="333">
        <v>0</v>
      </c>
      <c r="F42" s="805"/>
      <c r="G42" s="805"/>
      <c r="H42" s="805"/>
      <c r="I42" s="805"/>
      <c r="J42" s="805"/>
      <c r="K42" s="805"/>
      <c r="L42" s="805"/>
      <c r="M42" s="805"/>
    </row>
    <row r="43" spans="2:13" ht="15.75">
      <c r="B43" s="290" t="s">
        <v>1093</v>
      </c>
      <c r="C43" s="333">
        <v>0</v>
      </c>
      <c r="D43" s="333">
        <v>90000</v>
      </c>
      <c r="E43" s="333">
        <v>0</v>
      </c>
      <c r="F43" s="805"/>
      <c r="G43" s="805"/>
      <c r="H43" s="805"/>
      <c r="I43" s="805"/>
      <c r="J43" s="805"/>
      <c r="K43" s="805"/>
      <c r="L43" s="805"/>
      <c r="M43" s="805"/>
    </row>
    <row r="44" spans="2:13" ht="15.75">
      <c r="B44" s="290" t="s">
        <v>1094</v>
      </c>
      <c r="C44" s="333">
        <v>0</v>
      </c>
      <c r="D44" s="333">
        <v>669</v>
      </c>
      <c r="E44" s="333">
        <v>0</v>
      </c>
      <c r="F44" s="805"/>
      <c r="G44" s="805"/>
      <c r="H44" s="805"/>
      <c r="I44" s="805"/>
      <c r="J44" s="805"/>
      <c r="K44" s="805"/>
      <c r="L44" s="805"/>
      <c r="M44" s="805"/>
    </row>
    <row r="45" spans="2:13" ht="15.75">
      <c r="B45" s="290" t="s">
        <v>1095</v>
      </c>
      <c r="C45" s="333">
        <v>0</v>
      </c>
      <c r="D45" s="333">
        <v>1429</v>
      </c>
      <c r="E45" s="333">
        <v>0</v>
      </c>
      <c r="F45" s="805"/>
      <c r="G45" s="805"/>
      <c r="H45" s="805"/>
      <c r="I45" s="805"/>
      <c r="J45" s="805"/>
      <c r="K45" s="805"/>
      <c r="L45" s="805"/>
      <c r="M45" s="805"/>
    </row>
    <row r="46" spans="2:13" ht="15.75">
      <c r="B46" s="290" t="s">
        <v>1118</v>
      </c>
      <c r="C46" s="333">
        <v>2000</v>
      </c>
      <c r="D46" s="131"/>
      <c r="E46" s="131"/>
      <c r="F46" s="805"/>
      <c r="G46" s="805"/>
      <c r="H46" s="805"/>
      <c r="I46" s="805"/>
      <c r="J46" s="805"/>
      <c r="K46" s="805"/>
      <c r="L46" s="805"/>
      <c r="M46" s="805"/>
    </row>
    <row r="47" spans="2:13" ht="15.75">
      <c r="B47" s="191" t="s">
        <v>256</v>
      </c>
      <c r="C47" s="333"/>
      <c r="D47" s="131"/>
      <c r="E47" s="131"/>
      <c r="F47" s="805"/>
      <c r="G47" s="805"/>
      <c r="H47" s="805"/>
      <c r="I47" s="805"/>
      <c r="J47" s="805"/>
      <c r="K47" s="805"/>
      <c r="L47" s="805"/>
      <c r="M47" s="805"/>
    </row>
    <row r="48" spans="2:13" ht="15.75">
      <c r="B48" s="191" t="s">
        <v>645</v>
      </c>
      <c r="C48" s="451">
        <f>IF(C49*0.1&lt;C47,"Exceed 10% Rule","")</f>
      </c>
      <c r="D48" s="336">
        <f>IF(D49*0.1&lt;D47,"Exceed 10% Rule","")</f>
      </c>
      <c r="E48" s="336">
        <f>IF(E49*0.1&lt;E47,"Exceed 10% Rule","")</f>
      </c>
      <c r="F48" s="805"/>
      <c r="G48" s="805"/>
      <c r="H48" s="805"/>
      <c r="I48" s="805"/>
      <c r="J48" s="805"/>
      <c r="K48" s="805"/>
      <c r="L48" s="805"/>
      <c r="M48" s="805"/>
    </row>
    <row r="49" spans="2:13" ht="15.75">
      <c r="B49" s="287" t="s">
        <v>174</v>
      </c>
      <c r="C49" s="338">
        <f>SUM(C41:C47)</f>
        <v>347669</v>
      </c>
      <c r="D49" s="338">
        <f>SUM(D41:D47)</f>
        <v>100141</v>
      </c>
      <c r="E49" s="338">
        <f>SUM(E41:E47)</f>
        <v>0</v>
      </c>
      <c r="F49" s="805"/>
      <c r="G49" s="805"/>
      <c r="H49" s="805"/>
      <c r="I49" s="805"/>
      <c r="J49" s="805"/>
      <c r="K49" s="805"/>
      <c r="L49" s="805"/>
      <c r="M49" s="805"/>
    </row>
    <row r="50" spans="2:13" ht="15.75">
      <c r="B50" s="178" t="s">
        <v>279</v>
      </c>
      <c r="C50" s="94">
        <f>C39-C49</f>
        <v>-55678</v>
      </c>
      <c r="D50" s="94">
        <f>D39-D49</f>
        <v>0</v>
      </c>
      <c r="E50" s="94">
        <f>E39-E49</f>
        <v>0</v>
      </c>
      <c r="F50" s="805"/>
      <c r="G50" s="805"/>
      <c r="H50" s="805"/>
      <c r="I50" s="805"/>
      <c r="J50" s="805"/>
      <c r="K50" s="805"/>
      <c r="L50" s="805"/>
      <c r="M50" s="805"/>
    </row>
    <row r="51" spans="2:5" ht="15.75">
      <c r="B51" s="210" t="str">
        <f>CONCATENATE("",E1-2,"/",E1-1," Budget Authority Amount:")</f>
        <v>2012/2013 Budget Authority Amount:</v>
      </c>
      <c r="C51" s="221">
        <f>inputOth!B64</f>
        <v>0</v>
      </c>
      <c r="D51" s="221">
        <f>inputPrYr!D33</f>
        <v>0</v>
      </c>
      <c r="E51" s="458">
        <f>IF(E50&lt;0,"See Tab E","")</f>
      </c>
    </row>
    <row r="52" spans="2:6" ht="15.75">
      <c r="B52" s="210"/>
      <c r="E52" s="64"/>
      <c r="F52" s="799" t="s">
        <v>1114</v>
      </c>
    </row>
    <row r="53" spans="2:6" ht="15.75">
      <c r="B53" s="210"/>
      <c r="E53" s="64"/>
      <c r="F53" s="800" t="s">
        <v>1115</v>
      </c>
    </row>
    <row r="54" spans="2:9" ht="15.75">
      <c r="B54" s="347" t="s">
        <v>1111</v>
      </c>
      <c r="C54" s="64"/>
      <c r="D54" s="64"/>
      <c r="E54" s="64"/>
      <c r="H54" s="801" t="str">
        <f>IF(C49&gt;C51,"See Tab A","")</f>
        <v>See Tab A</v>
      </c>
      <c r="I54" s="801" t="str">
        <f>IF(D49&gt;D51,"See Tab C","")</f>
        <v>See Tab C</v>
      </c>
    </row>
    <row r="55" spans="2:9" ht="15.75">
      <c r="B55" s="218" t="s">
        <v>177</v>
      </c>
      <c r="C55" s="295">
        <v>12</v>
      </c>
      <c r="D55" s="64"/>
      <c r="E55" s="64"/>
      <c r="H55" s="801" t="str">
        <f>IF(C50&lt;0,"See Tab B","")</f>
        <v>See Tab B</v>
      </c>
      <c r="I55" s="801">
        <f>IF(D50&lt;0,"See Tab D","")</f>
      </c>
    </row>
  </sheetData>
  <sheetProtection/>
  <conditionalFormatting sqref="C36">
    <cfRule type="cellIs" priority="3" dxfId="146" operator="greaterThan" stopIfTrue="1">
      <formula>$C$38*0.1</formula>
    </cfRule>
  </conditionalFormatting>
  <conditionalFormatting sqref="D36">
    <cfRule type="cellIs" priority="4" dxfId="146" operator="greaterThan" stopIfTrue="1">
      <formula>$D$38*0.1</formula>
    </cfRule>
  </conditionalFormatting>
  <conditionalFormatting sqref="E36">
    <cfRule type="cellIs" priority="5" dxfId="146" operator="greaterThan" stopIfTrue="1">
      <formula>$E$38*0.1</formula>
    </cfRule>
  </conditionalFormatting>
  <conditionalFormatting sqref="C11">
    <cfRule type="cellIs" priority="6" dxfId="146" operator="greaterThan" stopIfTrue="1">
      <formula>$C$13*0.1</formula>
    </cfRule>
  </conditionalFormatting>
  <conditionalFormatting sqref="D11">
    <cfRule type="cellIs" priority="7" dxfId="146" operator="greaterThan" stopIfTrue="1">
      <formula>$D$13*0.1</formula>
    </cfRule>
  </conditionalFormatting>
  <conditionalFormatting sqref="E11">
    <cfRule type="cellIs" priority="8" dxfId="146" operator="greaterThan" stopIfTrue="1">
      <formula>$E$13*0.1</formula>
    </cfRule>
  </conditionalFormatting>
  <conditionalFormatting sqref="C18">
    <cfRule type="cellIs" priority="9" dxfId="146" operator="greaterThan" stopIfTrue="1">
      <formula>$C$20*0.1</formula>
    </cfRule>
  </conditionalFormatting>
  <conditionalFormatting sqref="D18">
    <cfRule type="cellIs" priority="10" dxfId="146" operator="greaterThan" stopIfTrue="1">
      <formula>$D$20*0.1</formula>
    </cfRule>
  </conditionalFormatting>
  <conditionalFormatting sqref="E18">
    <cfRule type="cellIs" priority="11" dxfId="146" operator="greaterThan" stopIfTrue="1">
      <formula>$E$20*0.1</formula>
    </cfRule>
  </conditionalFormatting>
  <conditionalFormatting sqref="C47">
    <cfRule type="cellIs" priority="12" dxfId="146" operator="greaterThan" stopIfTrue="1">
      <formula>$C$49*0.1</formula>
    </cfRule>
  </conditionalFormatting>
  <conditionalFormatting sqref="D47">
    <cfRule type="cellIs" priority="13" dxfId="146" operator="greaterThan" stopIfTrue="1">
      <formula>$D$49*0.1</formula>
    </cfRule>
  </conditionalFormatting>
  <conditionalFormatting sqref="E47">
    <cfRule type="cellIs" priority="14" dxfId="146" operator="greaterThan" stopIfTrue="1">
      <formula>$E$49*0.1</formula>
    </cfRule>
  </conditionalFormatting>
  <conditionalFormatting sqref="C21 E21 E50">
    <cfRule type="cellIs" priority="15" dxfId="1" operator="lessThan" stopIfTrue="1">
      <formula>0</formula>
    </cfRule>
  </conditionalFormatting>
  <conditionalFormatting sqref="D20">
    <cfRule type="cellIs" priority="16" dxfId="1" operator="greaterThan" stopIfTrue="1">
      <formula>$D$22</formula>
    </cfRule>
  </conditionalFormatting>
  <conditionalFormatting sqref="C20">
    <cfRule type="cellIs" priority="17" dxfId="1" operator="greaterThan" stopIfTrue="1">
      <formula>$C$22</formula>
    </cfRule>
  </conditionalFormatting>
  <conditionalFormatting sqref="C50">
    <cfRule type="cellIs" priority="18" dxfId="11" operator="lessThan" stopIfTrue="1">
      <formula>0</formula>
    </cfRule>
  </conditionalFormatting>
  <conditionalFormatting sqref="C49">
    <cfRule type="cellIs" priority="19" dxfId="1" operator="greaterThan" stopIfTrue="1">
      <formula>$C$51</formula>
    </cfRule>
  </conditionalFormatting>
  <conditionalFormatting sqref="D49">
    <cfRule type="cellIs" priority="20" dxfId="1" operator="greaterThan" stopIfTrue="1">
      <formula>$D$51</formula>
    </cfRule>
  </conditionalFormatting>
  <conditionalFormatting sqref="D21">
    <cfRule type="cellIs" priority="2" dxfId="0" operator="lessThan" stopIfTrue="1">
      <formula>0</formula>
    </cfRule>
  </conditionalFormatting>
  <conditionalFormatting sqref="D50">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O59"/>
  <sheetViews>
    <sheetView zoomScalePageLayoutView="0" workbookViewId="0" topLeftCell="A10">
      <selection activeCell="J37" sqref="J37"/>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Blue Rapids</v>
      </c>
      <c r="C1" s="64"/>
      <c r="D1" s="64"/>
      <c r="E1" s="161">
        <f>inputPrYr!$C$5</f>
        <v>2014</v>
      </c>
    </row>
    <row r="2" spans="2:5" ht="15.75">
      <c r="B2" s="64"/>
      <c r="C2" s="64"/>
      <c r="D2" s="64"/>
      <c r="E2" s="218"/>
    </row>
    <row r="3" spans="2:5" ht="15.75">
      <c r="B3" s="81" t="s">
        <v>222</v>
      </c>
      <c r="C3" s="329"/>
      <c r="D3" s="329"/>
      <c r="E3" s="330"/>
    </row>
    <row r="4" spans="2:5" ht="15.75">
      <c r="B4" s="69" t="s">
        <v>164</v>
      </c>
      <c r="C4" s="713" t="s">
        <v>828</v>
      </c>
      <c r="D4" s="714" t="s">
        <v>829</v>
      </c>
      <c r="E4" s="174" t="s">
        <v>830</v>
      </c>
    </row>
    <row r="5" spans="2:15" ht="15.75">
      <c r="B5" s="450" t="str">
        <f>(inputPrYr!B35)</f>
        <v>Housing Grant Fund</v>
      </c>
      <c r="C5" s="331" t="str">
        <f>CONCATENATE("Actual for ",$E$1-2,"")</f>
        <v>Actual for 2012</v>
      </c>
      <c r="D5" s="412" t="str">
        <f>CONCATENATE("Estimate for ",$E$1-1,"")</f>
        <v>Estimate for 2013</v>
      </c>
      <c r="E5" s="229" t="str">
        <f>CONCATENATE("Year for ",$E$1,"")</f>
        <v>Year for 2014</v>
      </c>
      <c r="F5" s="773"/>
      <c r="G5" s="784"/>
      <c r="H5" s="784"/>
      <c r="I5" s="784"/>
      <c r="J5" s="784"/>
      <c r="K5" s="784"/>
      <c r="L5" s="784"/>
      <c r="M5" s="784"/>
      <c r="N5" s="784"/>
      <c r="O5" s="784"/>
    </row>
    <row r="6" spans="2:15" ht="15.75">
      <c r="B6" s="178" t="s">
        <v>278</v>
      </c>
      <c r="C6" s="87">
        <v>0</v>
      </c>
      <c r="D6" s="189">
        <f>C25</f>
        <v>-11638.929999999993</v>
      </c>
      <c r="E6" s="189">
        <f>D25</f>
        <v>0.07000000000698492</v>
      </c>
      <c r="F6" s="773"/>
      <c r="G6" s="784"/>
      <c r="H6" s="784"/>
      <c r="I6" s="784"/>
      <c r="J6" s="784"/>
      <c r="K6" s="784"/>
      <c r="L6" s="784"/>
      <c r="M6" s="784"/>
      <c r="N6" s="784"/>
      <c r="O6" s="784"/>
    </row>
    <row r="7" spans="2:15" ht="15.75">
      <c r="B7" s="278" t="s">
        <v>280</v>
      </c>
      <c r="C7" s="108"/>
      <c r="D7" s="108"/>
      <c r="E7" s="108"/>
      <c r="F7" s="773"/>
      <c r="G7" s="773"/>
      <c r="H7" s="773"/>
      <c r="I7" s="773"/>
      <c r="J7" s="773"/>
      <c r="K7" s="773"/>
      <c r="L7" s="773"/>
      <c r="M7" s="773"/>
      <c r="N7" s="773"/>
      <c r="O7" s="773"/>
    </row>
    <row r="8" spans="2:15" ht="15.75">
      <c r="B8" s="290" t="s">
        <v>1046</v>
      </c>
      <c r="C8" s="333">
        <v>219695</v>
      </c>
      <c r="D8" s="333">
        <v>77536</v>
      </c>
      <c r="E8" s="333">
        <v>0</v>
      </c>
      <c r="F8" s="784"/>
      <c r="G8" s="773"/>
      <c r="H8" s="773"/>
      <c r="I8" s="773"/>
      <c r="J8" s="773"/>
      <c r="K8" s="773"/>
      <c r="L8" s="773"/>
      <c r="M8" s="773"/>
      <c r="N8" s="773"/>
      <c r="O8" s="773"/>
    </row>
    <row r="9" spans="2:15" ht="15.75">
      <c r="B9" s="290" t="s">
        <v>1047</v>
      </c>
      <c r="C9" s="333">
        <v>0</v>
      </c>
      <c r="D9" s="333">
        <v>0</v>
      </c>
      <c r="E9" s="333">
        <v>0</v>
      </c>
      <c r="F9" s="784"/>
      <c r="G9" s="773"/>
      <c r="H9" s="773"/>
      <c r="I9" s="773"/>
      <c r="J9" s="773"/>
      <c r="K9" s="773"/>
      <c r="L9" s="773"/>
      <c r="M9" s="773"/>
      <c r="N9" s="773"/>
      <c r="O9" s="773"/>
    </row>
    <row r="10" spans="2:15" ht="15.75">
      <c r="B10" s="290" t="s">
        <v>1048</v>
      </c>
      <c r="C10" s="333">
        <v>460</v>
      </c>
      <c r="D10" s="333">
        <v>0</v>
      </c>
      <c r="E10" s="333">
        <v>0</v>
      </c>
      <c r="F10" s="773"/>
      <c r="G10" s="773"/>
      <c r="H10" s="773"/>
      <c r="I10" s="773"/>
      <c r="J10" s="773"/>
      <c r="K10" s="773"/>
      <c r="L10" s="773"/>
      <c r="M10" s="773"/>
      <c r="N10" s="773"/>
      <c r="O10" s="773"/>
    </row>
    <row r="11" spans="2:15" ht="15.75">
      <c r="B11" s="290" t="s">
        <v>1040</v>
      </c>
      <c r="C11" s="333">
        <v>2000</v>
      </c>
      <c r="D11" s="333">
        <v>0</v>
      </c>
      <c r="E11" s="333">
        <v>0</v>
      </c>
      <c r="F11" s="773"/>
      <c r="G11" s="773"/>
      <c r="H11" s="773"/>
      <c r="I11" s="773"/>
      <c r="J11" s="773"/>
      <c r="K11" s="773"/>
      <c r="L11" s="773"/>
      <c r="M11" s="773"/>
      <c r="N11" s="773"/>
      <c r="O11" s="773"/>
    </row>
    <row r="12" spans="2:14" ht="15.75">
      <c r="B12" s="290"/>
      <c r="C12" s="333"/>
      <c r="D12" s="333"/>
      <c r="E12" s="333"/>
      <c r="F12" s="773"/>
      <c r="G12" s="791"/>
      <c r="H12" s="772"/>
      <c r="I12" s="772"/>
      <c r="J12" s="772"/>
      <c r="K12" s="772"/>
      <c r="L12" s="772"/>
      <c r="M12" s="772"/>
      <c r="N12" s="792"/>
    </row>
    <row r="13" spans="2:14" ht="15.75">
      <c r="B13" s="335" t="s">
        <v>170</v>
      </c>
      <c r="C13" s="333">
        <v>0</v>
      </c>
      <c r="D13" s="333">
        <v>0</v>
      </c>
      <c r="E13" s="333">
        <v>0</v>
      </c>
      <c r="F13" s="773"/>
      <c r="G13" s="791"/>
      <c r="H13" s="772"/>
      <c r="I13" s="772"/>
      <c r="J13" s="772"/>
      <c r="K13" s="772"/>
      <c r="L13" s="772"/>
      <c r="M13" s="772"/>
      <c r="N13" s="792"/>
    </row>
    <row r="14" spans="2:14" ht="15.75">
      <c r="B14" s="178" t="s">
        <v>256</v>
      </c>
      <c r="C14" s="333">
        <v>0</v>
      </c>
      <c r="D14" s="333">
        <v>0</v>
      </c>
      <c r="E14" s="333">
        <v>0</v>
      </c>
      <c r="F14" s="773"/>
      <c r="G14" s="772"/>
      <c r="H14" s="772"/>
      <c r="I14" s="772"/>
      <c r="J14" s="772"/>
      <c r="K14" s="772"/>
      <c r="L14" s="772"/>
      <c r="M14" s="772"/>
      <c r="N14" s="792"/>
    </row>
    <row r="15" spans="2:14" ht="15.75">
      <c r="B15" s="178" t="s">
        <v>787</v>
      </c>
      <c r="C15" s="451">
        <f>IF(C16*0.1&lt;C14,"Exceed 10% Rule","")</f>
      </c>
      <c r="D15" s="336">
        <f>IF(D16*0.1&lt;D14,"Exceed 10% Rule","")</f>
      </c>
      <c r="E15" s="336">
        <f>IF(E16*0.1&lt;E14,"Exceed 10% Rule","")</f>
      </c>
      <c r="F15" s="773"/>
      <c r="G15" s="784"/>
      <c r="H15" s="784"/>
      <c r="I15" s="784"/>
      <c r="J15" s="784"/>
      <c r="K15" s="784"/>
      <c r="L15" s="784"/>
      <c r="M15" s="784"/>
      <c r="N15" s="792"/>
    </row>
    <row r="16" spans="2:14" ht="15.75">
      <c r="B16" s="287" t="s">
        <v>171</v>
      </c>
      <c r="C16" s="338">
        <f>SUM(C8:C14)</f>
        <v>222155</v>
      </c>
      <c r="D16" s="338">
        <f>SUM(D8:D14)</f>
        <v>77536</v>
      </c>
      <c r="E16" s="338">
        <f>SUM(E8:E14)</f>
        <v>0</v>
      </c>
      <c r="F16" s="773"/>
      <c r="G16" s="784"/>
      <c r="H16" s="784"/>
      <c r="I16" s="784"/>
      <c r="J16" s="784"/>
      <c r="K16" s="784"/>
      <c r="L16" s="784"/>
      <c r="M16" s="784"/>
      <c r="N16" s="792"/>
    </row>
    <row r="17" spans="2:14" ht="15.75">
      <c r="B17" s="287" t="s">
        <v>172</v>
      </c>
      <c r="C17" s="338">
        <f>C6+C16</f>
        <v>222155</v>
      </c>
      <c r="D17" s="338">
        <f>D6+D16</f>
        <v>65897.07</v>
      </c>
      <c r="E17" s="338">
        <f>E6+E16</f>
        <v>0.07000000000698492</v>
      </c>
      <c r="F17" s="773"/>
      <c r="G17" s="772"/>
      <c r="H17" s="772"/>
      <c r="I17" s="772"/>
      <c r="J17" s="772"/>
      <c r="K17" s="772"/>
      <c r="L17" s="772"/>
      <c r="M17" s="772"/>
      <c r="N17" s="792"/>
    </row>
    <row r="18" spans="2:5" ht="15.75">
      <c r="B18" s="178" t="s">
        <v>173</v>
      </c>
      <c r="C18" s="108"/>
      <c r="D18" s="108"/>
      <c r="E18" s="108"/>
    </row>
    <row r="19" spans="2:5" ht="15.75">
      <c r="B19" s="290" t="s">
        <v>1049</v>
      </c>
      <c r="C19" s="333">
        <v>181935</v>
      </c>
      <c r="D19" s="333">
        <f>61675+1822</f>
        <v>63497</v>
      </c>
      <c r="E19" s="333">
        <v>0</v>
      </c>
    </row>
    <row r="20" spans="2:5" ht="15.75">
      <c r="B20" s="290" t="s">
        <v>1050</v>
      </c>
      <c r="C20" s="333">
        <v>51858.93</v>
      </c>
      <c r="D20" s="333">
        <v>2400</v>
      </c>
      <c r="E20" s="333">
        <v>0</v>
      </c>
    </row>
    <row r="21" spans="2:5" ht="15.75">
      <c r="B21" s="290"/>
      <c r="C21" s="333"/>
      <c r="D21" s="333"/>
      <c r="E21" s="333"/>
    </row>
    <row r="22" spans="2:5" ht="15.75">
      <c r="B22" s="191" t="s">
        <v>256</v>
      </c>
      <c r="C22" s="333"/>
      <c r="D22" s="333"/>
      <c r="E22" s="333"/>
    </row>
    <row r="23" spans="2:5" ht="15.75">
      <c r="B23" s="191" t="s">
        <v>786</v>
      </c>
      <c r="C23" s="451">
        <f>IF(C24*0.1&lt;C22,"Exceed 10% Rule","")</f>
      </c>
      <c r="D23" s="336">
        <f>IF(D24*0.1&lt;D22,"Exceed 10% Rule","")</f>
      </c>
      <c r="E23" s="336">
        <f>IF(E24*0.1&lt;E22,"Exceed 10% Rule","")</f>
      </c>
    </row>
    <row r="24" spans="2:5" ht="15.75">
      <c r="B24" s="287" t="s">
        <v>174</v>
      </c>
      <c r="C24" s="338">
        <f>SUM(C19:C22)</f>
        <v>233793.93</v>
      </c>
      <c r="D24" s="338">
        <f>SUM(D19:D22)</f>
        <v>65897</v>
      </c>
      <c r="E24" s="338">
        <f>SUM(E19:E22)</f>
        <v>0</v>
      </c>
    </row>
    <row r="25" spans="2:5" ht="15.75">
      <c r="B25" s="178" t="s">
        <v>279</v>
      </c>
      <c r="C25" s="94">
        <f>C17-C24</f>
        <v>-11638.929999999993</v>
      </c>
      <c r="D25" s="94">
        <f>D17-D24</f>
        <v>0.07000000000698492</v>
      </c>
      <c r="E25" s="94">
        <f>E17-E24</f>
        <v>0.07000000000698492</v>
      </c>
    </row>
    <row r="26" spans="2:5" ht="15.75">
      <c r="B26" s="210" t="str">
        <f>CONCATENATE("",E1-2,"/",E1-1," Budget Authority Amount:")</f>
        <v>2012/2013 Budget Authority Amount:</v>
      </c>
      <c r="C26" s="221">
        <f>inputOth!B62</f>
        <v>0</v>
      </c>
      <c r="D26" s="221">
        <f>inputPrYr!D35</f>
        <v>0</v>
      </c>
      <c r="E26" s="458">
        <f>IF(E25&lt;0,"See Tab E","")</f>
      </c>
    </row>
    <row r="27" spans="2:6" ht="15.75">
      <c r="B27" s="210"/>
      <c r="E27" s="128"/>
      <c r="F27" s="799" t="s">
        <v>1116</v>
      </c>
    </row>
    <row r="28" spans="2:6" ht="15.75">
      <c r="B28" s="210"/>
      <c r="E28" s="128"/>
      <c r="F28" s="799" t="s">
        <v>1117</v>
      </c>
    </row>
    <row r="29" spans="2:9" ht="15.75">
      <c r="B29" s="347" t="s">
        <v>1112</v>
      </c>
      <c r="C29" s="293"/>
      <c r="D29" s="293"/>
      <c r="E29" s="128"/>
      <c r="H29" s="801" t="str">
        <f>IF(C24&gt;C26,"See Tab A","")</f>
        <v>See Tab A</v>
      </c>
      <c r="I29" s="801" t="str">
        <f>IF(D24&gt;D26,"See Tab C","")</f>
        <v>See Tab C</v>
      </c>
    </row>
    <row r="30" spans="2:9" ht="15.75">
      <c r="B30" s="210"/>
      <c r="C30" s="293"/>
      <c r="D30" s="293"/>
      <c r="E30" s="128"/>
      <c r="H30" s="801" t="str">
        <f>IF(C25&lt;0,"See Tab B","")</f>
        <v>See Tab B</v>
      </c>
      <c r="I30" s="801">
        <f>IF(D25&lt;0,"See Tab D","")</f>
      </c>
    </row>
    <row r="31" spans="2:5" ht="15.75">
      <c r="B31" s="210"/>
      <c r="C31" s="293"/>
      <c r="D31" s="293"/>
      <c r="E31" s="128"/>
    </row>
    <row r="32" spans="2:5" ht="15.75">
      <c r="B32" s="69" t="s">
        <v>164</v>
      </c>
      <c r="C32" s="713" t="s">
        <v>828</v>
      </c>
      <c r="D32" s="714" t="s">
        <v>829</v>
      </c>
      <c r="E32" s="174" t="s">
        <v>830</v>
      </c>
    </row>
    <row r="33" spans="2:5" ht="15.75">
      <c r="B33" s="450" t="str">
        <f>(inputPrYr!B40)</f>
        <v>Pool Improvement Fund</v>
      </c>
      <c r="C33" s="331" t="str">
        <f>CONCATENATE("Actual for ",$E$1-2,"")</f>
        <v>Actual for 2012</v>
      </c>
      <c r="D33" s="412" t="str">
        <f>CONCATENATE("Estimate for ",$E$1-1,"")</f>
        <v>Estimate for 2013</v>
      </c>
      <c r="E33" s="229" t="str">
        <f>CONCATENATE("Year for ",$E$1,"")</f>
        <v>Year for 2014</v>
      </c>
    </row>
    <row r="34" spans="2:6" ht="15.75">
      <c r="B34" s="178" t="s">
        <v>278</v>
      </c>
      <c r="C34" s="87">
        <v>9501</v>
      </c>
      <c r="D34" s="189">
        <f>C51</f>
        <v>13104.07</v>
      </c>
      <c r="E34" s="189">
        <f>D51</f>
        <v>16354.07</v>
      </c>
      <c r="F34" s="784"/>
    </row>
    <row r="35" spans="2:5" ht="15.75">
      <c r="B35" s="278" t="s">
        <v>280</v>
      </c>
      <c r="C35" s="108"/>
      <c r="D35" s="108"/>
      <c r="E35" s="108"/>
    </row>
    <row r="36" spans="2:5" ht="15.75">
      <c r="B36" s="290" t="s">
        <v>1014</v>
      </c>
      <c r="C36" s="333">
        <v>500</v>
      </c>
      <c r="D36" s="333">
        <v>0</v>
      </c>
      <c r="E36" s="333">
        <v>0</v>
      </c>
    </row>
    <row r="37" spans="2:5" ht="15.75">
      <c r="B37" s="290" t="s">
        <v>1051</v>
      </c>
      <c r="C37" s="333">
        <v>3056.25</v>
      </c>
      <c r="D37" s="333">
        <v>3200</v>
      </c>
      <c r="E37" s="333">
        <v>3200</v>
      </c>
    </row>
    <row r="38" spans="2:5" ht="15.75">
      <c r="B38" s="290"/>
      <c r="C38" s="333"/>
      <c r="D38" s="333"/>
      <c r="E38" s="333"/>
    </row>
    <row r="39" spans="2:5" ht="15.75">
      <c r="B39" s="335" t="s">
        <v>170</v>
      </c>
      <c r="C39" s="333">
        <v>46.82</v>
      </c>
      <c r="D39" s="333">
        <v>50</v>
      </c>
      <c r="E39" s="333">
        <v>55</v>
      </c>
    </row>
    <row r="40" spans="2:5" ht="15.75">
      <c r="B40" s="178" t="s">
        <v>256</v>
      </c>
      <c r="C40" s="333">
        <v>0</v>
      </c>
      <c r="D40" s="333">
        <v>0</v>
      </c>
      <c r="E40" s="333">
        <v>0</v>
      </c>
    </row>
    <row r="41" spans="2:5" ht="15.75">
      <c r="B41" s="178" t="s">
        <v>787</v>
      </c>
      <c r="C41" s="451">
        <f>IF(C42*0.1&lt;C40,"Exceed 10% Rule","")</f>
      </c>
      <c r="D41" s="336">
        <f>IF(D42*0.1&lt;D40,"Exceed 10% Rule","")</f>
      </c>
      <c r="E41" s="336">
        <f>IF(E42*0.1&lt;E40,"Exceed 10% Rule","")</f>
      </c>
    </row>
    <row r="42" spans="2:5" ht="15.75">
      <c r="B42" s="287" t="s">
        <v>171</v>
      </c>
      <c r="C42" s="338">
        <f>SUM(C36:C40)</f>
        <v>3603.07</v>
      </c>
      <c r="D42" s="338">
        <f>SUM(D36:D40)</f>
        <v>3250</v>
      </c>
      <c r="E42" s="338">
        <f>SUM(E36:E40)</f>
        <v>3255</v>
      </c>
    </row>
    <row r="43" spans="2:5" ht="15.75">
      <c r="B43" s="287" t="s">
        <v>172</v>
      </c>
      <c r="C43" s="338">
        <f>C34+C42</f>
        <v>13104.07</v>
      </c>
      <c r="D43" s="338">
        <f>D34+D42</f>
        <v>16354.07</v>
      </c>
      <c r="E43" s="338">
        <f>E34+E42</f>
        <v>19609.07</v>
      </c>
    </row>
    <row r="44" spans="2:5" ht="15.75">
      <c r="B44" s="178" t="s">
        <v>173</v>
      </c>
      <c r="C44" s="108"/>
      <c r="D44" s="108"/>
      <c r="E44" s="108"/>
    </row>
    <row r="45" spans="2:5" ht="15.75">
      <c r="B45" s="290" t="s">
        <v>1052</v>
      </c>
      <c r="C45" s="333">
        <v>0</v>
      </c>
      <c r="D45" s="333">
        <v>0</v>
      </c>
      <c r="E45" s="333">
        <v>0</v>
      </c>
    </row>
    <row r="46" spans="2:5" ht="15.75">
      <c r="B46" s="290" t="s">
        <v>1024</v>
      </c>
      <c r="C46" s="333">
        <v>0</v>
      </c>
      <c r="D46" s="333">
        <v>0</v>
      </c>
      <c r="E46" s="333">
        <v>19609</v>
      </c>
    </row>
    <row r="47" spans="2:5" ht="15.75">
      <c r="B47" s="290"/>
      <c r="C47" s="333"/>
      <c r="D47" s="333"/>
      <c r="E47" s="333"/>
    </row>
    <row r="48" spans="2:5" ht="15.75">
      <c r="B48" s="191" t="s">
        <v>256</v>
      </c>
      <c r="C48" s="333"/>
      <c r="D48" s="333"/>
      <c r="E48" s="333"/>
    </row>
    <row r="49" spans="2:5" ht="15.75">
      <c r="B49" s="191" t="s">
        <v>786</v>
      </c>
      <c r="C49" s="451">
        <f>IF(C50*0.1&lt;C48,"Exceed 10% Rule","")</f>
      </c>
      <c r="D49" s="336">
        <f>IF(D50*0.1&lt;D48,"Exceed 10% Rule","")</f>
      </c>
      <c r="E49" s="336">
        <f>IF(E50*0.1&lt;E48,"Exceed 10% Rule","")</f>
      </c>
    </row>
    <row r="50" spans="2:5" ht="15.75">
      <c r="B50" s="287" t="s">
        <v>174</v>
      </c>
      <c r="C50" s="338">
        <f>SUM(C45:C48)</f>
        <v>0</v>
      </c>
      <c r="D50" s="338">
        <f>SUM(D45:D48)</f>
        <v>0</v>
      </c>
      <c r="E50" s="338">
        <f>SUM(E45:E48)</f>
        <v>19609</v>
      </c>
    </row>
    <row r="51" spans="2:5" ht="15.75">
      <c r="B51" s="178" t="s">
        <v>279</v>
      </c>
      <c r="C51" s="94">
        <f>C43-C50</f>
        <v>13104.07</v>
      </c>
      <c r="D51" s="94">
        <f>D43-D50</f>
        <v>16354.07</v>
      </c>
      <c r="E51" s="94">
        <f>E43-E50</f>
        <v>0.06999999999970896</v>
      </c>
    </row>
    <row r="52" spans="2:5" ht="15.75">
      <c r="B52" s="210" t="str">
        <f>CONCATENATE("",E1-2,"/",E1-1," Budget Authority Amount:")</f>
        <v>2012/2013 Budget Authority Amount:</v>
      </c>
      <c r="C52" s="221">
        <f>inputOth!B65</f>
        <v>0</v>
      </c>
      <c r="D52" s="221">
        <f>inputPrYr!D40</f>
        <v>15801</v>
      </c>
      <c r="E52" s="458">
        <f>IF(E51&lt;0,"See Tab E","")</f>
      </c>
    </row>
    <row r="53" spans="2:5" ht="15.75">
      <c r="B53" s="210"/>
      <c r="C53" s="293">
        <f>IF(C50&gt;C52,"See Tab A","")</f>
      </c>
      <c r="D53" s="293">
        <f>IF(D50&gt;D52,"See Tab C","")</f>
      </c>
      <c r="E53" s="128"/>
    </row>
    <row r="54" spans="2:5" ht="15.75">
      <c r="B54" s="210"/>
      <c r="C54" s="293">
        <f>IF(C51&lt;0,"See Tab B","")</f>
      </c>
      <c r="D54" s="293">
        <f>IF(D51&lt;0,"See Tab D","")</f>
      </c>
      <c r="E54" s="128"/>
    </row>
    <row r="55" spans="2:5" ht="15.75">
      <c r="B55" s="347" t="s">
        <v>1113</v>
      </c>
      <c r="C55" s="128"/>
      <c r="D55" s="128"/>
      <c r="E55" s="128"/>
    </row>
    <row r="56" spans="2:5" ht="15">
      <c r="B56" s="128"/>
      <c r="C56" s="128"/>
      <c r="D56" s="128"/>
      <c r="E56" s="128"/>
    </row>
    <row r="57" spans="2:5" ht="15">
      <c r="B57" s="128"/>
      <c r="C57" s="128"/>
      <c r="D57" s="128"/>
      <c r="E57" s="128"/>
    </row>
    <row r="58" spans="2:5" ht="15">
      <c r="B58" s="128"/>
      <c r="C58" s="128"/>
      <c r="D58" s="128"/>
      <c r="E58" s="128"/>
    </row>
    <row r="59" spans="2:5" ht="15.75">
      <c r="B59" s="218" t="s">
        <v>177</v>
      </c>
      <c r="C59" s="295">
        <v>13</v>
      </c>
      <c r="D59" s="128"/>
      <c r="E59" s="128"/>
    </row>
  </sheetData>
  <sheetProtection/>
  <conditionalFormatting sqref="C14">
    <cfRule type="cellIs" priority="13" dxfId="146" operator="greaterThan" stopIfTrue="1">
      <formula>$C$16*0.1</formula>
    </cfRule>
  </conditionalFormatting>
  <conditionalFormatting sqref="D14">
    <cfRule type="cellIs" priority="14" dxfId="146" operator="greaterThan" stopIfTrue="1">
      <formula>$D$16*0.1</formula>
    </cfRule>
  </conditionalFormatting>
  <conditionalFormatting sqref="E14">
    <cfRule type="cellIs" priority="15" dxfId="146" operator="greaterThan" stopIfTrue="1">
      <formula>$E$16*0.1</formula>
    </cfRule>
  </conditionalFormatting>
  <conditionalFormatting sqref="C22">
    <cfRule type="cellIs" priority="16" dxfId="146" operator="greaterThan" stopIfTrue="1">
      <formula>$C$24*0.1</formula>
    </cfRule>
  </conditionalFormatting>
  <conditionalFormatting sqref="D22">
    <cfRule type="cellIs" priority="17" dxfId="146" operator="greaterThan" stopIfTrue="1">
      <formula>$D$24*0.1</formula>
    </cfRule>
  </conditionalFormatting>
  <conditionalFormatting sqref="E22">
    <cfRule type="cellIs" priority="18" dxfId="146" operator="greaterThan" stopIfTrue="1">
      <formula>$E$24*0.1</formula>
    </cfRule>
  </conditionalFormatting>
  <conditionalFormatting sqref="E25 C25">
    <cfRule type="cellIs" priority="19" dxfId="1" operator="lessThan" stopIfTrue="1">
      <formula>0</formula>
    </cfRule>
  </conditionalFormatting>
  <conditionalFormatting sqref="D24">
    <cfRule type="cellIs" priority="20" dxfId="1" operator="greaterThan" stopIfTrue="1">
      <formula>$D$26</formula>
    </cfRule>
  </conditionalFormatting>
  <conditionalFormatting sqref="C24">
    <cfRule type="cellIs" priority="21" dxfId="1" operator="greaterThan" stopIfTrue="1">
      <formula>$C$26</formula>
    </cfRule>
  </conditionalFormatting>
  <conditionalFormatting sqref="D25">
    <cfRule type="cellIs" priority="12" dxfId="0" operator="lessThan" stopIfTrue="1">
      <formula>0</formula>
    </cfRule>
  </conditionalFormatting>
  <conditionalFormatting sqref="C40">
    <cfRule type="cellIs" priority="3" dxfId="146" operator="greaterThan" stopIfTrue="1">
      <formula>$C$16*0.1</formula>
    </cfRule>
  </conditionalFormatting>
  <conditionalFormatting sqref="D40">
    <cfRule type="cellIs" priority="4" dxfId="146" operator="greaterThan" stopIfTrue="1">
      <formula>$D$16*0.1</formula>
    </cfRule>
  </conditionalFormatting>
  <conditionalFormatting sqref="C48">
    <cfRule type="cellIs" priority="6" dxfId="146" operator="greaterThan" stopIfTrue="1">
      <formula>$C$24*0.1</formula>
    </cfRule>
  </conditionalFormatting>
  <conditionalFormatting sqref="D48">
    <cfRule type="cellIs" priority="7" dxfId="146" operator="greaterThan" stopIfTrue="1">
      <formula>$D$24*0.1</formula>
    </cfRule>
  </conditionalFormatting>
  <conditionalFormatting sqref="E48">
    <cfRule type="cellIs" priority="8" dxfId="146" operator="greaterThan" stopIfTrue="1">
      <formula>$E$24*0.1</formula>
    </cfRule>
  </conditionalFormatting>
  <conditionalFormatting sqref="E51 C51">
    <cfRule type="cellIs" priority="9" dxfId="1" operator="lessThan" stopIfTrue="1">
      <formula>0</formula>
    </cfRule>
  </conditionalFormatting>
  <conditionalFormatting sqref="D50">
    <cfRule type="cellIs" priority="10" dxfId="1" operator="greaterThan" stopIfTrue="1">
      <formula>$D$26</formula>
    </cfRule>
  </conditionalFormatting>
  <conditionalFormatting sqref="C50">
    <cfRule type="cellIs" priority="11" dxfId="1" operator="greaterThan" stopIfTrue="1">
      <formula>$C$26</formula>
    </cfRule>
  </conditionalFormatting>
  <conditionalFormatting sqref="D51">
    <cfRule type="cellIs" priority="2" dxfId="0" operator="lessThan" stopIfTrue="1">
      <formula>0</formula>
    </cfRule>
  </conditionalFormatting>
  <conditionalFormatting sqref="E40">
    <cfRule type="cellIs" priority="1" dxfId="146" operator="greaterThan" stopIfTrue="1">
      <formula>$D$16*0.1</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workbookViewId="0" topLeftCell="A1">
      <selection activeCell="G49" sqref="G49"/>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127</v>
      </c>
      <c r="B1" s="64"/>
      <c r="C1" s="64"/>
      <c r="D1" s="64"/>
      <c r="E1" s="64"/>
    </row>
    <row r="2" spans="1:5" ht="15.75">
      <c r="A2" s="66" t="s">
        <v>73</v>
      </c>
      <c r="B2" s="64"/>
      <c r="C2" s="64"/>
      <c r="D2" s="621" t="s">
        <v>986</v>
      </c>
      <c r="E2" s="67"/>
    </row>
    <row r="3" spans="1:5" ht="15.75">
      <c r="A3" s="66" t="s">
        <v>74</v>
      </c>
      <c r="B3" s="64"/>
      <c r="C3" s="64"/>
      <c r="D3" s="622" t="s">
        <v>987</v>
      </c>
      <c r="E3" s="68"/>
    </row>
    <row r="4" spans="1:5" ht="15.75">
      <c r="A4" s="69"/>
      <c r="B4" s="64"/>
      <c r="C4" s="64"/>
      <c r="D4" s="70"/>
      <c r="E4" s="64"/>
    </row>
    <row r="5" spans="1:5" ht="15.75">
      <c r="A5" s="66" t="s">
        <v>305</v>
      </c>
      <c r="B5" s="64"/>
      <c r="C5" s="71">
        <v>2014</v>
      </c>
      <c r="D5" s="70"/>
      <c r="E5" s="64"/>
    </row>
    <row r="6" spans="1:5" ht="15.75">
      <c r="A6" s="64"/>
      <c r="B6" s="64"/>
      <c r="C6" s="64"/>
      <c r="D6" s="64"/>
      <c r="E6" s="64"/>
    </row>
    <row r="7" spans="1:5" ht="15.75">
      <c r="A7" s="72" t="s">
        <v>340</v>
      </c>
      <c r="B7" s="73"/>
      <c r="C7" s="73"/>
      <c r="D7" s="73"/>
      <c r="E7" s="73"/>
    </row>
    <row r="8" spans="1:8" ht="15.75">
      <c r="A8" s="72" t="s">
        <v>339</v>
      </c>
      <c r="B8" s="73"/>
      <c r="C8" s="73"/>
      <c r="D8" s="73"/>
      <c r="E8" s="73"/>
      <c r="F8" s="64"/>
      <c r="G8" s="816" t="s">
        <v>913</v>
      </c>
      <c r="H8" s="817"/>
    </row>
    <row r="9" spans="1:8" ht="15.75" customHeight="1">
      <c r="A9" s="74"/>
      <c r="B9" s="73"/>
      <c r="C9" s="73"/>
      <c r="D9" s="73"/>
      <c r="E9" s="73"/>
      <c r="F9" s="64"/>
      <c r="G9" s="818"/>
      <c r="H9" s="817"/>
    </row>
    <row r="10" spans="1:8" ht="15.75">
      <c r="A10" s="814" t="s">
        <v>22</v>
      </c>
      <c r="B10" s="815"/>
      <c r="C10" s="815"/>
      <c r="D10" s="815"/>
      <c r="E10" s="815"/>
      <c r="F10" s="64"/>
      <c r="G10" s="818"/>
      <c r="H10" s="817"/>
    </row>
    <row r="11" spans="1:8" ht="15.75">
      <c r="A11" s="74"/>
      <c r="B11" s="73"/>
      <c r="C11" s="73"/>
      <c r="D11" s="73"/>
      <c r="E11" s="73"/>
      <c r="F11" s="64"/>
      <c r="G11" s="818"/>
      <c r="H11" s="817"/>
    </row>
    <row r="12" spans="1:8" ht="15.75">
      <c r="A12" s="76" t="s">
        <v>23</v>
      </c>
      <c r="B12" s="77"/>
      <c r="C12" s="64"/>
      <c r="D12" s="64"/>
      <c r="E12" s="64"/>
      <c r="F12" s="64"/>
      <c r="G12" s="818"/>
      <c r="H12" s="817"/>
    </row>
    <row r="13" spans="1:8" ht="15.75">
      <c r="A13" s="78" t="str">
        <f>CONCATENATE("the ",C5-1," Budget, Certificate Page:")</f>
        <v>the 2013 Budget, Certificate Page:</v>
      </c>
      <c r="B13" s="79"/>
      <c r="C13" s="80"/>
      <c r="D13" s="64"/>
      <c r="E13" s="64"/>
      <c r="F13" s="64"/>
      <c r="G13" s="818"/>
      <c r="H13" s="817"/>
    </row>
    <row r="14" spans="1:8" ht="15.75">
      <c r="A14" s="78" t="s">
        <v>338</v>
      </c>
      <c r="B14" s="79"/>
      <c r="C14" s="80"/>
      <c r="D14" s="64"/>
      <c r="E14" s="64"/>
      <c r="F14" s="64"/>
      <c r="G14" s="96"/>
      <c r="H14" s="701"/>
    </row>
    <row r="15" spans="1:8" ht="15.75">
      <c r="A15" s="81"/>
      <c r="B15" s="64"/>
      <c r="C15" s="64"/>
      <c r="D15" s="82">
        <f>$C$5-1</f>
        <v>2013</v>
      </c>
      <c r="E15" s="82">
        <f>$C$5-2</f>
        <v>2012</v>
      </c>
      <c r="G15" s="219" t="s">
        <v>817</v>
      </c>
      <c r="H15" s="187" t="s">
        <v>176</v>
      </c>
    </row>
    <row r="16" spans="1:8" ht="15.75">
      <c r="A16" s="69" t="s">
        <v>128</v>
      </c>
      <c r="B16" s="64"/>
      <c r="C16" s="83" t="s">
        <v>129</v>
      </c>
      <c r="D16" s="84" t="s">
        <v>337</v>
      </c>
      <c r="E16" s="84" t="s">
        <v>112</v>
      </c>
      <c r="G16" s="246" t="str">
        <f>CONCATENATE("",E15," Ad Valorem Tax")</f>
        <v>2012 Ad Valorem Tax</v>
      </c>
      <c r="H16" s="700">
        <v>0</v>
      </c>
    </row>
    <row r="17" spans="1:7" ht="15.75">
      <c r="A17" s="64"/>
      <c r="B17" s="85" t="s">
        <v>130</v>
      </c>
      <c r="C17" s="187" t="s">
        <v>283</v>
      </c>
      <c r="D17" s="87">
        <v>823434</v>
      </c>
      <c r="E17" s="87">
        <v>229701</v>
      </c>
      <c r="G17" s="189">
        <f>IF(H16&gt;0,ROUND(E17-(E17*H16),0),0)</f>
        <v>0</v>
      </c>
    </row>
    <row r="18" spans="1:7" ht="15.75">
      <c r="A18" s="64"/>
      <c r="B18" s="85" t="s">
        <v>988</v>
      </c>
      <c r="C18" s="187" t="s">
        <v>989</v>
      </c>
      <c r="D18" s="87">
        <v>29075</v>
      </c>
      <c r="E18" s="87">
        <v>17552</v>
      </c>
      <c r="G18" s="189">
        <f>IF(H16&gt;0,ROUND(E18-(E18*H16),0),0)</f>
        <v>0</v>
      </c>
    </row>
    <row r="19" spans="1:7" ht="15.75">
      <c r="A19" s="64"/>
      <c r="B19" s="85"/>
      <c r="C19" s="187"/>
      <c r="D19" s="87"/>
      <c r="E19" s="87"/>
      <c r="G19" s="189">
        <f>IF(H16&gt;0,ROUND(E19-(E19*H16),0),0)</f>
        <v>0</v>
      </c>
    </row>
    <row r="20" spans="1:5" ht="15.75">
      <c r="A20" s="69" t="s">
        <v>131</v>
      </c>
      <c r="B20" s="64"/>
      <c r="C20" s="64"/>
      <c r="D20" s="88"/>
      <c r="E20" s="88"/>
    </row>
    <row r="21" spans="1:7" ht="15.75">
      <c r="A21" s="64"/>
      <c r="B21" s="89" t="s">
        <v>834</v>
      </c>
      <c r="C21" s="581" t="s">
        <v>990</v>
      </c>
      <c r="D21" s="87">
        <v>19094</v>
      </c>
      <c r="E21" s="87">
        <v>16969</v>
      </c>
      <c r="G21" s="189">
        <f>IF(H16&gt;0,ROUND(E21-(E21*H16),0),0)</f>
        <v>0</v>
      </c>
    </row>
    <row r="22" spans="1:7" ht="15.75">
      <c r="A22" s="64"/>
      <c r="B22" s="90"/>
      <c r="C22" s="582"/>
      <c r="D22" s="87"/>
      <c r="E22" s="87"/>
      <c r="G22" s="189">
        <f>IF(H16&gt;0,ROUND(E22-(E22*H16),0),0)</f>
        <v>0</v>
      </c>
    </row>
    <row r="23" spans="1:7" ht="15.75">
      <c r="A23" s="64"/>
      <c r="B23" s="90"/>
      <c r="C23" s="581"/>
      <c r="D23" s="87"/>
      <c r="E23" s="87"/>
      <c r="G23" s="189">
        <f>IF(H16&gt;0,ROUND(E23-(E23*H16),0),0)</f>
        <v>0</v>
      </c>
    </row>
    <row r="24" spans="1:7" ht="15.75">
      <c r="A24" s="64"/>
      <c r="B24" s="90"/>
      <c r="C24" s="581"/>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264222</v>
      </c>
    </row>
    <row r="26" spans="1:5" ht="15.75">
      <c r="A26" s="99"/>
      <c r="B26" s="96"/>
      <c r="C26" s="96"/>
      <c r="D26" s="208"/>
      <c r="E26" s="96"/>
    </row>
    <row r="27" spans="1:5" ht="15.75">
      <c r="A27" s="69" t="s">
        <v>132</v>
      </c>
      <c r="B27" s="64"/>
      <c r="C27" s="64"/>
      <c r="D27" s="64"/>
      <c r="E27" s="64"/>
    </row>
    <row r="28" spans="1:5" ht="15.75">
      <c r="A28" s="64"/>
      <c r="B28" s="95" t="s">
        <v>133</v>
      </c>
      <c r="C28" s="96"/>
      <c r="D28" s="87">
        <v>27470</v>
      </c>
      <c r="E28" s="96"/>
    </row>
    <row r="29" spans="1:5" ht="15.75">
      <c r="A29" s="64"/>
      <c r="B29" s="409" t="s">
        <v>991</v>
      </c>
      <c r="C29" s="96"/>
      <c r="D29" s="87">
        <v>508458</v>
      </c>
      <c r="E29" s="96"/>
    </row>
    <row r="30" spans="1:5" ht="15.75">
      <c r="A30" s="64"/>
      <c r="B30" s="409" t="s">
        <v>992</v>
      </c>
      <c r="C30" s="96"/>
      <c r="D30" s="87">
        <v>103023</v>
      </c>
      <c r="E30" s="96"/>
    </row>
    <row r="31" spans="1:5" ht="15.75">
      <c r="A31" s="64"/>
      <c r="B31" s="409" t="s">
        <v>993</v>
      </c>
      <c r="C31" s="96"/>
      <c r="D31" s="87">
        <v>119587</v>
      </c>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t="s">
        <v>994</v>
      </c>
      <c r="C35" s="100"/>
      <c r="D35" s="87"/>
      <c r="E35" s="101"/>
    </row>
    <row r="36" spans="1:5" ht="15.75">
      <c r="A36" s="99"/>
      <c r="B36" s="196" t="s">
        <v>995</v>
      </c>
      <c r="C36" s="96"/>
      <c r="D36" s="87">
        <v>2315</v>
      </c>
      <c r="E36" s="101"/>
    </row>
    <row r="37" spans="1:5" ht="15.75">
      <c r="A37" s="91" t="str">
        <f>CONCATENATE("Total Expenditures for ",C5-1," Budgeted Year")</f>
        <v>Total Expenditures for 2013 Budgeted Year</v>
      </c>
      <c r="B37" s="102"/>
      <c r="C37" s="103"/>
      <c r="D37" s="94">
        <f>SUM(D17:D19,D21:D24,D28:D33,D35)</f>
        <v>1630141</v>
      </c>
      <c r="E37" s="101"/>
    </row>
    <row r="38" spans="1:5" ht="15.75">
      <c r="A38" s="99" t="s">
        <v>35</v>
      </c>
      <c r="B38" s="96"/>
      <c r="C38" s="96"/>
      <c r="D38" s="96"/>
      <c r="E38" s="64"/>
    </row>
    <row r="39" spans="1:5" ht="15.75">
      <c r="A39" s="104">
        <v>1</v>
      </c>
      <c r="B39" s="89" t="s">
        <v>996</v>
      </c>
      <c r="C39" s="96"/>
      <c r="D39" s="797">
        <v>0</v>
      </c>
      <c r="E39" s="64"/>
    </row>
    <row r="40" spans="1:5" ht="15.75">
      <c r="A40" s="104">
        <v>2</v>
      </c>
      <c r="B40" s="89" t="s">
        <v>997</v>
      </c>
      <c r="C40" s="96"/>
      <c r="D40" s="797">
        <v>15801</v>
      </c>
      <c r="E40" s="64"/>
    </row>
    <row r="41" spans="1:5" ht="15.75">
      <c r="A41" s="104">
        <v>3</v>
      </c>
      <c r="B41" s="89"/>
      <c r="C41" s="96"/>
      <c r="D41" s="96"/>
      <c r="E41" s="64"/>
    </row>
    <row r="42" spans="1:5" ht="15.75">
      <c r="A42" s="104">
        <v>4</v>
      </c>
      <c r="B42" s="89"/>
      <c r="C42" s="96"/>
      <c r="D42" s="96"/>
      <c r="E42" s="64"/>
    </row>
    <row r="43" spans="1:5" ht="15.75">
      <c r="A43" s="104">
        <v>5</v>
      </c>
      <c r="B43" s="89"/>
      <c r="C43" s="96"/>
      <c r="D43" s="96"/>
      <c r="E43" s="64"/>
    </row>
    <row r="44" spans="1:5" ht="15.75">
      <c r="A44" s="105"/>
      <c r="B44" s="96"/>
      <c r="C44" s="96"/>
      <c r="D44" s="96"/>
      <c r="E44" s="64"/>
    </row>
    <row r="45" spans="1:5" ht="18" customHeight="1">
      <c r="A45" s="64"/>
      <c r="B45" s="64"/>
      <c r="C45" s="64"/>
      <c r="D45" s="64"/>
      <c r="E45" s="64"/>
    </row>
    <row r="46" spans="1:5" ht="15.75">
      <c r="A46" s="76" t="s">
        <v>23</v>
      </c>
      <c r="B46" s="77"/>
      <c r="C46" s="64"/>
      <c r="D46" s="106" t="str">
        <f>CONCATENATE("",C5-3," Tax Rate")</f>
        <v>2011 Tax Rate</v>
      </c>
      <c r="E46" s="64"/>
    </row>
    <row r="47" spans="1:5" ht="15.75">
      <c r="A47" s="78" t="str">
        <f>CONCATENATE("the ",C5-1," Budget, Budget Summary Page")</f>
        <v>the 2013 Budget, Budget Summary Page</v>
      </c>
      <c r="B47" s="79"/>
      <c r="C47" s="64"/>
      <c r="D47" s="107" t="str">
        <f>CONCATENATE("(",C5-2," Column)")</f>
        <v>(2012 Column)</v>
      </c>
      <c r="E47" s="64"/>
    </row>
    <row r="48" spans="1:5" ht="15.75">
      <c r="A48" s="64"/>
      <c r="B48" s="108" t="str">
        <f>B17</f>
        <v>General</v>
      </c>
      <c r="C48" s="109"/>
      <c r="D48" s="110">
        <v>72.302</v>
      </c>
      <c r="E48" s="64"/>
    </row>
    <row r="49" spans="1:5" ht="15.75">
      <c r="A49" s="64"/>
      <c r="B49" s="108" t="str">
        <f>B18</f>
        <v>Bond &amp; Interest</v>
      </c>
      <c r="C49" s="109"/>
      <c r="D49" s="110"/>
      <c r="E49" s="64"/>
    </row>
    <row r="50" spans="1:5" ht="15.75">
      <c r="A50" s="64"/>
      <c r="B50" s="108" t="str">
        <f>B21</f>
        <v>Library</v>
      </c>
      <c r="C50" s="109"/>
      <c r="D50" s="110">
        <v>3.037</v>
      </c>
      <c r="E50" s="64"/>
    </row>
    <row r="51" spans="1:5" ht="15.75">
      <c r="A51" s="64"/>
      <c r="B51" s="108">
        <f>B22</f>
        <v>0</v>
      </c>
      <c r="C51" s="86"/>
      <c r="D51" s="110"/>
      <c r="E51" s="64"/>
    </row>
    <row r="52" spans="1:5" ht="15.75">
      <c r="A52" s="64"/>
      <c r="B52" s="108">
        <f>B22</f>
        <v>0</v>
      </c>
      <c r="C52" s="86"/>
      <c r="D52" s="110"/>
      <c r="E52" s="64"/>
    </row>
    <row r="53" spans="1:5" ht="15.75">
      <c r="A53" s="64"/>
      <c r="B53" s="108">
        <f>B23</f>
        <v>0</v>
      </c>
      <c r="C53" s="86"/>
      <c r="D53" s="110"/>
      <c r="E53" s="64"/>
    </row>
    <row r="54" spans="1:5" ht="15.75">
      <c r="A54" s="64"/>
      <c r="B54" s="108">
        <f>B24</f>
        <v>0</v>
      </c>
      <c r="C54" s="86"/>
      <c r="D54" s="110"/>
      <c r="E54" s="64"/>
    </row>
    <row r="55" spans="1:5" ht="15.75">
      <c r="A55" s="91" t="s">
        <v>134</v>
      </c>
      <c r="B55" s="92"/>
      <c r="C55" s="103"/>
      <c r="D55" s="111">
        <f>SUM(D48:D54)</f>
        <v>75.33900000000001</v>
      </c>
      <c r="E55" s="64"/>
    </row>
    <row r="56" spans="1:5" ht="15.75">
      <c r="A56" s="64"/>
      <c r="B56" s="64"/>
      <c r="C56" s="64"/>
      <c r="D56" s="64"/>
      <c r="E56" s="64"/>
    </row>
    <row r="57" spans="1:5" ht="15.75">
      <c r="A57" s="112" t="str">
        <f>CONCATENATE("Total Tax Levied (",C5-2," budget column)")</f>
        <v>Total Tax Levied (2012 budget column)</v>
      </c>
      <c r="B57" s="113"/>
      <c r="C57" s="92"/>
      <c r="D57" s="103"/>
      <c r="E57" s="87">
        <v>226811</v>
      </c>
    </row>
    <row r="58" spans="1:5" ht="15.75">
      <c r="A58" s="112" t="str">
        <f>CONCATENATE("Assessed Valuation  (",C5-2," budget column)")</f>
        <v>Assessed Valuation  (2012 budget column)</v>
      </c>
      <c r="B58" s="114"/>
      <c r="C58" s="115"/>
      <c r="D58" s="116"/>
      <c r="E58" s="87">
        <v>3010539</v>
      </c>
    </row>
    <row r="59" spans="1:5" ht="15.75">
      <c r="A59" s="64"/>
      <c r="B59" s="64"/>
      <c r="C59" s="64"/>
      <c r="D59" s="80"/>
      <c r="E59" s="88"/>
    </row>
    <row r="60" spans="1:5" ht="15.75" customHeight="1">
      <c r="A60" s="117" t="s">
        <v>45</v>
      </c>
      <c r="B60" s="117"/>
      <c r="C60" s="118"/>
      <c r="D60" s="119">
        <f>C5-3</f>
        <v>2011</v>
      </c>
      <c r="E60" s="120">
        <f>C5-2</f>
        <v>2012</v>
      </c>
    </row>
    <row r="61" spans="1:5" ht="15.75" customHeight="1">
      <c r="A61" s="121" t="s">
        <v>315</v>
      </c>
      <c r="B61" s="121"/>
      <c r="C61" s="122"/>
      <c r="D61" s="123"/>
      <c r="E61" s="123">
        <v>196000</v>
      </c>
    </row>
    <row r="62" spans="1:5" ht="15.75" customHeight="1">
      <c r="A62" s="124" t="s">
        <v>316</v>
      </c>
      <c r="B62" s="124"/>
      <c r="C62" s="125"/>
      <c r="D62" s="123"/>
      <c r="E62" s="123"/>
    </row>
    <row r="63" spans="1:5" ht="15.75" customHeight="1">
      <c r="A63" s="124" t="s">
        <v>317</v>
      </c>
      <c r="B63" s="124"/>
      <c r="C63" s="125"/>
      <c r="D63" s="123">
        <v>183545</v>
      </c>
      <c r="E63" s="123">
        <v>211585</v>
      </c>
    </row>
    <row r="64" spans="1:5" ht="15.75" customHeight="1">
      <c r="A64" s="124" t="s">
        <v>318</v>
      </c>
      <c r="B64" s="124"/>
      <c r="C64" s="125"/>
      <c r="D64" s="123">
        <v>14427</v>
      </c>
      <c r="E64" s="123">
        <v>9783</v>
      </c>
    </row>
    <row r="65" ht="15.75" customHeight="1"/>
    <row r="66" ht="15.75" customHeight="1"/>
    <row r="67" ht="15.75" customHeight="1"/>
    <row r="68" ht="15.75" customHeight="1"/>
    <row r="69" ht="15.75" customHeight="1"/>
    <row r="71" spans="1:6" s="126" customFormat="1" ht="15.75">
      <c r="A71" s="65"/>
      <c r="B71" s="65"/>
      <c r="C71" s="65"/>
      <c r="D71" s="65"/>
      <c r="E71" s="65"/>
      <c r="F71" s="639"/>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67" r:id="rId1"/>
</worksheet>
</file>

<file path=xl/worksheets/sheet20.xml><?xml version="1.0" encoding="utf-8"?>
<worksheet xmlns="http://schemas.openxmlformats.org/spreadsheetml/2006/main" xmlns:r="http://schemas.openxmlformats.org/officeDocument/2006/relationships">
  <sheetPr>
    <pageSetUpPr fitToPage="1"/>
  </sheetPr>
  <dimension ref="A1:U170"/>
  <sheetViews>
    <sheetView zoomScale="75" zoomScaleNormal="75" zoomScalePageLayoutView="0" workbookViewId="0" topLeftCell="A1">
      <selection activeCell="J16" sqref="J1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78" t="s">
        <v>219</v>
      </c>
      <c r="B2" s="878"/>
      <c r="C2" s="878"/>
      <c r="D2" s="878"/>
      <c r="E2" s="878"/>
      <c r="F2" s="878"/>
      <c r="G2" s="878"/>
      <c r="H2" s="878"/>
    </row>
    <row r="3" spans="1:8" ht="15.75">
      <c r="A3" s="7"/>
      <c r="B3" s="7"/>
      <c r="C3" s="7"/>
      <c r="D3" s="7"/>
      <c r="E3" s="7"/>
      <c r="F3" s="7"/>
      <c r="G3" s="7"/>
      <c r="H3" s="7"/>
    </row>
    <row r="4" spans="1:8" ht="15.75">
      <c r="A4" s="877" t="s">
        <v>180</v>
      </c>
      <c r="B4" s="877"/>
      <c r="C4" s="877"/>
      <c r="D4" s="877"/>
      <c r="E4" s="877"/>
      <c r="F4" s="877"/>
      <c r="G4" s="877"/>
      <c r="H4" s="877"/>
    </row>
    <row r="5" spans="1:8" ht="15.75">
      <c r="A5" s="879" t="str">
        <f>inputPrYr!D2</f>
        <v>City of Blue Rapids</v>
      </c>
      <c r="B5" s="879"/>
      <c r="C5" s="879"/>
      <c r="D5" s="879"/>
      <c r="E5" s="879"/>
      <c r="F5" s="879"/>
      <c r="G5" s="879"/>
      <c r="H5" s="879"/>
    </row>
    <row r="6" spans="1:8" ht="15.75">
      <c r="A6" s="880" t="str">
        <f>CONCATENATE("will meet on ",inputBudSum!B7," at ",inputBudSum!B9," at ",inputBudSum!B11," for the purpose of hearing and")</f>
        <v>will meet on August 14, 2013 at 7:00 PM at City Hall for the purpose of hearing and</v>
      </c>
      <c r="B6" s="880"/>
      <c r="C6" s="880"/>
      <c r="D6" s="880"/>
      <c r="E6" s="880"/>
      <c r="F6" s="880"/>
      <c r="G6" s="880"/>
      <c r="H6" s="880"/>
    </row>
    <row r="7" spans="1:8" ht="15.75">
      <c r="A7" s="877" t="s">
        <v>623</v>
      </c>
      <c r="B7" s="877"/>
      <c r="C7" s="877"/>
      <c r="D7" s="877"/>
      <c r="E7" s="877"/>
      <c r="F7" s="877"/>
      <c r="G7" s="877"/>
      <c r="H7" s="877"/>
    </row>
    <row r="8" spans="1:8" ht="15.75">
      <c r="A8" s="877" t="str">
        <f>CONCATENATE("Detailed budget information is available at ",inputBudSum!B14," and will be available at this hearing.")</f>
        <v>Detailed budget information is available at City Hall and will be available at this hearing.</v>
      </c>
      <c r="B8" s="877"/>
      <c r="C8" s="877"/>
      <c r="D8" s="877"/>
      <c r="E8" s="877"/>
      <c r="F8" s="877"/>
      <c r="G8" s="877"/>
      <c r="H8" s="877"/>
    </row>
    <row r="9" spans="1:8" ht="15.75">
      <c r="A9" s="17" t="s">
        <v>220</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287</v>
      </c>
      <c r="B11" s="10"/>
      <c r="C11" s="10"/>
      <c r="D11" s="10"/>
      <c r="E11" s="10"/>
      <c r="F11" s="10"/>
      <c r="G11" s="10"/>
      <c r="H11" s="10"/>
    </row>
    <row r="12" spans="1:8" ht="15.75">
      <c r="A12" s="7"/>
      <c r="B12" s="20"/>
      <c r="C12" s="20"/>
      <c r="D12" s="20"/>
      <c r="E12" s="20"/>
      <c r="F12" s="20"/>
      <c r="G12" s="20"/>
      <c r="H12" s="20"/>
    </row>
    <row r="13" spans="1:8" ht="15.75">
      <c r="A13" s="7"/>
      <c r="B13" s="715" t="str">
        <f>CONCATENATE("Prior Year Actual for ",H1-2,"")</f>
        <v>Prior Year Actual for 2012</v>
      </c>
      <c r="C13" s="171"/>
      <c r="D13" s="715" t="str">
        <f>CONCATENATE("Current Year Estimate for ",H1-1,"")</f>
        <v>Current Year Estimate for 2013</v>
      </c>
      <c r="E13" s="171"/>
      <c r="F13" s="716" t="str">
        <f>CONCATENATE("Proposed Budget for ",H1,"")</f>
        <v>Proposed Budget for 2014</v>
      </c>
      <c r="G13" s="717"/>
      <c r="H13" s="171"/>
    </row>
    <row r="14" spans="1:8" ht="22.5" customHeight="1">
      <c r="A14" s="7"/>
      <c r="B14" s="11"/>
      <c r="C14" s="11" t="s">
        <v>178</v>
      </c>
      <c r="D14" s="11"/>
      <c r="E14" s="11" t="s">
        <v>178</v>
      </c>
      <c r="F14" s="11" t="s">
        <v>51</v>
      </c>
      <c r="G14" s="27" t="str">
        <f>CONCATENATE("Amount of ",H1-1,"")</f>
        <v>Amount of 2013</v>
      </c>
      <c r="H14" s="11" t="s">
        <v>7</v>
      </c>
    </row>
    <row r="15" spans="1:8" ht="17.25" customHeight="1">
      <c r="A15" s="21" t="s">
        <v>181</v>
      </c>
      <c r="B15" s="12" t="s">
        <v>146</v>
      </c>
      <c r="C15" s="12" t="s">
        <v>182</v>
      </c>
      <c r="D15" s="12" t="s">
        <v>5</v>
      </c>
      <c r="E15" s="12" t="s">
        <v>182</v>
      </c>
      <c r="F15" s="12" t="s">
        <v>652</v>
      </c>
      <c r="G15" s="16" t="s">
        <v>165</v>
      </c>
      <c r="H15" s="12" t="s">
        <v>182</v>
      </c>
    </row>
    <row r="16" spans="1:10" ht="15.75">
      <c r="A16" s="108" t="str">
        <f>IF((inputPrYr!$B18&gt;"  "),(inputPrYr!$B17),"  ")</f>
        <v>General</v>
      </c>
      <c r="B16" s="221">
        <f>IF((general!$C$64)&lt;&gt;0,general!$C$64,"  ")</f>
        <v>617088.15</v>
      </c>
      <c r="C16" s="718">
        <f>IF(inputPrYr!D48&gt;0,inputPrYr!D48,"  ")</f>
        <v>72.302</v>
      </c>
      <c r="D16" s="221">
        <f>IF((general!$D$64)&lt;&gt;0,general!$D$64,"  ")</f>
        <v>666583</v>
      </c>
      <c r="E16" s="718">
        <f>IF(inputOth!D21&gt;0,inputOth!D21,"  ")</f>
        <v>75.431</v>
      </c>
      <c r="F16" s="221">
        <f>IF((general!$E$64)&lt;&gt;0,general!$E$64,"  ")</f>
        <v>848226</v>
      </c>
      <c r="G16" s="221">
        <f>IF((general!$E$71)&lt;&gt;0,(general!$E$71),"  ")</f>
        <v>238490.94000000006</v>
      </c>
      <c r="H16" s="718">
        <f>IF((general!E71&gt;0),ROUND(G16/$F$36*1000,3),"  ")</f>
        <v>75.578</v>
      </c>
      <c r="J16" s="796"/>
    </row>
    <row r="17" spans="1:9" ht="15.75">
      <c r="A17" s="108" t="str">
        <f>IF((inputPrYr!$B18&gt;"  "),(inputPrYr!$B18),"  ")</f>
        <v>Bond &amp; Interest</v>
      </c>
      <c r="B17" s="221">
        <f>IF(('DebtSvs-Library'!$C$33)&lt;&gt;0,('DebtSvs-Library'!$C$33),"  ")</f>
        <v>15329.25</v>
      </c>
      <c r="C17" s="718" t="str">
        <f>IF(inputPrYr!D49&gt;0,inputPrYr!D49,"  ")</f>
        <v>  </v>
      </c>
      <c r="D17" s="221">
        <f>IF(('DebtSvs-Library'!$D$33)&lt;&gt;0,('DebtSvs-Library'!$D$33),"  ")</f>
        <v>15353</v>
      </c>
      <c r="E17" s="718">
        <f>IF(inputOth!D22&gt;0,inputOth!D22,"  ")</f>
        <v>5.764</v>
      </c>
      <c r="F17" s="221">
        <f>IF(('DebtSvs-Library'!$E$33)&lt;&gt;0,('DebtSvs-Library'!$E$33),"  ")</f>
        <v>38121</v>
      </c>
      <c r="G17" s="221">
        <f>IF(('DebtSvs-Library'!$E$40)&lt;&gt;0,('DebtSvs-Library'!$E$40),"  ")</f>
        <v>19471.38</v>
      </c>
      <c r="H17" s="718">
        <f>IF(('DebtSvs-Library'!E40&gt;0),ROUND(G17/$F$36*1000,3),"  ")</f>
        <v>6.17</v>
      </c>
      <c r="I17" s="776"/>
    </row>
    <row r="18" spans="1:9" ht="15.75">
      <c r="A18" s="108" t="str">
        <f>IF((inputPrYr!$B21&gt;"  "),(inputPrYr!$B21),"  ")</f>
        <v>Library</v>
      </c>
      <c r="B18" s="221">
        <f>IF(('DebtSvs-Library'!$C$65)&lt;&gt;0,('DebtSvs-Library'!$C$65),"  ")</f>
        <v>10846</v>
      </c>
      <c r="C18" s="718">
        <f>IF(inputPrYr!D50&gt;0,inputPrYr!D50,"  ")</f>
        <v>3.037</v>
      </c>
      <c r="D18" s="221">
        <f>IF(('DebtSvs-Library'!$D$65)&lt;&gt;0,('DebtSvs-Library'!$D$65),"  ")</f>
        <v>18850</v>
      </c>
      <c r="E18" s="718">
        <f>IF(inputOth!D23&gt;0,inputOth!D23,"  ")</f>
        <v>5.572</v>
      </c>
      <c r="F18" s="221">
        <f>IF(('DebtSvs-Library'!$E$65)&lt;&gt;0,('DebtSvs-Library'!$E$65),"  ")</f>
        <v>20828</v>
      </c>
      <c r="G18" s="221">
        <f>IF(('DebtSvs-Library'!$E$72)&lt;&gt;0,('DebtSvs-Library'!$E$72),"  ")</f>
        <v>17448</v>
      </c>
      <c r="H18" s="718">
        <f>IF(('DebtSvs-Library'!E72&gt;0),ROUND(G18/$F$36*1000,3),"")</f>
        <v>5.529</v>
      </c>
      <c r="I18" s="776"/>
    </row>
    <row r="19" spans="1:8" ht="15.75">
      <c r="A19" s="108" t="str">
        <f>IF((inputPrYr!$B28&gt;"  "),(inputPrYr!$B28),"  ")</f>
        <v>Special Highway</v>
      </c>
      <c r="B19" s="221">
        <f>IF((SpecHwyWaterSewer!$C$24)&lt;&gt;0,(SpecHwyWaterSewer!$C$24),"  ")</f>
        <v>26241.56</v>
      </c>
      <c r="C19" s="718" t="str">
        <f>IF(inputPrYr!D51&gt;0,inputPrYr!D51,"  ")</f>
        <v>  </v>
      </c>
      <c r="D19" s="221">
        <f>IF((SpecHwyWaterSewer!$D$24)&lt;&gt;0,(SpecHwyWaterSewer!$D$24),"  ")</f>
        <v>26270</v>
      </c>
      <c r="E19" s="718" t="str">
        <f>IF(inputOth!D24&gt;0,inputOth!D24,"  ")</f>
        <v>  </v>
      </c>
      <c r="F19" s="221">
        <f>IF((SpecHwyWaterSewer!$E$24)&lt;&gt;0,(SpecHwyWaterSewer!$E$24),"  ")</f>
        <v>27180</v>
      </c>
      <c r="G19" s="221" t="str">
        <f>IF(('levy page9'!$E$40)&lt;&gt;0,('levy page9'!$E$40),"  ")</f>
        <v>  </v>
      </c>
      <c r="H19" s="718" t="str">
        <f>IF('levy page9'!E40&gt;0,ROUND(G19/$F$36*1000,3),"  ")</f>
        <v>  </v>
      </c>
    </row>
    <row r="20" spans="1:13" ht="15.75">
      <c r="A20" s="108" t="str">
        <f>IF((inputPrYr!$B29&gt;"  "),(inputPrYr!$B29),"  ")</f>
        <v>Water/Sewer/Refuse</v>
      </c>
      <c r="B20" s="221">
        <f>IF((SpecHwyWaterSewer!$C$64)&lt;&gt;0,(SpecHwyWaterSewer!$C$64),"  ")</f>
        <v>386510.03</v>
      </c>
      <c r="C20" s="718" t="str">
        <f>IF(inputPrYr!D52&gt;0,inputPrYr!D52,"  ")</f>
        <v>  </v>
      </c>
      <c r="D20" s="221">
        <f>IF((SpecHwyWaterSewer!$D$64)&lt;&gt;0,(SpecHwyWaterSewer!$D$64),"  ")</f>
        <v>393196</v>
      </c>
      <c r="E20" s="718" t="str">
        <f>IF(inputOth!D25&gt;0,inputOth!D25,"  ")</f>
        <v>  </v>
      </c>
      <c r="F20" s="221">
        <f>IF((SpecHwyWaterSewer!$E$64)&lt;&gt;0,(SpecHwyWaterSewer!$E$64),"  ")</f>
        <v>543869</v>
      </c>
      <c r="G20" s="221" t="str">
        <f>IF(('levy page9'!$E$80)&lt;&gt;0,('levy page9'!$E$80),"  ")</f>
        <v>  </v>
      </c>
      <c r="H20" s="718" t="str">
        <f>IF('levy page9'!E80&gt;0,ROUND(G20/$F$36*1000,3),"  ")</f>
        <v>  </v>
      </c>
      <c r="J20" s="881" t="str">
        <f>CONCATENATE("Estimated Value Of One Mill For ",H1,"")</f>
        <v>Estimated Value Of One Mill For 2014</v>
      </c>
      <c r="K20" s="884"/>
      <c r="L20" s="884"/>
      <c r="M20" s="885"/>
    </row>
    <row r="21" spans="1:13" ht="15.75">
      <c r="A21" s="108" t="str">
        <f>IF((inputPrYr!$B30&gt;"  "),(inputPrYr!$B30),"  ")</f>
        <v>Capital Improvement</v>
      </c>
      <c r="B21" s="221">
        <f>IF((CapImprovUtility!$C$21)&lt;&gt;0,(CapImprovUtility!$C$21),"")</f>
      </c>
      <c r="C21" s="718" t="str">
        <f>IF(inputPrYr!D53&gt;0,inputPrYr!D53,"  ")</f>
        <v>  </v>
      </c>
      <c r="D21" s="221">
        <f>IF((CapImprovUtility!$D$21)&lt;&gt;0,(CapImprovUtility!$D$21),"  ")</f>
        <v>17000</v>
      </c>
      <c r="E21" s="718" t="str">
        <f>IF(inputOth!D26&gt;0,inputOth!D26,"  ")</f>
        <v>  </v>
      </c>
      <c r="F21" s="221">
        <f>IF((CapImprovUtility!$E$21)&lt;&gt;0,(CapImprovUtility!$E$21),"  ")</f>
        <v>103034</v>
      </c>
      <c r="G21" s="221" t="str">
        <f>IF(('levy page10'!$E$40)&lt;&gt;0,('levy page10'!$E$40),"  ")</f>
        <v>  </v>
      </c>
      <c r="H21" s="718" t="str">
        <f>IF('levy page10'!E40&gt;0,ROUND(G21/$F$36*1000,3),"  ")</f>
        <v>  </v>
      </c>
      <c r="J21" s="501"/>
      <c r="K21" s="502"/>
      <c r="L21" s="502"/>
      <c r="M21" s="503"/>
    </row>
    <row r="22" spans="1:13" ht="15.75">
      <c r="A22" s="108" t="str">
        <f>IF((inputPrYr!$B31&gt;"  "),(inputPrYr!$B31),"  ")</f>
        <v>Utility System Reserve</v>
      </c>
      <c r="B22" s="221">
        <f>IF((CapImprovUtility!$C$47)&lt;&gt;0,(CapImprovUtility!$C$47),"")</f>
        <v>75024.7</v>
      </c>
      <c r="C22" s="718" t="str">
        <f>IF(inputPrYr!D54&gt;0,inputPrYr!D54,"  ")</f>
        <v>  </v>
      </c>
      <c r="D22" s="221">
        <f>IF((CapImprovUtility!$D$47)&lt;&gt;0,(CapImprovUtility!$D$47),"  ")</f>
        <v>52810</v>
      </c>
      <c r="E22" s="718" t="str">
        <f>IF(inputOth!D27&gt;0,inputOth!D27,"  ")</f>
        <v>  </v>
      </c>
      <c r="F22" s="221">
        <f>IF((CapImprovUtility!$E$47)&lt;&gt;0,(CapImprovUtility!$E$47),"  ")</f>
        <v>76755</v>
      </c>
      <c r="G22" s="221" t="str">
        <f>IF(('levy page10'!$E$80)&lt;&gt;0,('levy page10'!$E$80),"  ")</f>
        <v>  </v>
      </c>
      <c r="H22" s="718" t="str">
        <f>IF('levy page10'!E80&gt;0,ROUND(G22/$F$36*1000,3),"  ")</f>
        <v>  </v>
      </c>
      <c r="J22" s="504" t="s">
        <v>664</v>
      </c>
      <c r="K22" s="505"/>
      <c r="L22" s="505"/>
      <c r="M22" s="506">
        <f>ROUND(F36/1000,0)</f>
        <v>3156</v>
      </c>
    </row>
    <row r="23" spans="1:13" ht="15.75">
      <c r="A23" s="108" t="str">
        <f>IF((inputPrYr!$B36&gt;"  "),(inputPrYr!$B36),"  ")</f>
        <v>Spec. Law Enf. Trust Fund</v>
      </c>
      <c r="B23" s="221">
        <f>IF((SpecLawStormSewer!$C$20)&lt;&gt;0,(SpecLawStormSewer!$C$20),"")</f>
        <v>515</v>
      </c>
      <c r="C23" s="187"/>
      <c r="D23" s="221">
        <f>IF((SpecLawStormSewer!$D$20)&lt;&gt;0,(SpecLawStormSewer!$D$20),"  ")</f>
        <v>1200</v>
      </c>
      <c r="E23" s="187"/>
      <c r="F23" s="221">
        <f>IF((SpecLawStormSewer!$E$20)&lt;&gt;0,(SpecLawStormSewer!$E$20),"  ")</f>
        <v>1200</v>
      </c>
      <c r="G23" s="187"/>
      <c r="H23" s="187"/>
      <c r="J23" s="881" t="str">
        <f>CONCATENATE("Want The Mill Rate The Same As For ",H1-1,"?")</f>
        <v>Want The Mill Rate The Same As For 2013?</v>
      </c>
      <c r="K23" s="886"/>
      <c r="L23" s="886"/>
      <c r="M23" s="887"/>
    </row>
    <row r="24" spans="1:13" ht="15.75">
      <c r="A24" s="108" t="str">
        <f>IF((inputPrYr!$B39&gt;"  "),(inputPrYr!$B39),"  ")</f>
        <v>Storm Sewer Capital Project Fund</v>
      </c>
      <c r="B24" s="221">
        <f>IF((SpecLawStormSewer!$C$49)&lt;&gt;0,(SpecLawStormSewer!$C$49),"")</f>
        <v>347669</v>
      </c>
      <c r="C24" s="187"/>
      <c r="D24" s="221">
        <f>IF((SpecLawStormSewer!$D$49)&lt;&gt;0,(SpecLawStormSewer!$D$49),"")</f>
        <v>100141</v>
      </c>
      <c r="E24" s="187"/>
      <c r="F24" s="221">
        <f>IF((SpecLawStormSewer!$E$49)&lt;&gt;0,(SpecLawStormSewer!$E$49),"")</f>
      </c>
      <c r="G24" s="187"/>
      <c r="H24" s="187"/>
      <c r="J24" s="508"/>
      <c r="K24" s="502"/>
      <c r="L24" s="502"/>
      <c r="M24" s="509"/>
    </row>
    <row r="25" spans="1:13" ht="15.75">
      <c r="A25" s="108" t="str">
        <f>IF((inputPrYr!$B35&gt;"  "),(inputPrYr!$B35),"  ")</f>
        <v>Housing Grant Fund</v>
      </c>
      <c r="B25" s="221">
        <f>IF((HousingGrantPoolImprov!$C$24)&lt;&gt;0,(HousingGrantPoolImprov!$C$24),"")</f>
        <v>233793.93</v>
      </c>
      <c r="C25" s="187"/>
      <c r="D25" s="221">
        <f>IF((HousingGrantPoolImprov!$D$24)&lt;&gt;0,(HousingGrantPoolImprov!$D$24),"  ")</f>
        <v>65897</v>
      </c>
      <c r="E25" s="187"/>
      <c r="F25" s="221" t="str">
        <f>IF((HousingGrantPoolImprov!$E$24)&lt;&gt;0,(HousingGrantPoolImprov!$E$24),"  ")</f>
        <v>  </v>
      </c>
      <c r="G25" s="187"/>
      <c r="H25" s="187"/>
      <c r="J25" s="508"/>
      <c r="K25" s="502"/>
      <c r="L25" s="502"/>
      <c r="M25" s="509"/>
    </row>
    <row r="26" spans="1:13" ht="15.75">
      <c r="A26" s="108" t="str">
        <f>IF((inputPrYr!$B40&gt;"  "),(inputPrYr!$B40),"  ")</f>
        <v>Pool Improvement Fund</v>
      </c>
      <c r="B26" s="221">
        <f>IF((HousingGrantPoolImprov!$C$50)&lt;&gt;0,(HousingGrantPoolImprov!$C$50),"")</f>
      </c>
      <c r="C26" s="187"/>
      <c r="D26" s="221">
        <f>IF((HousingGrantPoolImprov!$D$50)&lt;&gt;0,(HousingGrantPoolImprov!$D$50),"")</f>
      </c>
      <c r="E26" s="187"/>
      <c r="F26" s="221">
        <f>IF((HousingGrantPoolImprov!$E$50)&lt;&gt;0,(HousingGrantPoolImprov!$E$50),"")</f>
        <v>19609</v>
      </c>
      <c r="G26" s="187"/>
      <c r="H26" s="187"/>
      <c r="J26" s="508" t="str">
        <f>CONCATENATE("",H1-1," Mill Rate Was:")</f>
        <v>2013 Mill Rate Was:</v>
      </c>
      <c r="K26" s="502"/>
      <c r="L26" s="502"/>
      <c r="M26" s="510">
        <f>E32</f>
        <v>86.767</v>
      </c>
    </row>
    <row r="27" spans="1:13" ht="15.75">
      <c r="A27" s="108" t="str">
        <f>IF((inputPrYr!$B41&gt;"  "),(inputPrYr!$B41),"  ")</f>
        <v>  </v>
      </c>
      <c r="B27" s="221"/>
      <c r="C27" s="187"/>
      <c r="D27" s="221"/>
      <c r="E27" s="187"/>
      <c r="F27" s="221"/>
      <c r="G27" s="187"/>
      <c r="H27" s="187"/>
      <c r="J27" s="511" t="str">
        <f>CONCATENATE("",H1," Tax Levy Fund Expenditures Must Be ")</f>
        <v>2014 Tax Levy Fund Expenditures Must Be </v>
      </c>
      <c r="K27" s="512"/>
      <c r="L27" s="512"/>
      <c r="M27" s="509"/>
    </row>
    <row r="28" spans="1:13" ht="15.75">
      <c r="A28" s="108" t="str">
        <f>IF((inputPrYr!$B42&gt;"  "),(inputPrYr!$B42),"  ")</f>
        <v>  </v>
      </c>
      <c r="B28" s="221"/>
      <c r="C28" s="187"/>
      <c r="D28" s="221"/>
      <c r="E28" s="187"/>
      <c r="F28" s="221">
        <f>IF((SpecLawStormSewer!$E$49)&lt;&gt;0,(SpecLawStormSewer!$E$49),"")</f>
      </c>
      <c r="G28" s="187"/>
      <c r="H28" s="187"/>
      <c r="J28" s="511">
        <f>IF(M36&lt;0,"Increased By:","")</f>
      </c>
      <c r="K28" s="512"/>
      <c r="L28" s="512"/>
      <c r="M28" s="617">
        <f>IF(M36&lt;0,M36*-1,0)</f>
        <v>0</v>
      </c>
    </row>
    <row r="29" spans="1:13" ht="15.75">
      <c r="A29" s="108" t="str">
        <f>IF((inputPrYr!$B43&gt;"  "),(inputPrYr!$B43),"  ")</f>
        <v>  </v>
      </c>
      <c r="B29" s="221"/>
      <c r="C29" s="187"/>
      <c r="D29" s="221"/>
      <c r="E29" s="187"/>
      <c r="F29" s="221">
        <f>IF((HousingGrantPoolImprov!$E$24)&lt;&gt;0,(HousingGrantPoolImprov!$E$24),"")</f>
      </c>
      <c r="G29" s="187"/>
      <c r="H29" s="187"/>
      <c r="J29" s="513" t="str">
        <f>IF(M36&gt;0,"Reduced By:","")</f>
        <v>Reduced By:</v>
      </c>
      <c r="K29" s="514"/>
      <c r="L29" s="514"/>
      <c r="M29" s="618">
        <f>IF(M36&gt;0,M36*-1,0)</f>
        <v>-1610.3200000000652</v>
      </c>
    </row>
    <row r="30" spans="1:13" ht="15.75">
      <c r="A30" s="108" t="str">
        <f>IF((inputPrYr!$B44&gt;"  "),(inputPrYr!$B44),"  ")</f>
        <v>  </v>
      </c>
      <c r="B30" s="719"/>
      <c r="C30" s="219"/>
      <c r="D30" s="719"/>
      <c r="E30" s="219"/>
      <c r="F30" s="719"/>
      <c r="G30" s="219"/>
      <c r="H30" s="219"/>
      <c r="J30" s="512"/>
      <c r="K30" s="512"/>
      <c r="L30" s="512"/>
      <c r="M30" s="768"/>
    </row>
    <row r="31" spans="1:13" ht="15.75">
      <c r="A31" s="108" t="str">
        <f>IF((inputPrYr!$B45&gt;"  "),(inputPrYr!$B45),"  ")</f>
        <v>  </v>
      </c>
      <c r="B31" s="719" t="str">
        <f>IF((nonbud!$K$28)&lt;&gt;0,(nonbud!$K$28),"  ")</f>
        <v>  </v>
      </c>
      <c r="C31" s="219"/>
      <c r="D31" s="719"/>
      <c r="E31" s="219"/>
      <c r="F31" s="719"/>
      <c r="G31" s="219"/>
      <c r="H31" s="219"/>
      <c r="J31" s="515"/>
      <c r="K31" s="515"/>
      <c r="L31" s="515"/>
      <c r="M31" s="515"/>
    </row>
    <row r="32" spans="1:21" ht="15.75">
      <c r="A32" s="5" t="s">
        <v>750</v>
      </c>
      <c r="B32" s="720">
        <f>SUM(B16:B31)</f>
        <v>1713017.62</v>
      </c>
      <c r="C32" s="721">
        <f>SUM(C16:C22)</f>
        <v>75.33900000000001</v>
      </c>
      <c r="D32" s="720">
        <f>SUM(D16:D31)</f>
        <v>1357300</v>
      </c>
      <c r="E32" s="721">
        <f>SUM(E16:E22)</f>
        <v>86.767</v>
      </c>
      <c r="F32" s="720">
        <f>SUM(F16:F31)</f>
        <v>1678822</v>
      </c>
      <c r="G32" s="720">
        <f>SUM(G16:G22)</f>
        <v>275410.32000000007</v>
      </c>
      <c r="H32" s="721">
        <f>SUM(H16:H31)</f>
        <v>87.277</v>
      </c>
      <c r="J32" s="881" t="str">
        <f>CONCATENATE("Impact On Keeping The Same Mill Rate As For ",H1-1,"")</f>
        <v>Impact On Keeping The Same Mill Rate As For 2013</v>
      </c>
      <c r="K32" s="884"/>
      <c r="L32" s="884"/>
      <c r="M32" s="885"/>
      <c r="N32" s="793"/>
      <c r="O32" s="795"/>
      <c r="P32" s="795"/>
      <c r="Q32" s="795"/>
      <c r="R32" s="795"/>
      <c r="S32" s="795"/>
      <c r="T32" s="795"/>
      <c r="U32" s="795"/>
    </row>
    <row r="33" spans="1:21" ht="15.75">
      <c r="A33" s="8" t="s">
        <v>183</v>
      </c>
      <c r="B33" s="722">
        <f>Transfers!$C$16</f>
        <v>297000</v>
      </c>
      <c r="C33" s="723"/>
      <c r="D33" s="722">
        <f>Transfers!$D$16</f>
        <v>272049</v>
      </c>
      <c r="E33" s="724"/>
      <c r="F33" s="722">
        <f>Transfers!$E$16</f>
        <v>167500</v>
      </c>
      <c r="G33" s="641"/>
      <c r="H33" s="725"/>
      <c r="I33" s="460"/>
      <c r="J33" s="508"/>
      <c r="K33" s="502"/>
      <c r="L33" s="502"/>
      <c r="M33" s="509"/>
      <c r="N33" s="793"/>
      <c r="O33" s="795"/>
      <c r="P33" s="795"/>
      <c r="Q33" s="795"/>
      <c r="R33" s="795"/>
      <c r="S33" s="795"/>
      <c r="T33" s="795"/>
      <c r="U33" s="795"/>
    </row>
    <row r="34" spans="1:21" ht="16.5" thickBot="1">
      <c r="A34" s="49" t="s">
        <v>184</v>
      </c>
      <c r="B34" s="726">
        <f>B32-B33</f>
        <v>1416017.62</v>
      </c>
      <c r="C34" s="64"/>
      <c r="D34" s="726">
        <f>D32-D33</f>
        <v>1085251</v>
      </c>
      <c r="E34" s="64"/>
      <c r="F34" s="726">
        <f>F32-F33</f>
        <v>1511322</v>
      </c>
      <c r="G34" s="64"/>
      <c r="H34" s="64"/>
      <c r="J34" s="508" t="str">
        <f>CONCATENATE("",H1," Ad Valorem Tax Revenue:")</f>
        <v>2014 Ad Valorem Tax Revenue:</v>
      </c>
      <c r="K34" s="502"/>
      <c r="L34" s="502"/>
      <c r="M34" s="503">
        <f>G32</f>
        <v>275410.32000000007</v>
      </c>
      <c r="N34" s="793"/>
      <c r="O34" s="795"/>
      <c r="P34" s="795"/>
      <c r="Q34" s="795"/>
      <c r="R34" s="795"/>
      <c r="S34" s="795"/>
      <c r="T34" s="795"/>
      <c r="U34" s="795"/>
    </row>
    <row r="35" spans="1:21" ht="16.5" thickTop="1">
      <c r="A35" s="8" t="s">
        <v>185</v>
      </c>
      <c r="B35" s="722">
        <f>inputPrYr!E57</f>
        <v>226811</v>
      </c>
      <c r="C35" s="727"/>
      <c r="D35" s="722">
        <f>inputPrYr!E25</f>
        <v>264222</v>
      </c>
      <c r="E35" s="728"/>
      <c r="F35" s="729" t="s">
        <v>152</v>
      </c>
      <c r="G35" s="730"/>
      <c r="H35" s="730"/>
      <c r="J35" s="508" t="str">
        <f>CONCATENATE("",H1-1," Ad Valorem Tax Revenue:")</f>
        <v>2013 Ad Valorem Tax Revenue:</v>
      </c>
      <c r="K35" s="502"/>
      <c r="L35" s="502"/>
      <c r="M35" s="516">
        <f>ROUND(F36*M26/1000,0)</f>
        <v>273800</v>
      </c>
      <c r="N35" s="795"/>
      <c r="O35" s="795"/>
      <c r="P35" s="795"/>
      <c r="Q35" s="795"/>
      <c r="R35" s="795"/>
      <c r="S35" s="795"/>
      <c r="T35" s="795"/>
      <c r="U35" s="795"/>
    </row>
    <row r="36" spans="1:21" ht="15.75">
      <c r="A36" s="8" t="s">
        <v>186</v>
      </c>
      <c r="B36" s="221">
        <f>inputPrYr!E58</f>
        <v>3010539</v>
      </c>
      <c r="C36" s="243"/>
      <c r="D36" s="221">
        <f>inputOth!E30</f>
        <v>3045202</v>
      </c>
      <c r="E36" s="220"/>
      <c r="F36" s="221">
        <f>inputOth!E7</f>
        <v>3155579</v>
      </c>
      <c r="G36" s="730"/>
      <c r="H36" s="730"/>
      <c r="J36" s="513" t="s">
        <v>666</v>
      </c>
      <c r="K36" s="514"/>
      <c r="L36" s="514"/>
      <c r="M36" s="506">
        <f>M34-M35</f>
        <v>1610.3200000000652</v>
      </c>
      <c r="N36" s="795"/>
      <c r="O36" s="795"/>
      <c r="P36" s="795"/>
      <c r="Q36" s="795"/>
      <c r="R36" s="795"/>
      <c r="S36" s="795"/>
      <c r="T36" s="795"/>
      <c r="U36" s="795"/>
    </row>
    <row r="37" spans="1:13" ht="15.75">
      <c r="A37" s="584"/>
      <c r="B37" s="641"/>
      <c r="C37" s="640"/>
      <c r="D37" s="641"/>
      <c r="E37" s="640"/>
      <c r="F37" s="340"/>
      <c r="G37" s="640"/>
      <c r="H37" s="731"/>
      <c r="I37" s="499"/>
      <c r="J37" s="507"/>
      <c r="K37" s="507"/>
      <c r="L37" s="507"/>
      <c r="M37" s="515"/>
    </row>
    <row r="38" spans="1:13" ht="15.75">
      <c r="A38" s="8" t="s">
        <v>187</v>
      </c>
      <c r="B38" s="641"/>
      <c r="C38" s="640"/>
      <c r="D38" s="641"/>
      <c r="E38" s="640"/>
      <c r="F38" s="641"/>
      <c r="G38" s="730"/>
      <c r="H38" s="730"/>
      <c r="J38" s="881" t="s">
        <v>726</v>
      </c>
      <c r="K38" s="882"/>
      <c r="L38" s="882"/>
      <c r="M38" s="883"/>
    </row>
    <row r="39" spans="1:13" ht="15.75">
      <c r="A39" s="8" t="s">
        <v>188</v>
      </c>
      <c r="B39" s="732">
        <f>$H$1-3</f>
        <v>2011</v>
      </c>
      <c r="C39" s="64"/>
      <c r="D39" s="732">
        <f>$H$1-2</f>
        <v>2012</v>
      </c>
      <c r="E39" s="64"/>
      <c r="F39" s="732">
        <f>$H$1-1</f>
        <v>2013</v>
      </c>
      <c r="G39" s="64"/>
      <c r="H39" s="64"/>
      <c r="J39" s="508"/>
      <c r="K39" s="502"/>
      <c r="L39" s="502"/>
      <c r="M39" s="509"/>
    </row>
    <row r="40" spans="1:13" ht="15.75">
      <c r="A40" s="8" t="s">
        <v>189</v>
      </c>
      <c r="B40" s="221">
        <f>inputPrYr!D61</f>
        <v>0</v>
      </c>
      <c r="C40" s="64"/>
      <c r="D40" s="221">
        <f>inputPrYr!E61</f>
        <v>196000</v>
      </c>
      <c r="E40" s="64"/>
      <c r="F40" s="221">
        <f>debt!G15</f>
        <v>194000</v>
      </c>
      <c r="G40" s="64"/>
      <c r="H40" s="64"/>
      <c r="J40" s="508" t="str">
        <f>CONCATENATE("Current ",H1," Estimated Mill Rate:")</f>
        <v>Current 2014 Estimated Mill Rate:</v>
      </c>
      <c r="K40" s="502"/>
      <c r="L40" s="502"/>
      <c r="M40" s="510">
        <f>H32</f>
        <v>87.277</v>
      </c>
    </row>
    <row r="41" spans="1:13" ht="15.75">
      <c r="A41" s="8" t="s">
        <v>190</v>
      </c>
      <c r="B41" s="221">
        <f>inputPrYr!D62</f>
        <v>0</v>
      </c>
      <c r="C41" s="64"/>
      <c r="D41" s="221">
        <f>inputPrYr!E62</f>
        <v>0</v>
      </c>
      <c r="E41" s="64"/>
      <c r="F41" s="221">
        <f>debt!G22</f>
        <v>0</v>
      </c>
      <c r="G41" s="64"/>
      <c r="H41" s="64"/>
      <c r="J41" s="508" t="str">
        <f>CONCATENATE("Desired ",H1," Mill Rate:")</f>
        <v>Desired 2014 Mill Rate:</v>
      </c>
      <c r="K41" s="502"/>
      <c r="L41" s="502"/>
      <c r="M41" s="500">
        <v>0</v>
      </c>
    </row>
    <row r="42" spans="1:13" ht="15.75">
      <c r="A42" s="24" t="s">
        <v>209</v>
      </c>
      <c r="B42" s="221">
        <f>inputPrYr!D63</f>
        <v>183545</v>
      </c>
      <c r="C42" s="64"/>
      <c r="D42" s="221">
        <f>inputPrYr!E63</f>
        <v>211585</v>
      </c>
      <c r="E42" s="64"/>
      <c r="F42" s="733">
        <f>debt!G30</f>
        <v>294351</v>
      </c>
      <c r="G42" s="64"/>
      <c r="H42" s="64"/>
      <c r="J42" s="508" t="str">
        <f>CONCATENATE("",H1," Ad Valorem Tax:")</f>
        <v>2014 Ad Valorem Tax:</v>
      </c>
      <c r="K42" s="502"/>
      <c r="L42" s="502"/>
      <c r="M42" s="516">
        <f>ROUND(F36*M41/1000,0)</f>
        <v>0</v>
      </c>
    </row>
    <row r="43" spans="1:13" ht="15.75">
      <c r="A43" s="8" t="s">
        <v>288</v>
      </c>
      <c r="B43" s="221">
        <f>inputPrYr!D64</f>
        <v>14427</v>
      </c>
      <c r="C43" s="64"/>
      <c r="D43" s="221">
        <f>inputPrYr!E64</f>
        <v>9783</v>
      </c>
      <c r="E43" s="64"/>
      <c r="F43" s="221">
        <f>lpform!G20</f>
        <v>70403</v>
      </c>
      <c r="G43" s="64"/>
      <c r="H43" s="64"/>
      <c r="J43" s="513" t="str">
        <f>CONCATENATE("",H1," Tax Levy Fund Exp. Changed By:")</f>
        <v>2014 Tax Levy Fund Exp. Changed By:</v>
      </c>
      <c r="K43" s="514"/>
      <c r="L43" s="514"/>
      <c r="M43" s="506">
        <f>IF(M41=0,0,(M42-G32))</f>
        <v>0</v>
      </c>
    </row>
    <row r="44" spans="1:8" ht="16.5" thickBot="1">
      <c r="A44" s="8" t="s">
        <v>191</v>
      </c>
      <c r="B44" s="726">
        <f>SUM(B40:B43)</f>
        <v>197972</v>
      </c>
      <c r="C44" s="64"/>
      <c r="D44" s="726">
        <f>SUM(D40:D43)</f>
        <v>417368</v>
      </c>
      <c r="E44" s="64"/>
      <c r="F44" s="726">
        <f>SUM(F40:F43)</f>
        <v>558754</v>
      </c>
      <c r="G44" s="64"/>
      <c r="H44" s="64"/>
    </row>
    <row r="45" spans="1:8" ht="16.5" thickTop="1">
      <c r="A45" s="8" t="s">
        <v>192</v>
      </c>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5.75">
      <c r="A48" s="875" t="str">
        <f>inputBudSum!B3</f>
        <v>Susan Hass</v>
      </c>
      <c r="B48" s="876"/>
      <c r="C48" s="487"/>
      <c r="D48" s="7"/>
      <c r="E48" s="7"/>
      <c r="F48" s="7"/>
      <c r="G48" s="7"/>
      <c r="H48" s="7"/>
    </row>
    <row r="49" spans="1:8" ht="15.75">
      <c r="A49" s="69" t="str">
        <f>CONCATENATE("City Official Title: ",inputBudSum!B5,"")</f>
        <v>City Official Title: City Clerk</v>
      </c>
      <c r="B49" s="486"/>
      <c r="C49" s="485"/>
      <c r="D49" s="7"/>
      <c r="E49" s="7"/>
      <c r="F49" s="7"/>
      <c r="G49" s="7"/>
      <c r="H49" s="7"/>
    </row>
    <row r="50" spans="1:8" ht="15.75">
      <c r="A50" s="14"/>
      <c r="B50" s="35"/>
      <c r="C50" s="36"/>
      <c r="D50" s="7"/>
      <c r="E50" s="7"/>
      <c r="F50" s="7"/>
      <c r="G50" s="7"/>
      <c r="H50" s="7"/>
    </row>
    <row r="51" spans="1:8" ht="15.75">
      <c r="A51" s="7"/>
      <c r="B51" s="7"/>
      <c r="C51" s="7"/>
      <c r="D51" s="7"/>
      <c r="E51" s="7"/>
      <c r="F51" s="7"/>
      <c r="G51" s="7"/>
      <c r="H51" s="7"/>
    </row>
    <row r="52" spans="1:8" ht="15.75">
      <c r="A52" s="7"/>
      <c r="B52" s="7"/>
      <c r="C52" s="210" t="s">
        <v>193</v>
      </c>
      <c r="D52" s="295">
        <v>14</v>
      </c>
      <c r="E52" s="7"/>
      <c r="F52" s="7"/>
      <c r="G52" s="7"/>
      <c r="H52" s="7"/>
    </row>
    <row r="53" spans="1:8" ht="15.75">
      <c r="A53" s="1"/>
      <c r="B53" s="1"/>
      <c r="C53" s="1"/>
      <c r="D53" s="1"/>
      <c r="E53" s="1"/>
      <c r="F53" s="1"/>
      <c r="G53" s="1"/>
      <c r="H53" s="1"/>
    </row>
    <row r="54" spans="9:13" ht="15.75">
      <c r="I54" s="1"/>
      <c r="J54" s="1"/>
      <c r="K54" s="1"/>
      <c r="L54" s="1"/>
      <c r="M54" s="1"/>
    </row>
    <row r="58" ht="15.75">
      <c r="K58" s="698"/>
    </row>
    <row r="93" spans="1:8" ht="15.75">
      <c r="A93" s="1"/>
      <c r="B93" s="1"/>
      <c r="C93" s="1"/>
      <c r="D93" s="1"/>
      <c r="E93" s="1"/>
      <c r="F93" s="1"/>
      <c r="G93" s="1"/>
      <c r="H93" s="1"/>
    </row>
    <row r="94" ht="15.75">
      <c r="I94" s="1"/>
    </row>
    <row r="104" spans="1:8" ht="15.75">
      <c r="A104" s="1"/>
      <c r="B104" s="1"/>
      <c r="C104" s="1"/>
      <c r="D104" s="1"/>
      <c r="E104" s="1"/>
      <c r="F104" s="1"/>
      <c r="G104" s="1"/>
      <c r="H104" s="1"/>
    </row>
    <row r="126" spans="1:15" ht="15.75">
      <c r="A126" s="1"/>
      <c r="B126" s="1"/>
      <c r="C126" s="1"/>
      <c r="D126" s="1"/>
      <c r="E126" s="1"/>
      <c r="F126" s="1"/>
      <c r="G126" s="1"/>
      <c r="H126" s="1"/>
      <c r="I126" s="1"/>
      <c r="J126" s="1"/>
      <c r="K126" s="1"/>
      <c r="L126" s="1"/>
      <c r="M126" s="1"/>
      <c r="N126" s="1"/>
      <c r="O126" s="1"/>
    </row>
    <row r="170" spans="1:17" ht="15.75">
      <c r="A170" s="1"/>
      <c r="B170" s="1"/>
      <c r="C170" s="1"/>
      <c r="D170" s="1"/>
      <c r="E170" s="1"/>
      <c r="F170" s="1"/>
      <c r="G170" s="1"/>
      <c r="H170" s="1"/>
      <c r="I170" s="1"/>
      <c r="J170" s="1"/>
      <c r="K170" s="1"/>
      <c r="L170" s="1"/>
      <c r="M170" s="1"/>
      <c r="N170" s="1"/>
      <c r="O170" s="1"/>
      <c r="P170" s="1"/>
      <c r="Q170" s="1"/>
    </row>
  </sheetData>
  <sheetProtection/>
  <mergeCells count="11">
    <mergeCell ref="J38:M38"/>
    <mergeCell ref="J20:M20"/>
    <mergeCell ref="J32:M32"/>
    <mergeCell ref="J23:M23"/>
    <mergeCell ref="A48:B48"/>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G22" sqref="G22"/>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Blue Rapids</v>
      </c>
      <c r="B1" s="4"/>
      <c r="C1" s="4"/>
      <c r="D1" s="4"/>
      <c r="E1" s="4"/>
      <c r="F1" s="4">
        <f>inputPrYr!C5</f>
        <v>2014</v>
      </c>
    </row>
    <row r="2" spans="1:6" ht="15.75">
      <c r="A2" s="42"/>
      <c r="B2" s="4"/>
      <c r="C2" s="4"/>
      <c r="D2" s="4"/>
      <c r="E2" s="4"/>
      <c r="F2" s="4"/>
    </row>
    <row r="3" spans="1:6" ht="15.75">
      <c r="A3" s="4"/>
      <c r="B3" s="4"/>
      <c r="C3" s="4"/>
      <c r="D3" s="4"/>
      <c r="E3" s="4"/>
      <c r="F3" s="4"/>
    </row>
    <row r="4" spans="1:6" ht="15.75">
      <c r="A4" s="7"/>
      <c r="B4" s="888" t="str">
        <f>CONCATENATE("",F1," Neighborhood Revitalization Rebate")</f>
        <v>2014 Neighborhood Revitalization Rebate</v>
      </c>
      <c r="C4" s="889"/>
      <c r="D4" s="889"/>
      <c r="E4" s="890"/>
      <c r="F4" s="4"/>
    </row>
    <row r="5" spans="1:6" ht="15.75">
      <c r="A5" s="7"/>
      <c r="B5" s="7"/>
      <c r="C5" s="7"/>
      <c r="D5" s="7"/>
      <c r="E5" s="7"/>
      <c r="F5" s="4"/>
    </row>
    <row r="6" spans="1:6" ht="51.75" customHeight="1">
      <c r="A6" s="7"/>
      <c r="B6" s="397" t="str">
        <f>CONCATENATE("Budgeted Funds                      for ",F1,"")</f>
        <v>Budgeted Funds                      for 2014</v>
      </c>
      <c r="C6" s="397" t="str">
        <f>CONCATENATE("",F1-1," Ad Valorem before Rebate**")</f>
        <v>2013 Ad Valorem before Rebate**</v>
      </c>
      <c r="D6" s="398" t="str">
        <f>CONCATENATE("",F1-1," Mil Rate before Rebate")</f>
        <v>2013 Mil Rate before Rebate</v>
      </c>
      <c r="E6" s="399" t="str">
        <f>CONCATENATE("Estimate ",F1," NR Rebate")</f>
        <v>Estimate 2014 NR Rebate</v>
      </c>
      <c r="F6" s="4"/>
    </row>
    <row r="7" spans="1:6" ht="15.75">
      <c r="A7" s="7"/>
      <c r="B7" s="5" t="s">
        <v>130</v>
      </c>
      <c r="C7" s="48">
        <v>237131</v>
      </c>
      <c r="D7" s="39">
        <f aca="true" t="shared" si="0" ref="D7:D12">IF(C7&gt;0,C7/$D$19,"")</f>
        <v>75.14658957991544</v>
      </c>
      <c r="E7" s="28">
        <f aca="true" t="shared" si="1" ref="E7:E12">IF(C7&gt;0,ROUND(D7*$D$23,0),"")</f>
        <v>1345</v>
      </c>
      <c r="F7" s="4"/>
    </row>
    <row r="8" spans="1:6" ht="15.75">
      <c r="A8" s="7"/>
      <c r="B8" s="5" t="str">
        <f>inputPrYr!B18</f>
        <v>Bond &amp; Interest</v>
      </c>
      <c r="C8" s="48">
        <v>19361</v>
      </c>
      <c r="D8" s="39">
        <f t="shared" si="0"/>
        <v>6.135482584970935</v>
      </c>
      <c r="E8" s="28">
        <f t="shared" si="1"/>
        <v>110</v>
      </c>
      <c r="F8" s="4"/>
    </row>
    <row r="9" spans="1:6" ht="15.75">
      <c r="A9" s="7"/>
      <c r="B9" s="6" t="str">
        <f>IF((inputPrYr!$B21&gt;"  "),(inputPrYr!$B21),"  ")</f>
        <v>Library</v>
      </c>
      <c r="C9" s="48">
        <v>17350</v>
      </c>
      <c r="D9" s="39">
        <f t="shared" si="0"/>
        <v>5.498198587327397</v>
      </c>
      <c r="E9" s="28">
        <f t="shared" si="1"/>
        <v>98</v>
      </c>
      <c r="F9" s="4"/>
    </row>
    <row r="10" spans="1:6" ht="15.75">
      <c r="A10" s="7"/>
      <c r="B10" s="6" t="str">
        <f>IF((inputPrYr!$B22&gt;"  "),(inputPrYr!$B22),"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3"/>
      <c r="D13" s="39">
        <f>IF(C13&gt;0,C13/$D$19,"")</f>
      </c>
      <c r="E13" s="28">
        <f>IF(C13&gt;0,ROUND(D13*$D$23,0),"")</f>
      </c>
      <c r="F13" s="4"/>
    </row>
    <row r="14" spans="1:6" ht="16.5" thickBot="1">
      <c r="A14" s="7"/>
      <c r="B14" s="13" t="s">
        <v>158</v>
      </c>
      <c r="C14" s="29">
        <f>SUM(C7:C13)</f>
        <v>273842</v>
      </c>
      <c r="D14" s="40">
        <f>SUM(D7:D13)</f>
        <v>86.78027075221377</v>
      </c>
      <c r="E14" s="29">
        <f>SUM(E7:E13)</f>
        <v>1553</v>
      </c>
      <c r="F14" s="4"/>
    </row>
    <row r="15" spans="1:6" ht="16.5" thickTop="1">
      <c r="A15" s="7"/>
      <c r="B15" s="7"/>
      <c r="C15" s="7"/>
      <c r="D15" s="7"/>
      <c r="E15" s="7"/>
      <c r="F15" s="4"/>
    </row>
    <row r="16" spans="1:6" ht="15.75">
      <c r="A16" s="7"/>
      <c r="B16" s="7"/>
      <c r="C16" s="7"/>
      <c r="D16" s="7"/>
      <c r="E16" s="7"/>
      <c r="F16" s="4"/>
    </row>
    <row r="17" spans="1:6" ht="15.75">
      <c r="A17" s="893" t="str">
        <f>CONCATENATE("",F1-1," July 1 Valuation:")</f>
        <v>2013 July 1 Valuation:</v>
      </c>
      <c r="B17" s="892"/>
      <c r="C17" s="893"/>
      <c r="D17" s="37">
        <f>inputOth!E7</f>
        <v>3155579</v>
      </c>
      <c r="E17" s="7"/>
      <c r="F17" s="4"/>
    </row>
    <row r="18" spans="1:6" ht="15.75">
      <c r="A18" s="7"/>
      <c r="B18" s="7"/>
      <c r="C18" s="7"/>
      <c r="D18" s="7"/>
      <c r="E18" s="7"/>
      <c r="F18" s="4"/>
    </row>
    <row r="19" spans="1:6" ht="15.75">
      <c r="A19" s="7"/>
      <c r="B19" s="893" t="s">
        <v>341</v>
      </c>
      <c r="C19" s="893"/>
      <c r="D19" s="43">
        <f>IF(D17&gt;0,(D17*0.001),"")</f>
        <v>3155.579</v>
      </c>
      <c r="E19" s="7"/>
      <c r="F19" s="4"/>
    </row>
    <row r="20" spans="1:6" ht="15.75">
      <c r="A20" s="7"/>
      <c r="B20" s="15"/>
      <c r="C20" s="15"/>
      <c r="D20" s="44"/>
      <c r="E20" s="7"/>
      <c r="F20" s="4"/>
    </row>
    <row r="21" spans="1:6" ht="15.75">
      <c r="A21" s="891" t="s">
        <v>342</v>
      </c>
      <c r="B21" s="890"/>
      <c r="C21" s="890"/>
      <c r="D21" s="45">
        <f>inputOth!E17</f>
        <v>17893</v>
      </c>
      <c r="E21" s="26"/>
      <c r="F21" s="26"/>
    </row>
    <row r="22" spans="1:6" ht="15">
      <c r="A22" s="26"/>
      <c r="B22" s="26"/>
      <c r="C22" s="26"/>
      <c r="D22" s="46"/>
      <c r="E22" s="26"/>
      <c r="F22" s="26"/>
    </row>
    <row r="23" spans="1:6" ht="15.75">
      <c r="A23" s="26"/>
      <c r="B23" s="891" t="s">
        <v>343</v>
      </c>
      <c r="C23" s="892"/>
      <c r="D23" s="47">
        <f>IF(D21&gt;0,(D21*0.001),"")</f>
        <v>17.893</v>
      </c>
      <c r="E23" s="26"/>
      <c r="F23" s="26"/>
    </row>
    <row r="24" spans="1:6" ht="15">
      <c r="A24" s="26"/>
      <c r="B24" s="26"/>
      <c r="C24" s="26"/>
      <c r="D24" s="26"/>
      <c r="E24" s="26"/>
      <c r="F24" s="26"/>
    </row>
    <row r="25" spans="1:6" ht="15">
      <c r="A25" s="26"/>
      <c r="B25" s="26"/>
      <c r="C25" s="26"/>
      <c r="D25" s="26"/>
      <c r="E25" s="26"/>
      <c r="F25" s="26"/>
    </row>
    <row r="26" spans="1:6" ht="15.75">
      <c r="A26" s="396"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6" t="s">
        <v>625</v>
      </c>
      <c r="B27" s="26"/>
      <c r="C27" s="26"/>
      <c r="D27" s="26"/>
      <c r="E27" s="26"/>
      <c r="F27" s="26"/>
    </row>
    <row r="28" spans="1:6" ht="15.75">
      <c r="A28" s="396"/>
      <c r="B28" s="26"/>
      <c r="C28" s="26"/>
      <c r="D28" s="26"/>
      <c r="E28" s="26"/>
      <c r="F28" s="26"/>
    </row>
    <row r="29" spans="1:6" ht="15.75">
      <c r="A29" s="396"/>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v>15</v>
      </c>
      <c r="D32" s="26"/>
      <c r="E32" s="26"/>
      <c r="F32" s="26"/>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4"/>
  <sheetViews>
    <sheetView zoomScalePageLayoutView="0" workbookViewId="0" topLeftCell="A1">
      <selection activeCell="J13" sqref="J13"/>
    </sheetView>
  </sheetViews>
  <sheetFormatPr defaultColWidth="8.796875" defaultRowHeight="15"/>
  <sheetData>
    <row r="1" spans="1:7" ht="16.5" customHeight="1">
      <c r="A1" s="896" t="s">
        <v>291</v>
      </c>
      <c r="B1" s="896"/>
      <c r="C1" s="896"/>
      <c r="D1" s="896"/>
      <c r="E1" s="896"/>
      <c r="F1" s="896"/>
      <c r="G1" s="896"/>
    </row>
    <row r="2" spans="1:7" ht="16.5" customHeight="1">
      <c r="A2" s="896"/>
      <c r="B2" s="896"/>
      <c r="C2" s="896"/>
      <c r="D2" s="896"/>
      <c r="E2" s="896"/>
      <c r="F2" s="896"/>
      <c r="G2" s="896"/>
    </row>
    <row r="3" spans="1:7" ht="16.5" customHeight="1">
      <c r="A3" s="897"/>
      <c r="B3" s="897"/>
      <c r="C3" s="897"/>
      <c r="D3" s="897"/>
      <c r="E3" s="897"/>
      <c r="F3" s="897"/>
      <c r="G3" s="897"/>
    </row>
    <row r="4" spans="1:7" ht="16.5" customHeight="1">
      <c r="A4" s="894" t="str">
        <f>CONCATENATE("AN ORDINANCE ATTESTING TO AN INCREASE IN TAX REVENUES FOR BUDGET YEAR ",(inputPrYr!$C$5)," FOR THE ",(inputPrYr!$D$2))</f>
        <v>AN ORDINANCE ATTESTING TO AN INCREASE IN TAX REVENUES FOR BUDGET YEAR 2014 FOR THE City of Blue Rapids</v>
      </c>
      <c r="B4" s="894"/>
      <c r="C4" s="894"/>
      <c r="D4" s="894"/>
      <c r="E4" s="894"/>
      <c r="F4" s="894"/>
      <c r="G4" s="894"/>
    </row>
    <row r="5" spans="1:7" ht="16.5" customHeight="1">
      <c r="A5" s="894"/>
      <c r="B5" s="894"/>
      <c r="C5" s="894"/>
      <c r="D5" s="894"/>
      <c r="E5" s="894"/>
      <c r="F5" s="894"/>
      <c r="G5" s="894"/>
    </row>
    <row r="6" spans="1:7" ht="16.5" customHeight="1">
      <c r="A6" s="896"/>
      <c r="B6" s="896"/>
      <c r="C6" s="896"/>
      <c r="D6" s="896"/>
      <c r="E6" s="896"/>
      <c r="F6" s="896"/>
      <c r="G6" s="896"/>
    </row>
    <row r="7" spans="1:14" ht="16.5" customHeight="1">
      <c r="A7" s="894" t="str">
        <f>CONCATENATE("WHEREAS, the  ",(inputPrYr!$D$2)," must continue to provide services to protect the health, safety, and welfare of the citizens of this community; and")</f>
        <v>WHEREAS, the  City of Blue Rapids must continue to provide services to protect the health, safety, and welfare of the citizens of this community; and</v>
      </c>
      <c r="B7" s="894"/>
      <c r="C7" s="894"/>
      <c r="D7" s="894"/>
      <c r="E7" s="894"/>
      <c r="F7" s="894"/>
      <c r="G7" s="894"/>
      <c r="H7" s="22"/>
      <c r="I7" s="22"/>
      <c r="J7" s="22"/>
      <c r="K7" s="22"/>
      <c r="L7" s="22"/>
      <c r="M7" s="22"/>
      <c r="N7" s="22"/>
    </row>
    <row r="8" spans="1:14" ht="16.5" customHeight="1">
      <c r="A8" s="894"/>
      <c r="B8" s="894"/>
      <c r="C8" s="894"/>
      <c r="D8" s="894"/>
      <c r="E8" s="894"/>
      <c r="F8" s="894"/>
      <c r="G8" s="894"/>
      <c r="H8" s="22"/>
      <c r="I8" s="22"/>
      <c r="J8" s="22"/>
      <c r="K8" s="22"/>
      <c r="L8" s="22"/>
      <c r="M8" s="22"/>
      <c r="N8" s="22"/>
    </row>
    <row r="9" spans="1:7" ht="16.5" customHeight="1">
      <c r="A9" s="31"/>
      <c r="B9" s="31"/>
      <c r="C9" s="31"/>
      <c r="D9" s="31"/>
      <c r="E9" s="31"/>
      <c r="F9" s="31"/>
      <c r="G9" s="31"/>
    </row>
    <row r="10" spans="1:7" ht="16.5" customHeight="1">
      <c r="A10" s="894" t="s">
        <v>292</v>
      </c>
      <c r="B10" s="894"/>
      <c r="C10" s="894"/>
      <c r="D10" s="894"/>
      <c r="E10" s="894"/>
      <c r="F10" s="894"/>
      <c r="G10" s="894"/>
    </row>
    <row r="11" spans="1:7" ht="16.5" customHeight="1">
      <c r="A11" s="894"/>
      <c r="B11" s="894"/>
      <c r="C11" s="894"/>
      <c r="D11" s="894"/>
      <c r="E11" s="894"/>
      <c r="F11" s="894"/>
      <c r="G11" s="894"/>
    </row>
    <row r="12" spans="1:7" ht="16.5" customHeight="1">
      <c r="A12" s="31"/>
      <c r="B12" s="31"/>
      <c r="C12" s="31"/>
      <c r="D12" s="31"/>
      <c r="E12" s="31"/>
      <c r="F12" s="31"/>
      <c r="G12" s="31"/>
    </row>
    <row r="13" spans="1:14" ht="16.5" customHeight="1">
      <c r="A13" s="894" t="str">
        <f>CONCATENATE("NOW THEREFORE, be it ordained by the Governing Body of the ",(inputPrYr!$D$2),":")</f>
        <v>NOW THEREFORE, be it ordained by the Governing Body of the City of Blue Rapids:</v>
      </c>
      <c r="B13" s="894"/>
      <c r="C13" s="894"/>
      <c r="D13" s="894"/>
      <c r="E13" s="894"/>
      <c r="F13" s="894"/>
      <c r="G13" s="894"/>
      <c r="H13" s="22"/>
      <c r="I13" s="22"/>
      <c r="J13" s="22"/>
      <c r="K13" s="22"/>
      <c r="L13" s="22"/>
      <c r="M13" s="22"/>
      <c r="N13" s="22"/>
    </row>
    <row r="14" spans="1:14" ht="16.5" customHeight="1">
      <c r="A14" s="894"/>
      <c r="B14" s="894"/>
      <c r="C14" s="894"/>
      <c r="D14" s="894"/>
      <c r="E14" s="894"/>
      <c r="F14" s="894"/>
      <c r="G14" s="894"/>
      <c r="H14" s="22"/>
      <c r="I14" s="22"/>
      <c r="J14" s="22"/>
      <c r="K14" s="22"/>
      <c r="L14" s="22"/>
      <c r="M14" s="22"/>
      <c r="N14" s="22"/>
    </row>
    <row r="15" spans="1:14" ht="16.5" customHeight="1">
      <c r="A15" s="89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Blue Rapids  has scheduled a public hearing and has prepared the proposed budget necessary to fund city services from January 1, 2014 until December 31, 2014.</v>
      </c>
      <c r="B15" s="894"/>
      <c r="C15" s="894"/>
      <c r="D15" s="894"/>
      <c r="E15" s="894"/>
      <c r="F15" s="894"/>
      <c r="G15" s="894"/>
      <c r="H15" s="22"/>
      <c r="I15" s="22"/>
      <c r="J15" s="22"/>
      <c r="K15" s="22"/>
      <c r="L15" s="22"/>
      <c r="M15" s="22"/>
      <c r="N15" s="22"/>
    </row>
    <row r="16" spans="1:14" ht="16.5" customHeight="1">
      <c r="A16" s="894"/>
      <c r="B16" s="894"/>
      <c r="C16" s="894"/>
      <c r="D16" s="894"/>
      <c r="E16" s="894"/>
      <c r="F16" s="894"/>
      <c r="G16" s="894"/>
      <c r="H16" s="22"/>
      <c r="I16" s="22"/>
      <c r="J16" s="22"/>
      <c r="K16" s="22"/>
      <c r="L16" s="22"/>
      <c r="M16" s="22"/>
      <c r="N16" s="22"/>
    </row>
    <row r="17" spans="1:14" ht="16.5" customHeight="1">
      <c r="A17" s="894"/>
      <c r="B17" s="894"/>
      <c r="C17" s="894"/>
      <c r="D17" s="894"/>
      <c r="E17" s="894"/>
      <c r="F17" s="894"/>
      <c r="G17" s="894"/>
      <c r="H17" s="23"/>
      <c r="I17" s="23"/>
      <c r="J17" s="23"/>
      <c r="K17" s="23"/>
      <c r="L17" s="23"/>
      <c r="M17" s="23"/>
      <c r="N17" s="23"/>
    </row>
    <row r="18" spans="1:7" ht="16.5" customHeight="1">
      <c r="A18" s="32"/>
      <c r="B18" s="32"/>
      <c r="C18" s="32"/>
      <c r="D18" s="32"/>
      <c r="E18" s="32"/>
      <c r="F18" s="32"/>
      <c r="G18" s="32"/>
    </row>
    <row r="19" spans="1:7" ht="16.5" customHeight="1">
      <c r="A19" s="33" t="s">
        <v>117</v>
      </c>
      <c r="B19" s="33"/>
      <c r="C19" s="33"/>
      <c r="D19" s="33"/>
      <c r="E19" s="33"/>
      <c r="F19" s="33"/>
      <c r="G19" s="33"/>
    </row>
    <row r="20" spans="1:7" ht="16.5" customHeight="1">
      <c r="A20" s="33" t="s">
        <v>118</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119</v>
      </c>
      <c r="B22" s="30"/>
      <c r="C22" s="30"/>
      <c r="D22" s="30"/>
      <c r="E22" s="30"/>
      <c r="F22" s="30"/>
      <c r="G22" s="30"/>
    </row>
    <row r="23" spans="1:7" ht="16.5" customHeight="1">
      <c r="A23" s="32"/>
      <c r="B23" s="32"/>
      <c r="C23" s="32"/>
      <c r="D23" s="32"/>
      <c r="E23" s="32"/>
      <c r="F23" s="32"/>
      <c r="G23" s="32"/>
    </row>
    <row r="24" spans="1:7" ht="16.5" customHeight="1">
      <c r="A24" s="894" t="s">
        <v>293</v>
      </c>
      <c r="B24" s="894"/>
      <c r="C24" s="894"/>
      <c r="D24" s="894"/>
      <c r="E24" s="894"/>
      <c r="F24" s="894"/>
      <c r="G24" s="894"/>
    </row>
    <row r="25" spans="1:7" ht="16.5" customHeight="1">
      <c r="A25" s="894"/>
      <c r="B25" s="894"/>
      <c r="C25" s="894"/>
      <c r="D25" s="894"/>
      <c r="E25" s="894"/>
      <c r="F25" s="894"/>
      <c r="G25" s="894"/>
    </row>
    <row r="26" spans="1:7" ht="16.5" customHeight="1">
      <c r="A26" s="32"/>
      <c r="B26" s="32"/>
      <c r="C26" s="32"/>
      <c r="D26" s="32"/>
      <c r="E26" s="32"/>
      <c r="F26" s="32"/>
      <c r="G26" s="32"/>
    </row>
    <row r="27" spans="1:7" ht="16.5" customHeight="1">
      <c r="A27" s="894" t="str">
        <f>CONCATENATE("Passed and approved by the Governing Body on this ______ day of __________, ",(inputPrYr!$C$5-1),".")</f>
        <v>Passed and approved by the Governing Body on this ______ day of __________, 2013.</v>
      </c>
      <c r="B27" s="894"/>
      <c r="C27" s="894"/>
      <c r="D27" s="894"/>
      <c r="E27" s="894"/>
      <c r="F27" s="894"/>
      <c r="G27" s="894"/>
    </row>
    <row r="28" spans="1:7" ht="16.5" customHeight="1">
      <c r="A28" s="894"/>
      <c r="B28" s="894"/>
      <c r="C28" s="894"/>
      <c r="D28" s="894"/>
      <c r="E28" s="894"/>
      <c r="F28" s="894"/>
      <c r="G28" s="894"/>
    </row>
    <row r="29" spans="1:7" ht="16.5" customHeight="1">
      <c r="A29" s="34"/>
      <c r="B29" s="1"/>
      <c r="C29" s="1"/>
      <c r="D29" s="1"/>
      <c r="E29" s="1"/>
      <c r="F29" s="1"/>
      <c r="G29" s="1"/>
    </row>
    <row r="30" spans="1:7" ht="16.5" customHeight="1">
      <c r="A30" s="895" t="s">
        <v>294</v>
      </c>
      <c r="B30" s="895"/>
      <c r="C30" s="895"/>
      <c r="D30" s="895"/>
      <c r="E30" s="895"/>
      <c r="F30" s="895"/>
      <c r="G30" s="895"/>
    </row>
    <row r="31" spans="1:7" ht="16.5" customHeight="1">
      <c r="A31" s="895" t="s">
        <v>295</v>
      </c>
      <c r="B31" s="895"/>
      <c r="C31" s="895"/>
      <c r="D31" s="895"/>
      <c r="E31" s="895"/>
      <c r="F31" s="895"/>
      <c r="G31" s="895"/>
    </row>
    <row r="32" spans="1:7" ht="16.5" customHeight="1">
      <c r="A32" s="34" t="s">
        <v>296</v>
      </c>
      <c r="B32" s="1"/>
      <c r="C32" s="1"/>
      <c r="D32" s="1"/>
      <c r="E32" s="1"/>
      <c r="F32" s="1"/>
      <c r="G32" s="1"/>
    </row>
    <row r="33" spans="1:7" ht="16.5" customHeight="1">
      <c r="A33" s="1"/>
      <c r="B33" s="34" t="s">
        <v>297</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298</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299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52">
      <selection activeCell="F25" sqref="F25"/>
    </sheetView>
  </sheetViews>
  <sheetFormatPr defaultColWidth="8.796875" defaultRowHeight="15"/>
  <cols>
    <col min="1" max="1" width="71.296875" style="0" customWidth="1"/>
  </cols>
  <sheetData>
    <row r="3" spans="1:12" ht="15">
      <c r="A3" s="382" t="s">
        <v>459</v>
      </c>
      <c r="B3" s="382"/>
      <c r="C3" s="382"/>
      <c r="D3" s="382"/>
      <c r="E3" s="382"/>
      <c r="F3" s="382"/>
      <c r="G3" s="382"/>
      <c r="H3" s="382"/>
      <c r="I3" s="382"/>
      <c r="J3" s="382"/>
      <c r="K3" s="382"/>
      <c r="L3" s="382"/>
    </row>
    <row r="5" ht="15">
      <c r="A5" s="381" t="s">
        <v>460</v>
      </c>
    </row>
    <row r="6" ht="15">
      <c r="A6" s="381" t="str">
        <f>CONCATENATE(inputPrYr!C5-2," 'total expenditures' exceed your ",inputPrYr!C5-2," 'budget authority.'")</f>
        <v>2012 'total expenditures' exceed your 2012 'budget authority.'</v>
      </c>
    </row>
    <row r="7" ht="15">
      <c r="A7" s="381"/>
    </row>
    <row r="8" ht="15">
      <c r="A8" s="381" t="s">
        <v>461</v>
      </c>
    </row>
    <row r="9" ht="15">
      <c r="A9" s="381" t="s">
        <v>462</v>
      </c>
    </row>
    <row r="10" ht="15">
      <c r="A10" s="381" t="s">
        <v>463</v>
      </c>
    </row>
    <row r="11" ht="15">
      <c r="A11" s="381"/>
    </row>
    <row r="12" ht="15">
      <c r="A12" s="381"/>
    </row>
    <row r="13" ht="15">
      <c r="A13" s="380" t="s">
        <v>464</v>
      </c>
    </row>
    <row r="15" ht="15">
      <c r="A15" s="381" t="s">
        <v>465</v>
      </c>
    </row>
    <row r="16" ht="15">
      <c r="A16" s="381" t="str">
        <f>CONCATENATE("(i.e. an audit has not been completed, or the ",inputPrYr!C5," adopted")</f>
        <v>(i.e. an audit has not been completed, or the 2014 adopted</v>
      </c>
    </row>
    <row r="17" ht="15">
      <c r="A17" s="381" t="s">
        <v>466</v>
      </c>
    </row>
    <row r="18" ht="15">
      <c r="A18" s="381" t="s">
        <v>467</v>
      </c>
    </row>
    <row r="19" ht="15">
      <c r="A19" s="381" t="s">
        <v>468</v>
      </c>
    </row>
    <row r="21" ht="15">
      <c r="A21" s="380" t="s">
        <v>469</v>
      </c>
    </row>
    <row r="22" ht="15">
      <c r="A22" s="380"/>
    </row>
    <row r="23" ht="15">
      <c r="A23" s="381" t="s">
        <v>470</v>
      </c>
    </row>
    <row r="24" ht="15">
      <c r="A24" s="381" t="s">
        <v>471</v>
      </c>
    </row>
    <row r="25" ht="15">
      <c r="A25" s="381" t="str">
        <f>CONCATENATE("particular fund.  If your ",inputPrYr!C5-2," budget was amended, did you")</f>
        <v>particular fund.  If your 2012 budget was amended, did you</v>
      </c>
    </row>
    <row r="26" ht="15">
      <c r="A26" s="381" t="s">
        <v>472</v>
      </c>
    </row>
    <row r="27" ht="15">
      <c r="A27" s="381"/>
    </row>
    <row r="28" ht="15">
      <c r="A28" s="381" t="str">
        <f>CONCATENATE("Next, look to see if any of your ",inputPrYr!C5-2," expenditures can be")</f>
        <v>Next, look to see if any of your 2012 expenditures can be</v>
      </c>
    </row>
    <row r="29" ht="15">
      <c r="A29" s="381" t="s">
        <v>473</v>
      </c>
    </row>
    <row r="30" ht="15">
      <c r="A30" s="381" t="s">
        <v>474</v>
      </c>
    </row>
    <row r="31" ht="15">
      <c r="A31" s="381" t="s">
        <v>475</v>
      </c>
    </row>
    <row r="32" ht="15">
      <c r="A32" s="381"/>
    </row>
    <row r="33" ht="15">
      <c r="A33" s="381" t="str">
        <f>CONCATENATE("Additionally, do your ",inputPrYr!C5-2," receipts contain a reimbursement")</f>
        <v>Additionally, do your 2012 receipts contain a reimbursement</v>
      </c>
    </row>
    <row r="34" ht="15">
      <c r="A34" s="381" t="s">
        <v>476</v>
      </c>
    </row>
    <row r="35" ht="15">
      <c r="A35" s="381" t="s">
        <v>477</v>
      </c>
    </row>
    <row r="36" ht="15">
      <c r="A36" s="381"/>
    </row>
    <row r="37" ht="15">
      <c r="A37" s="381" t="s">
        <v>478</v>
      </c>
    </row>
    <row r="38" ht="15">
      <c r="A38" s="381" t="s">
        <v>479</v>
      </c>
    </row>
    <row r="39" ht="15">
      <c r="A39" s="381" t="s">
        <v>480</v>
      </c>
    </row>
    <row r="40" ht="15">
      <c r="A40" s="381" t="s">
        <v>481</v>
      </c>
    </row>
    <row r="41" ht="15">
      <c r="A41" s="381" t="s">
        <v>482</v>
      </c>
    </row>
    <row r="42" ht="15">
      <c r="A42" s="381" t="s">
        <v>483</v>
      </c>
    </row>
    <row r="43" ht="15">
      <c r="A43" s="381" t="s">
        <v>484</v>
      </c>
    </row>
    <row r="44" ht="15">
      <c r="A44" s="381" t="s">
        <v>485</v>
      </c>
    </row>
    <row r="45" ht="15">
      <c r="A45" s="381"/>
    </row>
    <row r="46" ht="15">
      <c r="A46" s="381" t="s">
        <v>486</v>
      </c>
    </row>
    <row r="47" ht="15">
      <c r="A47" s="381" t="s">
        <v>487</v>
      </c>
    </row>
    <row r="48" ht="15">
      <c r="A48" s="381" t="s">
        <v>488</v>
      </c>
    </row>
    <row r="49" ht="15">
      <c r="A49" s="381"/>
    </row>
    <row r="50" ht="15">
      <c r="A50" s="381" t="s">
        <v>489</v>
      </c>
    </row>
    <row r="51" ht="15">
      <c r="A51" s="381" t="s">
        <v>490</v>
      </c>
    </row>
    <row r="52" ht="15">
      <c r="A52" s="381" t="s">
        <v>491</v>
      </c>
    </row>
    <row r="53" ht="15">
      <c r="A53" s="381"/>
    </row>
    <row r="54" ht="15">
      <c r="A54" s="380" t="s">
        <v>492</v>
      </c>
    </row>
    <row r="55" ht="15">
      <c r="A55" s="381"/>
    </row>
    <row r="56" ht="15">
      <c r="A56" s="381" t="s">
        <v>493</v>
      </c>
    </row>
    <row r="57" ht="15">
      <c r="A57" s="381" t="s">
        <v>494</v>
      </c>
    </row>
    <row r="58" ht="15">
      <c r="A58" s="381" t="s">
        <v>495</v>
      </c>
    </row>
    <row r="59" ht="15">
      <c r="A59" s="381" t="s">
        <v>496</v>
      </c>
    </row>
    <row r="60" ht="15">
      <c r="A60" s="381" t="s">
        <v>497</v>
      </c>
    </row>
    <row r="61" ht="15">
      <c r="A61" s="381" t="s">
        <v>498</v>
      </c>
    </row>
    <row r="62" ht="15">
      <c r="A62" s="381" t="s">
        <v>499</v>
      </c>
    </row>
    <row r="63" ht="15">
      <c r="A63" s="381" t="s">
        <v>500</v>
      </c>
    </row>
    <row r="64" ht="15">
      <c r="A64" s="381" t="s">
        <v>501</v>
      </c>
    </row>
    <row r="65" ht="15">
      <c r="A65" s="381" t="s">
        <v>502</v>
      </c>
    </row>
    <row r="66" ht="15">
      <c r="A66" s="381" t="s">
        <v>503</v>
      </c>
    </row>
    <row r="67" ht="15">
      <c r="A67" s="381" t="s">
        <v>504</v>
      </c>
    </row>
    <row r="68" ht="15">
      <c r="A68" s="381" t="s">
        <v>505</v>
      </c>
    </row>
    <row r="69" ht="15">
      <c r="A69" s="381"/>
    </row>
    <row r="70" ht="15">
      <c r="A70" s="381" t="s">
        <v>506</v>
      </c>
    </row>
    <row r="71" ht="15">
      <c r="A71" s="381" t="s">
        <v>507</v>
      </c>
    </row>
    <row r="72" ht="15">
      <c r="A72" s="381" t="s">
        <v>508</v>
      </c>
    </row>
    <row r="73" ht="15">
      <c r="A73" s="381"/>
    </row>
    <row r="74" ht="15">
      <c r="A74" s="380" t="str">
        <f>CONCATENATE("What if the ",inputPrYr!C5-2," financial records have been closed?")</f>
        <v>What if the 2012 financial records have been closed?</v>
      </c>
    </row>
    <row r="76" ht="15">
      <c r="A76" s="381" t="s">
        <v>509</v>
      </c>
    </row>
    <row r="77" ht="15">
      <c r="A77" s="381" t="str">
        <f>CONCATENATE("(i.e. an audit for ",inputPrYr!C5-2," has been completed, or the ",inputPrYr!C5)</f>
        <v>(i.e. an audit for 2012 has been completed, or the 2014</v>
      </c>
    </row>
    <row r="78" ht="15">
      <c r="A78" s="381" t="s">
        <v>510</v>
      </c>
    </row>
    <row r="79" ht="15">
      <c r="A79" s="381" t="s">
        <v>511</v>
      </c>
    </row>
    <row r="80" ht="15">
      <c r="A80" s="381"/>
    </row>
    <row r="81" ht="15">
      <c r="A81" s="381" t="s">
        <v>512</v>
      </c>
    </row>
    <row r="82" ht="15">
      <c r="A82" s="381" t="s">
        <v>513</v>
      </c>
    </row>
    <row r="83" ht="15">
      <c r="A83" s="381" t="s">
        <v>514</v>
      </c>
    </row>
    <row r="84" ht="15">
      <c r="A84" s="381"/>
    </row>
    <row r="85" ht="15">
      <c r="A85" s="381"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2" t="s">
        <v>403</v>
      </c>
      <c r="B3" s="382"/>
      <c r="C3" s="382"/>
      <c r="D3" s="382"/>
      <c r="E3" s="382"/>
      <c r="F3" s="382"/>
      <c r="G3" s="382"/>
      <c r="H3" s="383"/>
      <c r="I3" s="383"/>
      <c r="J3" s="383"/>
    </row>
    <row r="5" ht="15">
      <c r="A5" s="381"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0" t="s">
        <v>409</v>
      </c>
    </row>
    <row r="14" ht="15">
      <c r="A14" s="380"/>
    </row>
    <row r="15" ht="15">
      <c r="A15" s="381" t="s">
        <v>410</v>
      </c>
    </row>
    <row r="16" ht="15">
      <c r="A16" s="381" t="s">
        <v>411</v>
      </c>
    </row>
    <row r="17" ht="15">
      <c r="A17" s="381" t="s">
        <v>412</v>
      </c>
    </row>
    <row r="18" ht="15">
      <c r="A18" s="381"/>
    </row>
    <row r="19" ht="15">
      <c r="A19" s="380" t="s">
        <v>413</v>
      </c>
    </row>
    <row r="20" ht="15">
      <c r="A20" s="380"/>
    </row>
    <row r="21" ht="15">
      <c r="A21" s="381" t="s">
        <v>414</v>
      </c>
    </row>
    <row r="22" ht="15">
      <c r="A22" s="381" t="s">
        <v>415</v>
      </c>
    </row>
    <row r="23" ht="15">
      <c r="A23" s="381" t="s">
        <v>416</v>
      </c>
    </row>
    <row r="24" ht="15">
      <c r="A24" s="381"/>
    </row>
    <row r="25" ht="15">
      <c r="A25" s="380" t="s">
        <v>417</v>
      </c>
    </row>
    <row r="26" ht="15">
      <c r="A26" s="380"/>
    </row>
    <row r="27" ht="15">
      <c r="A27" s="381" t="s">
        <v>418</v>
      </c>
    </row>
    <row r="28" ht="15">
      <c r="A28" s="381" t="s">
        <v>419</v>
      </c>
    </row>
    <row r="29" ht="15">
      <c r="A29" s="381" t="s">
        <v>420</v>
      </c>
    </row>
    <row r="30" ht="15">
      <c r="A30" s="381"/>
    </row>
    <row r="31" ht="15">
      <c r="A31" s="380" t="s">
        <v>421</v>
      </c>
    </row>
    <row r="32" ht="15">
      <c r="A32" s="380"/>
    </row>
    <row r="33" spans="1:8" ht="15">
      <c r="A33" s="381" t="str">
        <f>CONCATENATE("If your financial records for ",inputPrYr!C5-2," are not closed")</f>
        <v>If your financial records for 2012 are not closed</v>
      </c>
      <c r="B33" s="381"/>
      <c r="C33" s="381"/>
      <c r="D33" s="381"/>
      <c r="E33" s="381"/>
      <c r="F33" s="381"/>
      <c r="G33" s="381"/>
      <c r="H33" s="381"/>
    </row>
    <row r="34" spans="1:8" ht="15">
      <c r="A34" s="381" t="str">
        <f>CONCATENATE("(i.e. an audit has not been completed, or the ",inputPrYr!C5," adopted ")</f>
        <v>(i.e. an audit has not been completed, or the 2014 adopted </v>
      </c>
      <c r="B34" s="381"/>
      <c r="C34" s="381"/>
      <c r="D34" s="381"/>
      <c r="E34" s="381"/>
      <c r="F34" s="381"/>
      <c r="G34" s="381"/>
      <c r="H34" s="381"/>
    </row>
    <row r="35" spans="1:8" ht="15">
      <c r="A35" s="381" t="s">
        <v>422</v>
      </c>
      <c r="B35" s="381"/>
      <c r="C35" s="381"/>
      <c r="D35" s="381"/>
      <c r="E35" s="381"/>
      <c r="F35" s="381"/>
      <c r="G35" s="381"/>
      <c r="H35" s="381"/>
    </row>
    <row r="36" spans="1:8" ht="15">
      <c r="A36" s="381" t="s">
        <v>423</v>
      </c>
      <c r="B36" s="381"/>
      <c r="C36" s="381"/>
      <c r="D36" s="381"/>
      <c r="E36" s="381"/>
      <c r="F36" s="381"/>
      <c r="G36" s="381"/>
      <c r="H36" s="381"/>
    </row>
    <row r="37" spans="1:8" ht="15">
      <c r="A37" s="381" t="s">
        <v>424</v>
      </c>
      <c r="B37" s="381"/>
      <c r="C37" s="381"/>
      <c r="D37" s="381"/>
      <c r="E37" s="381"/>
      <c r="F37" s="381"/>
      <c r="G37" s="381"/>
      <c r="H37" s="381"/>
    </row>
    <row r="38" spans="1:8" ht="15">
      <c r="A38" s="381" t="s">
        <v>425</v>
      </c>
      <c r="B38" s="381"/>
      <c r="C38" s="381"/>
      <c r="D38" s="381"/>
      <c r="E38" s="381"/>
      <c r="F38" s="381"/>
      <c r="G38" s="381"/>
      <c r="H38" s="381"/>
    </row>
    <row r="39" spans="1:8" ht="15">
      <c r="A39" s="381" t="s">
        <v>426</v>
      </c>
      <c r="B39" s="381"/>
      <c r="C39" s="381"/>
      <c r="D39" s="381"/>
      <c r="E39" s="381"/>
      <c r="F39" s="381"/>
      <c r="G39" s="381"/>
      <c r="H39" s="381"/>
    </row>
    <row r="40" spans="1:8" ht="15">
      <c r="A40" s="381"/>
      <c r="B40" s="381"/>
      <c r="C40" s="381"/>
      <c r="D40" s="381"/>
      <c r="E40" s="381"/>
      <c r="F40" s="381"/>
      <c r="G40" s="381"/>
      <c r="H40" s="381"/>
    </row>
    <row r="41" spans="1:8" ht="15">
      <c r="A41" s="381" t="s">
        <v>427</v>
      </c>
      <c r="B41" s="381"/>
      <c r="C41" s="381"/>
      <c r="D41" s="381"/>
      <c r="E41" s="381"/>
      <c r="F41" s="381"/>
      <c r="G41" s="381"/>
      <c r="H41" s="381"/>
    </row>
    <row r="42" spans="1:8" ht="15">
      <c r="A42" s="381" t="s">
        <v>428</v>
      </c>
      <c r="B42" s="381"/>
      <c r="C42" s="381"/>
      <c r="D42" s="381"/>
      <c r="E42" s="381"/>
      <c r="F42" s="381"/>
      <c r="G42" s="381"/>
      <c r="H42" s="381"/>
    </row>
    <row r="43" spans="1:8" ht="15">
      <c r="A43" s="381" t="s">
        <v>429</v>
      </c>
      <c r="B43" s="381"/>
      <c r="C43" s="381"/>
      <c r="D43" s="381"/>
      <c r="E43" s="381"/>
      <c r="F43" s="381"/>
      <c r="G43" s="381"/>
      <c r="H43" s="381"/>
    </row>
    <row r="44" spans="1:8" ht="15">
      <c r="A44" s="381" t="s">
        <v>430</v>
      </c>
      <c r="B44" s="381"/>
      <c r="C44" s="381"/>
      <c r="D44" s="381"/>
      <c r="E44" s="381"/>
      <c r="F44" s="381"/>
      <c r="G44" s="381"/>
      <c r="H44" s="381"/>
    </row>
    <row r="45" spans="1:8" ht="15">
      <c r="A45" s="381"/>
      <c r="B45" s="381"/>
      <c r="C45" s="381"/>
      <c r="D45" s="381"/>
      <c r="E45" s="381"/>
      <c r="F45" s="381"/>
      <c r="G45" s="381"/>
      <c r="H45" s="381"/>
    </row>
    <row r="46" spans="1:8" ht="15">
      <c r="A46" s="381" t="s">
        <v>431</v>
      </c>
      <c r="B46" s="381"/>
      <c r="C46" s="381"/>
      <c r="D46" s="381"/>
      <c r="E46" s="381"/>
      <c r="F46" s="381"/>
      <c r="G46" s="381"/>
      <c r="H46" s="381"/>
    </row>
    <row r="47" spans="1:8" ht="15">
      <c r="A47" s="381" t="s">
        <v>432</v>
      </c>
      <c r="B47" s="381"/>
      <c r="C47" s="381"/>
      <c r="D47" s="381"/>
      <c r="E47" s="381"/>
      <c r="F47" s="381"/>
      <c r="G47" s="381"/>
      <c r="H47" s="381"/>
    </row>
    <row r="48" spans="1:8" ht="15">
      <c r="A48" s="381" t="s">
        <v>433</v>
      </c>
      <c r="B48" s="381"/>
      <c r="C48" s="381"/>
      <c r="D48" s="381"/>
      <c r="E48" s="381"/>
      <c r="F48" s="381"/>
      <c r="G48" s="381"/>
      <c r="H48" s="381"/>
    </row>
    <row r="49" spans="1:8" ht="15">
      <c r="A49" s="381" t="s">
        <v>434</v>
      </c>
      <c r="B49" s="381"/>
      <c r="C49" s="381"/>
      <c r="D49" s="381"/>
      <c r="E49" s="381"/>
      <c r="F49" s="381"/>
      <c r="G49" s="381"/>
      <c r="H49" s="381"/>
    </row>
    <row r="50" spans="1:8" ht="15">
      <c r="A50" s="381" t="s">
        <v>435</v>
      </c>
      <c r="B50" s="381"/>
      <c r="C50" s="381"/>
      <c r="D50" s="381"/>
      <c r="E50" s="381"/>
      <c r="F50" s="381"/>
      <c r="G50" s="381"/>
      <c r="H50" s="381"/>
    </row>
    <row r="51" spans="1:8" ht="15">
      <c r="A51" s="381"/>
      <c r="B51" s="381"/>
      <c r="C51" s="381"/>
      <c r="D51" s="381"/>
      <c r="E51" s="381"/>
      <c r="F51" s="381"/>
      <c r="G51" s="381"/>
      <c r="H51" s="381"/>
    </row>
    <row r="52" spans="1:8" ht="15">
      <c r="A52" s="380" t="s">
        <v>436</v>
      </c>
      <c r="B52" s="380"/>
      <c r="C52" s="380"/>
      <c r="D52" s="380"/>
      <c r="E52" s="380"/>
      <c r="F52" s="380"/>
      <c r="G52" s="380"/>
      <c r="H52" s="381"/>
    </row>
    <row r="53" spans="1:8" ht="15">
      <c r="A53" s="380" t="s">
        <v>437</v>
      </c>
      <c r="B53" s="380"/>
      <c r="C53" s="380"/>
      <c r="D53" s="380"/>
      <c r="E53" s="380"/>
      <c r="F53" s="380"/>
      <c r="G53" s="380"/>
      <c r="H53" s="381"/>
    </row>
    <row r="54" spans="1:8" ht="15">
      <c r="A54" s="381"/>
      <c r="B54" s="381"/>
      <c r="C54" s="381"/>
      <c r="D54" s="381"/>
      <c r="E54" s="381"/>
      <c r="F54" s="381"/>
      <c r="G54" s="381"/>
      <c r="H54" s="381"/>
    </row>
    <row r="55" spans="1:8" ht="15">
      <c r="A55" s="381" t="s">
        <v>438</v>
      </c>
      <c r="B55" s="381"/>
      <c r="C55" s="381"/>
      <c r="D55" s="381"/>
      <c r="E55" s="381"/>
      <c r="F55" s="381"/>
      <c r="G55" s="381"/>
      <c r="H55" s="381"/>
    </row>
    <row r="56" spans="1:8" ht="15">
      <c r="A56" s="381" t="s">
        <v>439</v>
      </c>
      <c r="B56" s="381"/>
      <c r="C56" s="381"/>
      <c r="D56" s="381"/>
      <c r="E56" s="381"/>
      <c r="F56" s="381"/>
      <c r="G56" s="381"/>
      <c r="H56" s="381"/>
    </row>
    <row r="57" spans="1:8" ht="15">
      <c r="A57" s="381" t="s">
        <v>440</v>
      </c>
      <c r="B57" s="381"/>
      <c r="C57" s="381"/>
      <c r="D57" s="381"/>
      <c r="E57" s="381"/>
      <c r="F57" s="381"/>
      <c r="G57" s="381"/>
      <c r="H57" s="381"/>
    </row>
    <row r="58" spans="1:8" ht="15">
      <c r="A58" s="381" t="s">
        <v>441</v>
      </c>
      <c r="B58" s="381"/>
      <c r="C58" s="381"/>
      <c r="D58" s="381"/>
      <c r="E58" s="381"/>
      <c r="F58" s="381"/>
      <c r="G58" s="381"/>
      <c r="H58" s="381"/>
    </row>
    <row r="59" spans="1:8" ht="15">
      <c r="A59" s="381"/>
      <c r="B59" s="381"/>
      <c r="C59" s="381"/>
      <c r="D59" s="381"/>
      <c r="E59" s="381"/>
      <c r="F59" s="381"/>
      <c r="G59" s="381"/>
      <c r="H59" s="381"/>
    </row>
    <row r="60" spans="1:8" ht="15">
      <c r="A60" s="381" t="s">
        <v>442</v>
      </c>
      <c r="B60" s="381"/>
      <c r="C60" s="381"/>
      <c r="D60" s="381"/>
      <c r="E60" s="381"/>
      <c r="F60" s="381"/>
      <c r="G60" s="381"/>
      <c r="H60" s="381"/>
    </row>
    <row r="61" spans="1:8" ht="15">
      <c r="A61" s="381" t="s">
        <v>443</v>
      </c>
      <c r="B61" s="381"/>
      <c r="C61" s="381"/>
      <c r="D61" s="381"/>
      <c r="E61" s="381"/>
      <c r="F61" s="381"/>
      <c r="G61" s="381"/>
      <c r="H61" s="381"/>
    </row>
    <row r="62" spans="1:8" ht="15">
      <c r="A62" s="381" t="s">
        <v>444</v>
      </c>
      <c r="B62" s="381"/>
      <c r="C62" s="381"/>
      <c r="D62" s="381"/>
      <c r="E62" s="381"/>
      <c r="F62" s="381"/>
      <c r="G62" s="381"/>
      <c r="H62" s="381"/>
    </row>
    <row r="63" spans="1:8" ht="15">
      <c r="A63" s="381" t="s">
        <v>445</v>
      </c>
      <c r="B63" s="381"/>
      <c r="C63" s="381"/>
      <c r="D63" s="381"/>
      <c r="E63" s="381"/>
      <c r="F63" s="381"/>
      <c r="G63" s="381"/>
      <c r="H63" s="381"/>
    </row>
    <row r="64" spans="1:8" ht="15">
      <c r="A64" s="381" t="s">
        <v>446</v>
      </c>
      <c r="B64" s="381"/>
      <c r="C64" s="381"/>
      <c r="D64" s="381"/>
      <c r="E64" s="381"/>
      <c r="F64" s="381"/>
      <c r="G64" s="381"/>
      <c r="H64" s="381"/>
    </row>
    <row r="65" spans="1:8" ht="15">
      <c r="A65" s="381" t="s">
        <v>447</v>
      </c>
      <c r="B65" s="381"/>
      <c r="C65" s="381"/>
      <c r="D65" s="381"/>
      <c r="E65" s="381"/>
      <c r="F65" s="381"/>
      <c r="G65" s="381"/>
      <c r="H65" s="381"/>
    </row>
    <row r="66" spans="1:8" ht="15">
      <c r="A66" s="381"/>
      <c r="B66" s="381"/>
      <c r="C66" s="381"/>
      <c r="D66" s="381"/>
      <c r="E66" s="381"/>
      <c r="F66" s="381"/>
      <c r="G66" s="381"/>
      <c r="H66" s="381"/>
    </row>
    <row r="67" spans="1:8" ht="15">
      <c r="A67" s="381" t="s">
        <v>448</v>
      </c>
      <c r="B67" s="381"/>
      <c r="C67" s="381"/>
      <c r="D67" s="381"/>
      <c r="E67" s="381"/>
      <c r="F67" s="381"/>
      <c r="G67" s="381"/>
      <c r="H67" s="381"/>
    </row>
    <row r="68" spans="1:8" ht="15">
      <c r="A68" s="381" t="s">
        <v>449</v>
      </c>
      <c r="B68" s="381"/>
      <c r="C68" s="381"/>
      <c r="D68" s="381"/>
      <c r="E68" s="381"/>
      <c r="F68" s="381"/>
      <c r="G68" s="381"/>
      <c r="H68" s="381"/>
    </row>
    <row r="69" spans="1:8" ht="15">
      <c r="A69" s="381" t="s">
        <v>450</v>
      </c>
      <c r="B69" s="381"/>
      <c r="C69" s="381"/>
      <c r="D69" s="381"/>
      <c r="E69" s="381"/>
      <c r="F69" s="381"/>
      <c r="G69" s="381"/>
      <c r="H69" s="381"/>
    </row>
    <row r="70" spans="1:8" ht="15">
      <c r="A70" s="381" t="s">
        <v>451</v>
      </c>
      <c r="B70" s="381"/>
      <c r="C70" s="381"/>
      <c r="D70" s="381"/>
      <c r="E70" s="381"/>
      <c r="F70" s="381"/>
      <c r="G70" s="381"/>
      <c r="H70" s="381"/>
    </row>
    <row r="71" spans="1:8" ht="15">
      <c r="A71" s="381" t="s">
        <v>452</v>
      </c>
      <c r="B71" s="381"/>
      <c r="C71" s="381"/>
      <c r="D71" s="381"/>
      <c r="E71" s="381"/>
      <c r="F71" s="381"/>
      <c r="G71" s="381"/>
      <c r="H71" s="381"/>
    </row>
    <row r="72" spans="1:8" ht="15">
      <c r="A72" s="381" t="s">
        <v>453</v>
      </c>
      <c r="B72" s="381"/>
      <c r="C72" s="381"/>
      <c r="D72" s="381"/>
      <c r="E72" s="381"/>
      <c r="F72" s="381"/>
      <c r="G72" s="381"/>
      <c r="H72" s="381"/>
    </row>
    <row r="73" spans="1:8" ht="15">
      <c r="A73" s="381" t="s">
        <v>454</v>
      </c>
      <c r="B73" s="381"/>
      <c r="C73" s="381"/>
      <c r="D73" s="381"/>
      <c r="E73" s="381"/>
      <c r="F73" s="381"/>
      <c r="G73" s="381"/>
      <c r="H73" s="381"/>
    </row>
    <row r="74" spans="1:8" ht="15">
      <c r="A74" s="381"/>
      <c r="B74" s="381"/>
      <c r="C74" s="381"/>
      <c r="D74" s="381"/>
      <c r="E74" s="381"/>
      <c r="F74" s="381"/>
      <c r="G74" s="381"/>
      <c r="H74" s="381"/>
    </row>
    <row r="75" spans="1:8" ht="15">
      <c r="A75" s="381" t="s">
        <v>455</v>
      </c>
      <c r="B75" s="381"/>
      <c r="C75" s="381"/>
      <c r="D75" s="381"/>
      <c r="E75" s="381"/>
      <c r="F75" s="381"/>
      <c r="G75" s="381"/>
      <c r="H75" s="381"/>
    </row>
    <row r="76" spans="1:8" ht="15">
      <c r="A76" s="381" t="s">
        <v>456</v>
      </c>
      <c r="B76" s="381"/>
      <c r="C76" s="381"/>
      <c r="D76" s="381"/>
      <c r="E76" s="381"/>
      <c r="F76" s="381"/>
      <c r="G76" s="381"/>
      <c r="H76" s="381"/>
    </row>
    <row r="77" spans="1:8" ht="15">
      <c r="A77" s="381" t="s">
        <v>457</v>
      </c>
      <c r="B77" s="381"/>
      <c r="C77" s="381"/>
      <c r="D77" s="381"/>
      <c r="E77" s="381"/>
      <c r="F77" s="381"/>
      <c r="G77" s="381"/>
      <c r="H77" s="381"/>
    </row>
    <row r="78" spans="1:8" ht="15">
      <c r="A78" s="381"/>
      <c r="B78" s="381"/>
      <c r="C78" s="381"/>
      <c r="D78" s="381"/>
      <c r="E78" s="381"/>
      <c r="F78" s="381"/>
      <c r="G78" s="381"/>
      <c r="H78" s="381"/>
    </row>
    <row r="79" ht="15">
      <c r="A79" s="381" t="s">
        <v>458</v>
      </c>
    </row>
    <row r="80" ht="15">
      <c r="A80" s="380"/>
    </row>
    <row r="81" ht="15">
      <c r="A81" s="381"/>
    </row>
    <row r="82" ht="15">
      <c r="A82" s="381"/>
    </row>
    <row r="83" ht="15">
      <c r="A83" s="381"/>
    </row>
    <row r="84" ht="15">
      <c r="A84" s="381"/>
    </row>
    <row r="85" ht="15">
      <c r="A85" s="381"/>
    </row>
    <row r="86" ht="15">
      <c r="A86" s="381"/>
    </row>
    <row r="87" ht="15">
      <c r="A87" s="381"/>
    </row>
    <row r="88" ht="15">
      <c r="A88" s="381"/>
    </row>
    <row r="89" ht="15">
      <c r="A89" s="381"/>
    </row>
    <row r="90" ht="15">
      <c r="A90" s="381"/>
    </row>
    <row r="91" ht="15">
      <c r="A91" s="381"/>
    </row>
    <row r="92" ht="15">
      <c r="A92" s="381"/>
    </row>
    <row r="93" ht="15">
      <c r="A93" s="381"/>
    </row>
    <row r="94" ht="15">
      <c r="A94" s="381"/>
    </row>
    <row r="95" ht="15">
      <c r="A95" s="381"/>
    </row>
    <row r="96" ht="15">
      <c r="A96" s="381"/>
    </row>
    <row r="97" ht="15">
      <c r="A97" s="381"/>
    </row>
    <row r="98" ht="15">
      <c r="A98" s="381"/>
    </row>
    <row r="99" ht="15">
      <c r="A99" s="381"/>
    </row>
    <row r="100" ht="15">
      <c r="A100" s="381"/>
    </row>
    <row r="101" ht="15">
      <c r="A101" s="381"/>
    </row>
    <row r="103" ht="15">
      <c r="A103" s="381"/>
    </row>
    <row r="104" ht="15">
      <c r="A104" s="381"/>
    </row>
    <row r="105" ht="15">
      <c r="A105" s="381"/>
    </row>
    <row r="107" ht="15">
      <c r="A107" s="380"/>
    </row>
    <row r="108" ht="15">
      <c r="A108" s="380"/>
    </row>
    <row r="109" ht="15">
      <c r="A109" s="38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2" t="s">
        <v>515</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1" t="s">
        <v>460</v>
      </c>
      <c r="I5" s="382"/>
      <c r="J5" s="382"/>
      <c r="K5" s="382"/>
      <c r="L5" s="382"/>
    </row>
    <row r="6" spans="1:12" ht="15">
      <c r="A6" s="381" t="str">
        <f>CONCATENATE("estimated ",inputPrYr!C5-1," 'total expenditures' exceed your ",inputPrYr!C5-1,"")</f>
        <v>estimated 2013 'total expenditures' exceed your 2013</v>
      </c>
      <c r="I6" s="382"/>
      <c r="J6" s="382"/>
      <c r="K6" s="382"/>
      <c r="L6" s="382"/>
    </row>
    <row r="7" spans="1:12" ht="15">
      <c r="A7" s="384" t="s">
        <v>516</v>
      </c>
      <c r="I7" s="382"/>
      <c r="J7" s="382"/>
      <c r="K7" s="382"/>
      <c r="L7" s="382"/>
    </row>
    <row r="8" spans="1:12" ht="15">
      <c r="A8" s="381"/>
      <c r="I8" s="382"/>
      <c r="J8" s="382"/>
      <c r="K8" s="382"/>
      <c r="L8" s="382"/>
    </row>
    <row r="9" spans="1:12" ht="15">
      <c r="A9" s="381" t="s">
        <v>517</v>
      </c>
      <c r="I9" s="382"/>
      <c r="J9" s="382"/>
      <c r="K9" s="382"/>
      <c r="L9" s="382"/>
    </row>
    <row r="10" spans="1:12" ht="15">
      <c r="A10" s="381" t="s">
        <v>518</v>
      </c>
      <c r="I10" s="382"/>
      <c r="J10" s="382"/>
      <c r="K10" s="382"/>
      <c r="L10" s="382"/>
    </row>
    <row r="11" spans="1:12" ht="15">
      <c r="A11" s="381" t="s">
        <v>519</v>
      </c>
      <c r="I11" s="382"/>
      <c r="J11" s="382"/>
      <c r="K11" s="382"/>
      <c r="L11" s="382"/>
    </row>
    <row r="12" spans="1:12" ht="15">
      <c r="A12" s="381" t="s">
        <v>520</v>
      </c>
      <c r="I12" s="382"/>
      <c r="J12" s="382"/>
      <c r="K12" s="382"/>
      <c r="L12" s="382"/>
    </row>
    <row r="13" spans="1:12" ht="15">
      <c r="A13" s="381" t="s">
        <v>521</v>
      </c>
      <c r="I13" s="382"/>
      <c r="J13" s="382"/>
      <c r="K13" s="382"/>
      <c r="L13" s="382"/>
    </row>
    <row r="14" spans="1:12" ht="15">
      <c r="A14" s="382"/>
      <c r="B14" s="382"/>
      <c r="C14" s="382"/>
      <c r="D14" s="382"/>
      <c r="E14" s="382"/>
      <c r="F14" s="382"/>
      <c r="G14" s="382"/>
      <c r="H14" s="382"/>
      <c r="I14" s="382"/>
      <c r="J14" s="382"/>
      <c r="K14" s="382"/>
      <c r="L14" s="382"/>
    </row>
    <row r="15" ht="15">
      <c r="A15" s="380" t="s">
        <v>522</v>
      </c>
    </row>
    <row r="16" ht="15">
      <c r="A16" s="380" t="s">
        <v>523</v>
      </c>
    </row>
    <row r="17" ht="15">
      <c r="A17" s="380"/>
    </row>
    <row r="18" spans="1:7" ht="15">
      <c r="A18" s="381" t="s">
        <v>524</v>
      </c>
      <c r="B18" s="381"/>
      <c r="C18" s="381"/>
      <c r="D18" s="381"/>
      <c r="E18" s="381"/>
      <c r="F18" s="381"/>
      <c r="G18" s="381"/>
    </row>
    <row r="19" spans="1:7" ht="15">
      <c r="A19" s="381" t="str">
        <f>CONCATENATE("your ",inputPrYr!C5-1," numbers to see what steps might be necessary to")</f>
        <v>your 2013 numbers to see what steps might be necessary to</v>
      </c>
      <c r="B19" s="381"/>
      <c r="C19" s="381"/>
      <c r="D19" s="381"/>
      <c r="E19" s="381"/>
      <c r="F19" s="381"/>
      <c r="G19" s="381"/>
    </row>
    <row r="20" spans="1:7" ht="15">
      <c r="A20" s="381" t="s">
        <v>525</v>
      </c>
      <c r="B20" s="381"/>
      <c r="C20" s="381"/>
      <c r="D20" s="381"/>
      <c r="E20" s="381"/>
      <c r="F20" s="381"/>
      <c r="G20" s="381"/>
    </row>
    <row r="21" spans="1:7" ht="15">
      <c r="A21" s="381" t="s">
        <v>526</v>
      </c>
      <c r="B21" s="381"/>
      <c r="C21" s="381"/>
      <c r="D21" s="381"/>
      <c r="E21" s="381"/>
      <c r="F21" s="381"/>
      <c r="G21" s="381"/>
    </row>
    <row r="22" ht="15">
      <c r="A22" s="381"/>
    </row>
    <row r="23" ht="15">
      <c r="A23" s="380" t="s">
        <v>527</v>
      </c>
    </row>
    <row r="24" ht="15">
      <c r="A24" s="380"/>
    </row>
    <row r="25" ht="15">
      <c r="A25" s="381" t="s">
        <v>528</v>
      </c>
    </row>
    <row r="26" spans="1:6" ht="15">
      <c r="A26" s="381" t="s">
        <v>529</v>
      </c>
      <c r="B26" s="381"/>
      <c r="C26" s="381"/>
      <c r="D26" s="381"/>
      <c r="E26" s="381"/>
      <c r="F26" s="381"/>
    </row>
    <row r="27" spans="1:6" ht="15">
      <c r="A27" s="381" t="s">
        <v>530</v>
      </c>
      <c r="B27" s="381"/>
      <c r="C27" s="381"/>
      <c r="D27" s="381"/>
      <c r="E27" s="381"/>
      <c r="F27" s="381"/>
    </row>
    <row r="28" spans="1:6" ht="15">
      <c r="A28" s="381" t="s">
        <v>531</v>
      </c>
      <c r="B28" s="381"/>
      <c r="C28" s="381"/>
      <c r="D28" s="381"/>
      <c r="E28" s="381"/>
      <c r="F28" s="381"/>
    </row>
    <row r="29" spans="1:6" ht="15">
      <c r="A29" s="381"/>
      <c r="B29" s="381"/>
      <c r="C29" s="381"/>
      <c r="D29" s="381"/>
      <c r="E29" s="381"/>
      <c r="F29" s="381"/>
    </row>
    <row r="30" spans="1:7" ht="15">
      <c r="A30" s="380" t="s">
        <v>532</v>
      </c>
      <c r="B30" s="380"/>
      <c r="C30" s="380"/>
      <c r="D30" s="380"/>
      <c r="E30" s="380"/>
      <c r="F30" s="380"/>
      <c r="G30" s="380"/>
    </row>
    <row r="31" spans="1:7" ht="15">
      <c r="A31" s="380" t="s">
        <v>533</v>
      </c>
      <c r="B31" s="380"/>
      <c r="C31" s="380"/>
      <c r="D31" s="380"/>
      <c r="E31" s="380"/>
      <c r="F31" s="380"/>
      <c r="G31" s="380"/>
    </row>
    <row r="32" spans="1:6" ht="15">
      <c r="A32" s="381"/>
      <c r="B32" s="381"/>
      <c r="C32" s="381"/>
      <c r="D32" s="381"/>
      <c r="E32" s="381"/>
      <c r="F32" s="381"/>
    </row>
    <row r="33" spans="1:6" ht="15">
      <c r="A33" s="385" t="str">
        <f>CONCATENATE("Well, let's look to see if any of your ",inputPrYr!C5-1," expenditures can")</f>
        <v>Well, let's look to see if any of your 2013 expenditures can</v>
      </c>
      <c r="B33" s="381"/>
      <c r="C33" s="381"/>
      <c r="D33" s="381"/>
      <c r="E33" s="381"/>
      <c r="F33" s="381"/>
    </row>
    <row r="34" spans="1:6" ht="15">
      <c r="A34" s="385" t="s">
        <v>534</v>
      </c>
      <c r="B34" s="381"/>
      <c r="C34" s="381"/>
      <c r="D34" s="381"/>
      <c r="E34" s="381"/>
      <c r="F34" s="381"/>
    </row>
    <row r="35" spans="1:6" ht="15">
      <c r="A35" s="385" t="s">
        <v>474</v>
      </c>
      <c r="B35" s="381"/>
      <c r="C35" s="381"/>
      <c r="D35" s="381"/>
      <c r="E35" s="381"/>
      <c r="F35" s="381"/>
    </row>
    <row r="36" spans="1:6" ht="15">
      <c r="A36" s="385" t="s">
        <v>475</v>
      </c>
      <c r="B36" s="381"/>
      <c r="C36" s="381"/>
      <c r="D36" s="381"/>
      <c r="E36" s="381"/>
      <c r="F36" s="381"/>
    </row>
    <row r="37" spans="1:6" ht="15">
      <c r="A37" s="385"/>
      <c r="B37" s="381"/>
      <c r="C37" s="381"/>
      <c r="D37" s="381"/>
      <c r="E37" s="381"/>
      <c r="F37" s="381"/>
    </row>
    <row r="38" spans="1:6" ht="15">
      <c r="A38" s="385" t="str">
        <f>CONCATENATE("Additionally, do your ",inputPrYr!C5-1," receipts contain a reimbursement")</f>
        <v>Additionally, do your 2013 receipts contain a reimbursement</v>
      </c>
      <c r="B38" s="381"/>
      <c r="C38" s="381"/>
      <c r="D38" s="381"/>
      <c r="E38" s="381"/>
      <c r="F38" s="381"/>
    </row>
    <row r="39" spans="1:6" ht="15">
      <c r="A39" s="385" t="s">
        <v>476</v>
      </c>
      <c r="B39" s="381"/>
      <c r="C39" s="381"/>
      <c r="D39" s="381"/>
      <c r="E39" s="381"/>
      <c r="F39" s="381"/>
    </row>
    <row r="40" spans="1:6" ht="15">
      <c r="A40" s="385" t="s">
        <v>477</v>
      </c>
      <c r="B40" s="381"/>
      <c r="C40" s="381"/>
      <c r="D40" s="381"/>
      <c r="E40" s="381"/>
      <c r="F40" s="381"/>
    </row>
    <row r="41" spans="1:6" ht="15">
      <c r="A41" s="385"/>
      <c r="B41" s="381"/>
      <c r="C41" s="381"/>
      <c r="D41" s="381"/>
      <c r="E41" s="381"/>
      <c r="F41" s="381"/>
    </row>
    <row r="42" spans="1:6" ht="15">
      <c r="A42" s="385" t="s">
        <v>478</v>
      </c>
      <c r="B42" s="381"/>
      <c r="C42" s="381"/>
      <c r="D42" s="381"/>
      <c r="E42" s="381"/>
      <c r="F42" s="381"/>
    </row>
    <row r="43" spans="1:6" ht="15">
      <c r="A43" s="385" t="s">
        <v>479</v>
      </c>
      <c r="B43" s="381"/>
      <c r="C43" s="381"/>
      <c r="D43" s="381"/>
      <c r="E43" s="381"/>
      <c r="F43" s="381"/>
    </row>
    <row r="44" spans="1:6" ht="15">
      <c r="A44" s="385" t="s">
        <v>480</v>
      </c>
      <c r="B44" s="381"/>
      <c r="C44" s="381"/>
      <c r="D44" s="381"/>
      <c r="E44" s="381"/>
      <c r="F44" s="381"/>
    </row>
    <row r="45" spans="1:6" ht="15">
      <c r="A45" s="385" t="s">
        <v>535</v>
      </c>
      <c r="B45" s="381"/>
      <c r="C45" s="381"/>
      <c r="D45" s="381"/>
      <c r="E45" s="381"/>
      <c r="F45" s="381"/>
    </row>
    <row r="46" spans="1:6" ht="15">
      <c r="A46" s="385" t="s">
        <v>482</v>
      </c>
      <c r="B46" s="381"/>
      <c r="C46" s="381"/>
      <c r="D46" s="381"/>
      <c r="E46" s="381"/>
      <c r="F46" s="381"/>
    </row>
    <row r="47" spans="1:6" ht="15">
      <c r="A47" s="385" t="s">
        <v>536</v>
      </c>
      <c r="B47" s="381"/>
      <c r="C47" s="381"/>
      <c r="D47" s="381"/>
      <c r="E47" s="381"/>
      <c r="F47" s="381"/>
    </row>
    <row r="48" spans="1:6" ht="15">
      <c r="A48" s="385" t="s">
        <v>537</v>
      </c>
      <c r="B48" s="381"/>
      <c r="C48" s="381"/>
      <c r="D48" s="381"/>
      <c r="E48" s="381"/>
      <c r="F48" s="381"/>
    </row>
    <row r="49" spans="1:6" ht="15">
      <c r="A49" s="385" t="s">
        <v>485</v>
      </c>
      <c r="B49" s="381"/>
      <c r="C49" s="381"/>
      <c r="D49" s="381"/>
      <c r="E49" s="381"/>
      <c r="F49" s="381"/>
    </row>
    <row r="50" spans="1:6" ht="15">
      <c r="A50" s="385"/>
      <c r="B50" s="381"/>
      <c r="C50" s="381"/>
      <c r="D50" s="381"/>
      <c r="E50" s="381"/>
      <c r="F50" s="381"/>
    </row>
    <row r="51" spans="1:6" ht="15">
      <c r="A51" s="385" t="s">
        <v>486</v>
      </c>
      <c r="B51" s="381"/>
      <c r="C51" s="381"/>
      <c r="D51" s="381"/>
      <c r="E51" s="381"/>
      <c r="F51" s="381"/>
    </row>
    <row r="52" spans="1:6" ht="15">
      <c r="A52" s="385" t="s">
        <v>487</v>
      </c>
      <c r="B52" s="381"/>
      <c r="C52" s="381"/>
      <c r="D52" s="381"/>
      <c r="E52" s="381"/>
      <c r="F52" s="381"/>
    </row>
    <row r="53" spans="1:6" ht="15">
      <c r="A53" s="385" t="s">
        <v>488</v>
      </c>
      <c r="B53" s="381"/>
      <c r="C53" s="381"/>
      <c r="D53" s="381"/>
      <c r="E53" s="381"/>
      <c r="F53" s="381"/>
    </row>
    <row r="54" spans="1:6" ht="15">
      <c r="A54" s="385"/>
      <c r="B54" s="381"/>
      <c r="C54" s="381"/>
      <c r="D54" s="381"/>
      <c r="E54" s="381"/>
      <c r="F54" s="381"/>
    </row>
    <row r="55" spans="1:6" ht="15">
      <c r="A55" s="385" t="s">
        <v>538</v>
      </c>
      <c r="B55" s="381"/>
      <c r="C55" s="381"/>
      <c r="D55" s="381"/>
      <c r="E55" s="381"/>
      <c r="F55" s="381"/>
    </row>
    <row r="56" spans="1:6" ht="15">
      <c r="A56" s="385" t="s">
        <v>539</v>
      </c>
      <c r="B56" s="381"/>
      <c r="C56" s="381"/>
      <c r="D56" s="381"/>
      <c r="E56" s="381"/>
      <c r="F56" s="381"/>
    </row>
    <row r="57" spans="1:6" ht="15">
      <c r="A57" s="385" t="s">
        <v>540</v>
      </c>
      <c r="B57" s="381"/>
      <c r="C57" s="381"/>
      <c r="D57" s="381"/>
      <c r="E57" s="381"/>
      <c r="F57" s="381"/>
    </row>
    <row r="58" spans="1:6" ht="15">
      <c r="A58" s="385" t="s">
        <v>541</v>
      </c>
      <c r="B58" s="381"/>
      <c r="C58" s="381"/>
      <c r="D58" s="381"/>
      <c r="E58" s="381"/>
      <c r="F58" s="381"/>
    </row>
    <row r="59" spans="1:6" ht="15">
      <c r="A59" s="385" t="s">
        <v>542</v>
      </c>
      <c r="B59" s="381"/>
      <c r="C59" s="381"/>
      <c r="D59" s="381"/>
      <c r="E59" s="381"/>
      <c r="F59" s="381"/>
    </row>
    <row r="60" spans="1:6" ht="15">
      <c r="A60" s="385"/>
      <c r="B60" s="381"/>
      <c r="C60" s="381"/>
      <c r="D60" s="381"/>
      <c r="E60" s="381"/>
      <c r="F60" s="381"/>
    </row>
    <row r="61" spans="1:6" ht="15">
      <c r="A61" s="386" t="s">
        <v>543</v>
      </c>
      <c r="B61" s="381"/>
      <c r="C61" s="381"/>
      <c r="D61" s="381"/>
      <c r="E61" s="381"/>
      <c r="F61" s="381"/>
    </row>
    <row r="62" spans="1:6" ht="15">
      <c r="A62" s="386" t="s">
        <v>544</v>
      </c>
      <c r="B62" s="381"/>
      <c r="C62" s="381"/>
      <c r="D62" s="381"/>
      <c r="E62" s="381"/>
      <c r="F62" s="381"/>
    </row>
    <row r="63" spans="1:6" ht="15">
      <c r="A63" s="386" t="s">
        <v>545</v>
      </c>
      <c r="B63" s="381"/>
      <c r="C63" s="381"/>
      <c r="D63" s="381"/>
      <c r="E63" s="381"/>
      <c r="F63" s="381"/>
    </row>
    <row r="64" ht="15">
      <c r="A64" s="386" t="s">
        <v>546</v>
      </c>
    </row>
    <row r="65" ht="15">
      <c r="A65" s="386" t="s">
        <v>547</v>
      </c>
    </row>
    <row r="66" ht="15">
      <c r="A66" s="386" t="s">
        <v>548</v>
      </c>
    </row>
    <row r="68" ht="15">
      <c r="A68" s="381" t="s">
        <v>549</v>
      </c>
    </row>
    <row r="69" ht="15">
      <c r="A69" s="381" t="s">
        <v>550</v>
      </c>
    </row>
    <row r="70" ht="15">
      <c r="A70" s="381" t="s">
        <v>551</v>
      </c>
    </row>
    <row r="71" ht="15">
      <c r="A71" s="381" t="s">
        <v>552</v>
      </c>
    </row>
    <row r="72" ht="15">
      <c r="A72" s="381" t="s">
        <v>553</v>
      </c>
    </row>
    <row r="73" ht="15">
      <c r="A73" s="381" t="s">
        <v>554</v>
      </c>
    </row>
    <row r="75" ht="15">
      <c r="A75" s="381"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2" t="s">
        <v>555</v>
      </c>
      <c r="B3" s="382"/>
      <c r="C3" s="382"/>
      <c r="D3" s="382"/>
      <c r="E3" s="382"/>
      <c r="F3" s="382"/>
      <c r="G3" s="382"/>
    </row>
    <row r="4" spans="1:7" ht="15">
      <c r="A4" s="382"/>
      <c r="B4" s="382"/>
      <c r="C4" s="382"/>
      <c r="D4" s="382"/>
      <c r="E4" s="382"/>
      <c r="F4" s="382"/>
      <c r="G4" s="382"/>
    </row>
    <row r="5" ht="15">
      <c r="A5" s="381" t="s">
        <v>404</v>
      </c>
    </row>
    <row r="6" ht="15">
      <c r="A6" s="381" t="str">
        <f>CONCATENATE(inputPrYr!C5," estimated expenditures show that at the end of this year")</f>
        <v>2014 estimated expenditures show that at the end of this year</v>
      </c>
    </row>
    <row r="7" ht="15">
      <c r="A7" s="381" t="s">
        <v>556</v>
      </c>
    </row>
    <row r="8" ht="15">
      <c r="A8" s="381" t="s">
        <v>557</v>
      </c>
    </row>
    <row r="10" ht="15">
      <c r="A10" t="s">
        <v>406</v>
      </c>
    </row>
    <row r="11" ht="15">
      <c r="A11" t="s">
        <v>407</v>
      </c>
    </row>
    <row r="12" ht="15">
      <c r="A12" t="s">
        <v>408</v>
      </c>
    </row>
    <row r="13" spans="1:7" ht="15">
      <c r="A13" s="382"/>
      <c r="B13" s="382"/>
      <c r="C13" s="382"/>
      <c r="D13" s="382"/>
      <c r="E13" s="382"/>
      <c r="F13" s="382"/>
      <c r="G13" s="382"/>
    </row>
    <row r="14" ht="15">
      <c r="A14" s="380" t="s">
        <v>558</v>
      </c>
    </row>
    <row r="15" ht="15">
      <c r="A15" s="381"/>
    </row>
    <row r="16" ht="15">
      <c r="A16" s="381" t="s">
        <v>559</v>
      </c>
    </row>
    <row r="17" ht="15">
      <c r="A17" s="381" t="s">
        <v>560</v>
      </c>
    </row>
    <row r="18" ht="15">
      <c r="A18" s="381" t="s">
        <v>561</v>
      </c>
    </row>
    <row r="19" ht="15">
      <c r="A19" s="381"/>
    </row>
    <row r="20" ht="15">
      <c r="A20" s="381" t="s">
        <v>562</v>
      </c>
    </row>
    <row r="21" ht="15">
      <c r="A21" s="381" t="s">
        <v>563</v>
      </c>
    </row>
    <row r="22" ht="15">
      <c r="A22" s="381" t="s">
        <v>564</v>
      </c>
    </row>
    <row r="23" ht="15">
      <c r="A23" s="381" t="s">
        <v>565</v>
      </c>
    </row>
    <row r="24" ht="15">
      <c r="A24" s="381"/>
    </row>
    <row r="25" ht="15">
      <c r="A25" s="380" t="s">
        <v>527</v>
      </c>
    </row>
    <row r="26" ht="15">
      <c r="A26" s="380"/>
    </row>
    <row r="27" ht="15">
      <c r="A27" s="381" t="s">
        <v>528</v>
      </c>
    </row>
    <row r="28" spans="1:6" ht="15">
      <c r="A28" s="381" t="s">
        <v>529</v>
      </c>
      <c r="B28" s="381"/>
      <c r="C28" s="381"/>
      <c r="D28" s="381"/>
      <c r="E28" s="381"/>
      <c r="F28" s="381"/>
    </row>
    <row r="29" spans="1:6" ht="15">
      <c r="A29" s="381" t="s">
        <v>530</v>
      </c>
      <c r="B29" s="381"/>
      <c r="C29" s="381"/>
      <c r="D29" s="381"/>
      <c r="E29" s="381"/>
      <c r="F29" s="381"/>
    </row>
    <row r="30" spans="1:6" ht="15">
      <c r="A30" s="381" t="s">
        <v>531</v>
      </c>
      <c r="B30" s="381"/>
      <c r="C30" s="381"/>
      <c r="D30" s="381"/>
      <c r="E30" s="381"/>
      <c r="F30" s="381"/>
    </row>
    <row r="31" ht="15">
      <c r="A31" s="381"/>
    </row>
    <row r="32" spans="1:7" ht="15">
      <c r="A32" s="380" t="s">
        <v>532</v>
      </c>
      <c r="B32" s="380"/>
      <c r="C32" s="380"/>
      <c r="D32" s="380"/>
      <c r="E32" s="380"/>
      <c r="F32" s="380"/>
      <c r="G32" s="380"/>
    </row>
    <row r="33" spans="1:7" ht="15">
      <c r="A33" s="380" t="s">
        <v>533</v>
      </c>
      <c r="B33" s="380"/>
      <c r="C33" s="380"/>
      <c r="D33" s="380"/>
      <c r="E33" s="380"/>
      <c r="F33" s="380"/>
      <c r="G33" s="380"/>
    </row>
    <row r="34" spans="1:7" ht="15">
      <c r="A34" s="380"/>
      <c r="B34" s="380"/>
      <c r="C34" s="380"/>
      <c r="D34" s="380"/>
      <c r="E34" s="380"/>
      <c r="F34" s="380"/>
      <c r="G34" s="380"/>
    </row>
    <row r="35" spans="1:7" ht="15">
      <c r="A35" s="381" t="s">
        <v>566</v>
      </c>
      <c r="B35" s="381"/>
      <c r="C35" s="381"/>
      <c r="D35" s="381"/>
      <c r="E35" s="381"/>
      <c r="F35" s="381"/>
      <c r="G35" s="381"/>
    </row>
    <row r="36" spans="1:7" ht="15">
      <c r="A36" s="381" t="s">
        <v>567</v>
      </c>
      <c r="B36" s="381"/>
      <c r="C36" s="381"/>
      <c r="D36" s="381"/>
      <c r="E36" s="381"/>
      <c r="F36" s="381"/>
      <c r="G36" s="381"/>
    </row>
    <row r="37" spans="1:7" ht="15">
      <c r="A37" s="381" t="s">
        <v>568</v>
      </c>
      <c r="B37" s="381"/>
      <c r="C37" s="381"/>
      <c r="D37" s="381"/>
      <c r="E37" s="381"/>
      <c r="F37" s="381"/>
      <c r="G37" s="381"/>
    </row>
    <row r="38" spans="1:7" ht="15">
      <c r="A38" s="381" t="s">
        <v>569</v>
      </c>
      <c r="B38" s="381"/>
      <c r="C38" s="381"/>
      <c r="D38" s="381"/>
      <c r="E38" s="381"/>
      <c r="F38" s="381"/>
      <c r="G38" s="381"/>
    </row>
    <row r="39" spans="1:7" ht="15">
      <c r="A39" s="381" t="s">
        <v>570</v>
      </c>
      <c r="B39" s="381"/>
      <c r="C39" s="381"/>
      <c r="D39" s="381"/>
      <c r="E39" s="381"/>
      <c r="F39" s="381"/>
      <c r="G39" s="381"/>
    </row>
    <row r="40" spans="1:7" ht="15">
      <c r="A40" s="380"/>
      <c r="B40" s="380"/>
      <c r="C40" s="380"/>
      <c r="D40" s="380"/>
      <c r="E40" s="380"/>
      <c r="F40" s="380"/>
      <c r="G40" s="380"/>
    </row>
    <row r="41" spans="1:6" ht="15">
      <c r="A41" s="385" t="str">
        <f>CONCATENATE("So, let's look to see if any of your ",inputPrYr!C5-1," expenditures can")</f>
        <v>So, let's look to see if any of your 2013 expenditures can</v>
      </c>
      <c r="B41" s="381"/>
      <c r="C41" s="381"/>
      <c r="D41" s="381"/>
      <c r="E41" s="381"/>
      <c r="F41" s="381"/>
    </row>
    <row r="42" spans="1:6" ht="15">
      <c r="A42" s="385" t="s">
        <v>534</v>
      </c>
      <c r="B42" s="381"/>
      <c r="C42" s="381"/>
      <c r="D42" s="381"/>
      <c r="E42" s="381"/>
      <c r="F42" s="381"/>
    </row>
    <row r="43" spans="1:6" ht="15">
      <c r="A43" s="385" t="s">
        <v>474</v>
      </c>
      <c r="B43" s="381"/>
      <c r="C43" s="381"/>
      <c r="D43" s="381"/>
      <c r="E43" s="381"/>
      <c r="F43" s="381"/>
    </row>
    <row r="44" spans="1:6" ht="15">
      <c r="A44" s="385" t="s">
        <v>475</v>
      </c>
      <c r="B44" s="381"/>
      <c r="C44" s="381"/>
      <c r="D44" s="381"/>
      <c r="E44" s="381"/>
      <c r="F44" s="381"/>
    </row>
    <row r="45" ht="15">
      <c r="A45" s="381"/>
    </row>
    <row r="46" spans="1:6" ht="15">
      <c r="A46" s="385" t="str">
        <f>CONCATENATE("Additionally, do your ",inputPrYr!C5-1," receipts contain a reimbursement")</f>
        <v>Additionally, do your 2013 receipts contain a reimbursement</v>
      </c>
      <c r="B46" s="381"/>
      <c r="C46" s="381"/>
      <c r="D46" s="381"/>
      <c r="E46" s="381"/>
      <c r="F46" s="381"/>
    </row>
    <row r="47" spans="1:6" ht="15">
      <c r="A47" s="385" t="s">
        <v>476</v>
      </c>
      <c r="B47" s="381"/>
      <c r="C47" s="381"/>
      <c r="D47" s="381"/>
      <c r="E47" s="381"/>
      <c r="F47" s="381"/>
    </row>
    <row r="48" spans="1:6" ht="15">
      <c r="A48" s="385" t="s">
        <v>477</v>
      </c>
      <c r="B48" s="381"/>
      <c r="C48" s="381"/>
      <c r="D48" s="381"/>
      <c r="E48" s="381"/>
      <c r="F48" s="381"/>
    </row>
    <row r="49" spans="1:7" ht="15">
      <c r="A49" s="381"/>
      <c r="B49" s="381"/>
      <c r="C49" s="381"/>
      <c r="D49" s="381"/>
      <c r="E49" s="381"/>
      <c r="F49" s="381"/>
      <c r="G49" s="381"/>
    </row>
    <row r="50" spans="1:7" ht="15">
      <c r="A50" s="381" t="s">
        <v>431</v>
      </c>
      <c r="B50" s="381"/>
      <c r="C50" s="381"/>
      <c r="D50" s="381"/>
      <c r="E50" s="381"/>
      <c r="F50" s="381"/>
      <c r="G50" s="381"/>
    </row>
    <row r="51" spans="1:7" ht="15">
      <c r="A51" s="381" t="s">
        <v>432</v>
      </c>
      <c r="B51" s="381"/>
      <c r="C51" s="381"/>
      <c r="D51" s="381"/>
      <c r="E51" s="381"/>
      <c r="F51" s="381"/>
      <c r="G51" s="381"/>
    </row>
    <row r="52" spans="1:7" ht="15">
      <c r="A52" s="381" t="s">
        <v>433</v>
      </c>
      <c r="B52" s="381"/>
      <c r="C52" s="381"/>
      <c r="D52" s="381"/>
      <c r="E52" s="381"/>
      <c r="F52" s="381"/>
      <c r="G52" s="381"/>
    </row>
    <row r="53" spans="1:7" ht="15">
      <c r="A53" s="381" t="s">
        <v>434</v>
      </c>
      <c r="B53" s="381"/>
      <c r="C53" s="381"/>
      <c r="D53" s="381"/>
      <c r="E53" s="381"/>
      <c r="F53" s="381"/>
      <c r="G53" s="381"/>
    </row>
    <row r="54" spans="1:7" ht="15">
      <c r="A54" s="381" t="s">
        <v>435</v>
      </c>
      <c r="B54" s="381"/>
      <c r="C54" s="381"/>
      <c r="D54" s="381"/>
      <c r="E54" s="381"/>
      <c r="F54" s="381"/>
      <c r="G54" s="381"/>
    </row>
    <row r="55" spans="1:7" ht="15">
      <c r="A55" s="381"/>
      <c r="B55" s="381"/>
      <c r="C55" s="381"/>
      <c r="D55" s="381"/>
      <c r="E55" s="381"/>
      <c r="F55" s="381"/>
      <c r="G55" s="381"/>
    </row>
    <row r="56" spans="1:6" ht="15">
      <c r="A56" s="385" t="s">
        <v>486</v>
      </c>
      <c r="B56" s="381"/>
      <c r="C56" s="381"/>
      <c r="D56" s="381"/>
      <c r="E56" s="381"/>
      <c r="F56" s="381"/>
    </row>
    <row r="57" spans="1:6" ht="15">
      <c r="A57" s="385" t="s">
        <v>487</v>
      </c>
      <c r="B57" s="381"/>
      <c r="C57" s="381"/>
      <c r="D57" s="381"/>
      <c r="E57" s="381"/>
      <c r="F57" s="381"/>
    </row>
    <row r="58" spans="1:6" ht="15">
      <c r="A58" s="385" t="s">
        <v>488</v>
      </c>
      <c r="B58" s="381"/>
      <c r="C58" s="381"/>
      <c r="D58" s="381"/>
      <c r="E58" s="381"/>
      <c r="F58" s="381"/>
    </row>
    <row r="59" spans="1:6" ht="15">
      <c r="A59" s="385"/>
      <c r="B59" s="381"/>
      <c r="C59" s="381"/>
      <c r="D59" s="381"/>
      <c r="E59" s="381"/>
      <c r="F59" s="381"/>
    </row>
    <row r="60" spans="1:7" ht="15">
      <c r="A60" s="381" t="s">
        <v>571</v>
      </c>
      <c r="B60" s="381"/>
      <c r="C60" s="381"/>
      <c r="D60" s="381"/>
      <c r="E60" s="381"/>
      <c r="F60" s="381"/>
      <c r="G60" s="381"/>
    </row>
    <row r="61" spans="1:7" ht="15">
      <c r="A61" s="381" t="s">
        <v>572</v>
      </c>
      <c r="B61" s="381"/>
      <c r="C61" s="381"/>
      <c r="D61" s="381"/>
      <c r="E61" s="381"/>
      <c r="F61" s="381"/>
      <c r="G61" s="381"/>
    </row>
    <row r="62" spans="1:7" ht="15">
      <c r="A62" s="381" t="s">
        <v>573</v>
      </c>
      <c r="B62" s="381"/>
      <c r="C62" s="381"/>
      <c r="D62" s="381"/>
      <c r="E62" s="381"/>
      <c r="F62" s="381"/>
      <c r="G62" s="381"/>
    </row>
    <row r="63" spans="1:7" ht="15">
      <c r="A63" s="381" t="s">
        <v>574</v>
      </c>
      <c r="B63" s="381"/>
      <c r="C63" s="381"/>
      <c r="D63" s="381"/>
      <c r="E63" s="381"/>
      <c r="F63" s="381"/>
      <c r="G63" s="381"/>
    </row>
    <row r="64" spans="1:7" ht="15">
      <c r="A64" s="381" t="s">
        <v>575</v>
      </c>
      <c r="B64" s="381"/>
      <c r="C64" s="381"/>
      <c r="D64" s="381"/>
      <c r="E64" s="381"/>
      <c r="F64" s="381"/>
      <c r="G64" s="381"/>
    </row>
    <row r="66" spans="1:6" ht="15">
      <c r="A66" s="385" t="s">
        <v>538</v>
      </c>
      <c r="B66" s="381"/>
      <c r="C66" s="381"/>
      <c r="D66" s="381"/>
      <c r="E66" s="381"/>
      <c r="F66" s="381"/>
    </row>
    <row r="67" spans="1:6" ht="15">
      <c r="A67" s="385" t="s">
        <v>539</v>
      </c>
      <c r="B67" s="381"/>
      <c r="C67" s="381"/>
      <c r="D67" s="381"/>
      <c r="E67" s="381"/>
      <c r="F67" s="381"/>
    </row>
    <row r="68" spans="1:6" ht="15">
      <c r="A68" s="385" t="s">
        <v>540</v>
      </c>
      <c r="B68" s="381"/>
      <c r="C68" s="381"/>
      <c r="D68" s="381"/>
      <c r="E68" s="381"/>
      <c r="F68" s="381"/>
    </row>
    <row r="69" spans="1:6" ht="15">
      <c r="A69" s="385" t="s">
        <v>541</v>
      </c>
      <c r="B69" s="381"/>
      <c r="C69" s="381"/>
      <c r="D69" s="381"/>
      <c r="E69" s="381"/>
      <c r="F69" s="381"/>
    </row>
    <row r="70" spans="1:6" ht="15">
      <c r="A70" s="385" t="s">
        <v>542</v>
      </c>
      <c r="B70" s="381"/>
      <c r="C70" s="381"/>
      <c r="D70" s="381"/>
      <c r="E70" s="381"/>
      <c r="F70" s="381"/>
    </row>
    <row r="71" ht="15">
      <c r="A71" s="381"/>
    </row>
    <row r="72" ht="15">
      <c r="A72" s="381" t="s">
        <v>458</v>
      </c>
    </row>
    <row r="73" ht="15">
      <c r="A73" s="381"/>
    </row>
    <row r="74" ht="15">
      <c r="A74" s="381"/>
    </row>
    <row r="75" ht="15">
      <c r="A75" s="381"/>
    </row>
    <row r="78" ht="15">
      <c r="A78" s="380"/>
    </row>
    <row r="80" ht="15">
      <c r="A80" s="381"/>
    </row>
    <row r="81" ht="15">
      <c r="A81" s="381"/>
    </row>
    <row r="82" ht="15">
      <c r="A82" s="381"/>
    </row>
    <row r="83" ht="15">
      <c r="A83" s="381"/>
    </row>
    <row r="84" ht="15">
      <c r="A84" s="381"/>
    </row>
    <row r="85" ht="15">
      <c r="A85" s="381"/>
    </row>
    <row r="86" ht="15">
      <c r="A86" s="381"/>
    </row>
    <row r="87" ht="15">
      <c r="A87" s="381"/>
    </row>
    <row r="88" ht="15">
      <c r="A88" s="381"/>
    </row>
    <row r="89" ht="15">
      <c r="A89" s="381"/>
    </row>
    <row r="90" ht="15">
      <c r="A90" s="381"/>
    </row>
    <row r="92" ht="15">
      <c r="A92" s="381"/>
    </row>
    <row r="93" ht="15">
      <c r="A93" s="381"/>
    </row>
    <row r="94" ht="15">
      <c r="A94" s="381"/>
    </row>
    <row r="95" ht="15">
      <c r="A95" s="381"/>
    </row>
    <row r="96" ht="15">
      <c r="A96" s="381"/>
    </row>
    <row r="97" ht="15">
      <c r="A97" s="381"/>
    </row>
    <row r="98" ht="15">
      <c r="A98" s="381"/>
    </row>
    <row r="99" ht="15">
      <c r="A99" s="381"/>
    </row>
    <row r="100" ht="15">
      <c r="A100" s="381"/>
    </row>
    <row r="101" ht="15">
      <c r="A101" s="381"/>
    </row>
    <row r="102" ht="15">
      <c r="A102" s="381"/>
    </row>
    <row r="103" ht="15">
      <c r="A103" s="381"/>
    </row>
    <row r="104" ht="15">
      <c r="A104" s="381"/>
    </row>
    <row r="105" ht="15">
      <c r="A105" s="381"/>
    </row>
    <row r="106" ht="15">
      <c r="A106" s="38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2" t="s">
        <v>576</v>
      </c>
      <c r="B3" s="382"/>
      <c r="C3" s="382"/>
      <c r="D3" s="382"/>
      <c r="E3" s="382"/>
      <c r="F3" s="382"/>
      <c r="G3" s="382"/>
    </row>
    <row r="4" spans="1:7" ht="15">
      <c r="A4" s="382" t="s">
        <v>577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1" t="s">
        <v>460</v>
      </c>
    </row>
    <row r="8" ht="15">
      <c r="A8" s="381" t="str">
        <f>CONCATENATE("estimated ",inputPrYr!C5," 'total expenditures' exceed your ",inputPrYr!C5,"")</f>
        <v>estimated 2014 'total expenditures' exceed your 2014</v>
      </c>
    </row>
    <row r="9" ht="15">
      <c r="A9" s="384" t="s">
        <v>578</v>
      </c>
    </row>
    <row r="10" ht="15">
      <c r="A10" s="381"/>
    </row>
    <row r="11" ht="15">
      <c r="A11" s="381" t="s">
        <v>579</v>
      </c>
    </row>
    <row r="12" ht="15">
      <c r="A12" s="381" t="s">
        <v>580</v>
      </c>
    </row>
    <row r="13" ht="15">
      <c r="A13" s="381" t="s">
        <v>581</v>
      </c>
    </row>
    <row r="14" ht="15">
      <c r="A14" s="381"/>
    </row>
    <row r="15" ht="15">
      <c r="A15" s="380" t="s">
        <v>582</v>
      </c>
    </row>
    <row r="16" spans="1:7" ht="15">
      <c r="A16" s="382"/>
      <c r="B16" s="382"/>
      <c r="C16" s="382"/>
      <c r="D16" s="382"/>
      <c r="E16" s="382"/>
      <c r="F16" s="382"/>
      <c r="G16" s="382"/>
    </row>
    <row r="17" spans="1:8" ht="15">
      <c r="A17" s="387" t="s">
        <v>583</v>
      </c>
      <c r="B17" s="370"/>
      <c r="C17" s="370"/>
      <c r="D17" s="370"/>
      <c r="E17" s="370"/>
      <c r="F17" s="370"/>
      <c r="G17" s="370"/>
      <c r="H17" s="370"/>
    </row>
    <row r="18" spans="1:7" ht="15">
      <c r="A18" s="381" t="s">
        <v>584</v>
      </c>
      <c r="B18" s="388"/>
      <c r="C18" s="388"/>
      <c r="D18" s="388"/>
      <c r="E18" s="388"/>
      <c r="F18" s="388"/>
      <c r="G18" s="388"/>
    </row>
    <row r="19" ht="15">
      <c r="A19" s="381" t="s">
        <v>585</v>
      </c>
    </row>
    <row r="20" ht="15">
      <c r="A20" s="381" t="s">
        <v>586</v>
      </c>
    </row>
    <row r="22" ht="15">
      <c r="A22" s="380" t="s">
        <v>587</v>
      </c>
    </row>
    <row r="24" ht="15">
      <c r="A24" s="381" t="s">
        <v>588</v>
      </c>
    </row>
    <row r="25" ht="15">
      <c r="A25" s="381" t="s">
        <v>589</v>
      </c>
    </row>
    <row r="26" ht="15">
      <c r="A26" s="381" t="s">
        <v>590</v>
      </c>
    </row>
    <row r="28" ht="15">
      <c r="A28" s="380" t="s">
        <v>591</v>
      </c>
    </row>
    <row r="30" ht="15">
      <c r="A30" t="s">
        <v>592</v>
      </c>
    </row>
    <row r="31" ht="15">
      <c r="A31" t="s">
        <v>593</v>
      </c>
    </row>
    <row r="32" ht="15">
      <c r="A32" t="s">
        <v>594</v>
      </c>
    </row>
    <row r="33" ht="15">
      <c r="A33" s="381"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1" t="s">
        <v>608</v>
      </c>
    </row>
    <row r="50" ht="15">
      <c r="A50" s="381"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31">
      <selection activeCell="F149" sqref="F149"/>
    </sheetView>
  </sheetViews>
  <sheetFormatPr defaultColWidth="8.796875" defaultRowHeight="15"/>
  <cols>
    <col min="1" max="1" width="7.59765625" style="522" customWidth="1"/>
    <col min="2" max="2" width="11.19921875" style="523" customWidth="1"/>
    <col min="3" max="3" width="7.3984375" style="523" customWidth="1"/>
    <col min="4" max="4" width="8.8984375" style="523" customWidth="1"/>
    <col min="5" max="5" width="1.59765625" style="523" customWidth="1"/>
    <col min="6" max="6" width="14.296875" style="523" customWidth="1"/>
    <col min="7" max="7" width="2.59765625" style="523" customWidth="1"/>
    <col min="8" max="8" width="9.796875" style="523" customWidth="1"/>
    <col min="9" max="9" width="2" style="523" customWidth="1"/>
    <col min="10" max="10" width="8.59765625" style="523" customWidth="1"/>
    <col min="11" max="11" width="11.69921875" style="523" customWidth="1"/>
    <col min="12" max="12" width="7.59765625" style="522" customWidth="1"/>
    <col min="13" max="14" width="8.8984375" style="522" customWidth="1"/>
    <col min="15" max="15" width="9.8984375" style="522" bestFit="1" customWidth="1"/>
    <col min="16" max="16384" width="8.8984375" style="522" customWidth="1"/>
  </cols>
  <sheetData>
    <row r="1" spans="1:12" ht="14.25">
      <c r="A1" s="570"/>
      <c r="B1" s="570"/>
      <c r="C1" s="570"/>
      <c r="D1" s="570"/>
      <c r="E1" s="570"/>
      <c r="F1" s="570"/>
      <c r="G1" s="570"/>
      <c r="H1" s="570"/>
      <c r="I1" s="570"/>
      <c r="J1" s="570"/>
      <c r="K1" s="570"/>
      <c r="L1" s="570"/>
    </row>
    <row r="2" spans="1:12" ht="14.25">
      <c r="A2" s="570"/>
      <c r="B2" s="570"/>
      <c r="C2" s="570"/>
      <c r="D2" s="570"/>
      <c r="E2" s="570"/>
      <c r="F2" s="570"/>
      <c r="G2" s="570"/>
      <c r="H2" s="570"/>
      <c r="I2" s="570"/>
      <c r="J2" s="570"/>
      <c r="K2" s="570"/>
      <c r="L2" s="570"/>
    </row>
    <row r="3" spans="1:12" ht="14.25">
      <c r="A3" s="570"/>
      <c r="B3" s="570"/>
      <c r="C3" s="570"/>
      <c r="D3" s="570"/>
      <c r="E3" s="570"/>
      <c r="F3" s="570"/>
      <c r="G3" s="570"/>
      <c r="H3" s="570"/>
      <c r="I3" s="570"/>
      <c r="J3" s="570"/>
      <c r="K3" s="570"/>
      <c r="L3" s="570"/>
    </row>
    <row r="4" spans="1:12" ht="14.25">
      <c r="A4" s="570"/>
      <c r="L4" s="570"/>
    </row>
    <row r="5" spans="1:12" ht="15" customHeight="1">
      <c r="A5" s="570"/>
      <c r="L5" s="570"/>
    </row>
    <row r="6" spans="1:12" ht="33" customHeight="1">
      <c r="A6" s="570"/>
      <c r="B6" s="898" t="s">
        <v>667</v>
      </c>
      <c r="C6" s="908"/>
      <c r="D6" s="908"/>
      <c r="E6" s="908"/>
      <c r="F6" s="908"/>
      <c r="G6" s="908"/>
      <c r="H6" s="908"/>
      <c r="I6" s="908"/>
      <c r="J6" s="908"/>
      <c r="K6" s="908"/>
      <c r="L6" s="571"/>
    </row>
    <row r="7" spans="1:12" ht="40.5" customHeight="1">
      <c r="A7" s="570"/>
      <c r="B7" s="909" t="s">
        <v>668</v>
      </c>
      <c r="C7" s="910"/>
      <c r="D7" s="910"/>
      <c r="E7" s="910"/>
      <c r="F7" s="910"/>
      <c r="G7" s="910"/>
      <c r="H7" s="910"/>
      <c r="I7" s="910"/>
      <c r="J7" s="910"/>
      <c r="K7" s="910"/>
      <c r="L7" s="570"/>
    </row>
    <row r="8" spans="1:12" ht="14.25">
      <c r="A8" s="570"/>
      <c r="B8" s="907" t="s">
        <v>669</v>
      </c>
      <c r="C8" s="907"/>
      <c r="D8" s="907"/>
      <c r="E8" s="907"/>
      <c r="F8" s="907"/>
      <c r="G8" s="907"/>
      <c r="H8" s="907"/>
      <c r="I8" s="907"/>
      <c r="J8" s="907"/>
      <c r="K8" s="907"/>
      <c r="L8" s="570"/>
    </row>
    <row r="9" spans="1:12" ht="14.25">
      <c r="A9" s="570"/>
      <c r="L9" s="570"/>
    </row>
    <row r="10" spans="1:12" ht="14.25">
      <c r="A10" s="570"/>
      <c r="B10" s="907" t="s">
        <v>670</v>
      </c>
      <c r="C10" s="907"/>
      <c r="D10" s="907"/>
      <c r="E10" s="907"/>
      <c r="F10" s="907"/>
      <c r="G10" s="907"/>
      <c r="H10" s="907"/>
      <c r="I10" s="907"/>
      <c r="J10" s="907"/>
      <c r="K10" s="907"/>
      <c r="L10" s="570"/>
    </row>
    <row r="11" spans="1:12" ht="14.25">
      <c r="A11" s="570"/>
      <c r="B11" s="587"/>
      <c r="C11" s="587"/>
      <c r="D11" s="587"/>
      <c r="E11" s="587"/>
      <c r="F11" s="587"/>
      <c r="G11" s="587"/>
      <c r="H11" s="587"/>
      <c r="I11" s="587"/>
      <c r="J11" s="587"/>
      <c r="K11" s="587"/>
      <c r="L11" s="570"/>
    </row>
    <row r="12" spans="1:12" ht="32.25" customHeight="1">
      <c r="A12" s="570"/>
      <c r="B12" s="902" t="s">
        <v>671</v>
      </c>
      <c r="C12" s="902"/>
      <c r="D12" s="902"/>
      <c r="E12" s="902"/>
      <c r="F12" s="902"/>
      <c r="G12" s="902"/>
      <c r="H12" s="902"/>
      <c r="I12" s="902"/>
      <c r="J12" s="902"/>
      <c r="K12" s="902"/>
      <c r="L12" s="570"/>
    </row>
    <row r="13" spans="1:12" ht="14.25">
      <c r="A13" s="570"/>
      <c r="L13" s="570"/>
    </row>
    <row r="14" spans="1:12" ht="14.25">
      <c r="A14" s="570"/>
      <c r="B14" s="517" t="s">
        <v>672</v>
      </c>
      <c r="L14" s="570"/>
    </row>
    <row r="15" spans="1:12" ht="14.25">
      <c r="A15" s="570"/>
      <c r="L15" s="570"/>
    </row>
    <row r="16" spans="1:12" ht="14.25">
      <c r="A16" s="570"/>
      <c r="B16" s="523" t="s">
        <v>673</v>
      </c>
      <c r="L16" s="570"/>
    </row>
    <row r="17" spans="1:12" ht="14.25">
      <c r="A17" s="570"/>
      <c r="B17" s="523" t="s">
        <v>674</v>
      </c>
      <c r="L17" s="570"/>
    </row>
    <row r="18" spans="1:12" ht="14.25">
      <c r="A18" s="570"/>
      <c r="L18" s="570"/>
    </row>
    <row r="19" spans="1:12" ht="14.25">
      <c r="A19" s="570"/>
      <c r="B19" s="517" t="s">
        <v>821</v>
      </c>
      <c r="L19" s="570"/>
    </row>
    <row r="20" spans="1:12" ht="14.25">
      <c r="A20" s="570"/>
      <c r="B20" s="517"/>
      <c r="L20" s="570"/>
    </row>
    <row r="21" spans="1:12" ht="14.25">
      <c r="A21" s="570"/>
      <c r="B21" s="523" t="s">
        <v>822</v>
      </c>
      <c r="L21" s="570"/>
    </row>
    <row r="22" spans="1:12" ht="14.25">
      <c r="A22" s="570"/>
      <c r="L22" s="570"/>
    </row>
    <row r="23" spans="1:12" ht="14.25">
      <c r="A23" s="570"/>
      <c r="B23" s="523" t="s">
        <v>675</v>
      </c>
      <c r="E23" s="523" t="s">
        <v>676</v>
      </c>
      <c r="F23" s="900">
        <v>3155579</v>
      </c>
      <c r="G23" s="900"/>
      <c r="L23" s="570"/>
    </row>
    <row r="24" spans="1:12" ht="14.25">
      <c r="A24" s="570"/>
      <c r="L24" s="570"/>
    </row>
    <row r="25" spans="1:12" ht="14.25">
      <c r="A25" s="570"/>
      <c r="C25" s="911">
        <f>F23</f>
        <v>3155579</v>
      </c>
      <c r="D25" s="911"/>
      <c r="E25" s="523" t="s">
        <v>677</v>
      </c>
      <c r="F25" s="524">
        <v>1000</v>
      </c>
      <c r="G25" s="524" t="s">
        <v>676</v>
      </c>
      <c r="H25" s="588">
        <f>F23/F25</f>
        <v>3155.579</v>
      </c>
      <c r="L25" s="570"/>
    </row>
    <row r="26" spans="1:12" ht="15" thickBot="1">
      <c r="A26" s="570"/>
      <c r="L26" s="570"/>
    </row>
    <row r="27" spans="1:12" ht="14.25">
      <c r="A27" s="570"/>
      <c r="B27" s="518" t="s">
        <v>672</v>
      </c>
      <c r="C27" s="525"/>
      <c r="D27" s="525"/>
      <c r="E27" s="525"/>
      <c r="F27" s="525"/>
      <c r="G27" s="525"/>
      <c r="H27" s="525"/>
      <c r="I27" s="525"/>
      <c r="J27" s="525"/>
      <c r="K27" s="526"/>
      <c r="L27" s="570"/>
    </row>
    <row r="28" spans="1:12" ht="14.25">
      <c r="A28" s="570"/>
      <c r="B28" s="527">
        <f>F23</f>
        <v>3155579</v>
      </c>
      <c r="C28" s="528" t="s">
        <v>678</v>
      </c>
      <c r="D28" s="528"/>
      <c r="E28" s="528" t="s">
        <v>677</v>
      </c>
      <c r="F28" s="592">
        <v>1000</v>
      </c>
      <c r="G28" s="592" t="s">
        <v>676</v>
      </c>
      <c r="H28" s="529">
        <f>B28/F28</f>
        <v>3155.579</v>
      </c>
      <c r="I28" s="528" t="s">
        <v>679</v>
      </c>
      <c r="J28" s="528"/>
      <c r="K28" s="530"/>
      <c r="L28" s="570"/>
    </row>
    <row r="29" spans="1:12" ht="15" thickBot="1">
      <c r="A29" s="570"/>
      <c r="B29" s="531"/>
      <c r="C29" s="532"/>
      <c r="D29" s="532"/>
      <c r="E29" s="532"/>
      <c r="F29" s="532"/>
      <c r="G29" s="532"/>
      <c r="H29" s="532"/>
      <c r="I29" s="532"/>
      <c r="J29" s="532"/>
      <c r="K29" s="533"/>
      <c r="L29" s="570"/>
    </row>
    <row r="30" spans="1:12" ht="40.5" customHeight="1">
      <c r="A30" s="570"/>
      <c r="B30" s="905" t="s">
        <v>668</v>
      </c>
      <c r="C30" s="905"/>
      <c r="D30" s="905"/>
      <c r="E30" s="905"/>
      <c r="F30" s="905"/>
      <c r="G30" s="905"/>
      <c r="H30" s="905"/>
      <c r="I30" s="905"/>
      <c r="J30" s="905"/>
      <c r="K30" s="905"/>
      <c r="L30" s="570"/>
    </row>
    <row r="31" spans="1:12" ht="14.25">
      <c r="A31" s="570"/>
      <c r="B31" s="907" t="s">
        <v>680</v>
      </c>
      <c r="C31" s="907"/>
      <c r="D31" s="907"/>
      <c r="E31" s="907"/>
      <c r="F31" s="907"/>
      <c r="G31" s="907"/>
      <c r="H31" s="907"/>
      <c r="I31" s="907"/>
      <c r="J31" s="907"/>
      <c r="K31" s="907"/>
      <c r="L31" s="570"/>
    </row>
    <row r="32" spans="1:12" ht="14.25">
      <c r="A32" s="570"/>
      <c r="L32" s="570"/>
    </row>
    <row r="33" spans="1:12" ht="14.25">
      <c r="A33" s="570"/>
      <c r="B33" s="907" t="s">
        <v>681</v>
      </c>
      <c r="C33" s="907"/>
      <c r="D33" s="907"/>
      <c r="E33" s="907"/>
      <c r="F33" s="907"/>
      <c r="G33" s="907"/>
      <c r="H33" s="907"/>
      <c r="I33" s="907"/>
      <c r="J33" s="907"/>
      <c r="K33" s="907"/>
      <c r="L33" s="570"/>
    </row>
    <row r="34" spans="1:12" ht="14.25">
      <c r="A34" s="570"/>
      <c r="L34" s="570"/>
    </row>
    <row r="35" spans="1:12" ht="89.25" customHeight="1">
      <c r="A35" s="570"/>
      <c r="B35" s="902" t="s">
        <v>682</v>
      </c>
      <c r="C35" s="906"/>
      <c r="D35" s="906"/>
      <c r="E35" s="906"/>
      <c r="F35" s="906"/>
      <c r="G35" s="906"/>
      <c r="H35" s="906"/>
      <c r="I35" s="906"/>
      <c r="J35" s="906"/>
      <c r="K35" s="906"/>
      <c r="L35" s="570"/>
    </row>
    <row r="36" spans="1:12" ht="14.25">
      <c r="A36" s="570"/>
      <c r="L36" s="570"/>
    </row>
    <row r="37" spans="1:12" ht="14.25">
      <c r="A37" s="570"/>
      <c r="B37" s="517" t="s">
        <v>683</v>
      </c>
      <c r="L37" s="570"/>
    </row>
    <row r="38" spans="1:12" ht="14.25">
      <c r="A38" s="570"/>
      <c r="L38" s="570"/>
    </row>
    <row r="39" spans="1:12" ht="14.25">
      <c r="A39" s="570"/>
      <c r="B39" s="523" t="s">
        <v>716</v>
      </c>
      <c r="L39" s="570"/>
    </row>
    <row r="40" spans="1:12" ht="14.25">
      <c r="A40" s="570"/>
      <c r="L40" s="570"/>
    </row>
    <row r="41" spans="1:12" ht="14.25">
      <c r="A41" s="570"/>
      <c r="C41" s="912">
        <v>312000000</v>
      </c>
      <c r="D41" s="912"/>
      <c r="E41" s="523" t="s">
        <v>677</v>
      </c>
      <c r="F41" s="524">
        <v>1000</v>
      </c>
      <c r="G41" s="524" t="s">
        <v>676</v>
      </c>
      <c r="H41" s="534">
        <f>C41/F41</f>
        <v>312000</v>
      </c>
      <c r="L41" s="570"/>
    </row>
    <row r="42" spans="1:12" ht="14.25">
      <c r="A42" s="570"/>
      <c r="L42" s="570"/>
    </row>
    <row r="43" spans="1:12" ht="14.25">
      <c r="A43" s="570"/>
      <c r="B43" s="523" t="s">
        <v>717</v>
      </c>
      <c r="L43" s="570"/>
    </row>
    <row r="44" spans="1:12" ht="14.25">
      <c r="A44" s="570"/>
      <c r="L44" s="570"/>
    </row>
    <row r="45" spans="1:12" ht="14.25">
      <c r="A45" s="570"/>
      <c r="B45" s="523" t="s">
        <v>684</v>
      </c>
      <c r="L45" s="570"/>
    </row>
    <row r="46" spans="1:12" ht="15" thickBot="1">
      <c r="A46" s="570"/>
      <c r="L46" s="570"/>
    </row>
    <row r="47" spans="1:12" ht="14.25">
      <c r="A47" s="570"/>
      <c r="B47" s="535" t="s">
        <v>672</v>
      </c>
      <c r="C47" s="525"/>
      <c r="D47" s="525"/>
      <c r="E47" s="525"/>
      <c r="F47" s="525"/>
      <c r="G47" s="525"/>
      <c r="H47" s="525"/>
      <c r="I47" s="525"/>
      <c r="J47" s="525"/>
      <c r="K47" s="526"/>
      <c r="L47" s="570"/>
    </row>
    <row r="48" spans="1:12" ht="14.25">
      <c r="A48" s="570"/>
      <c r="B48" s="913">
        <v>3155579</v>
      </c>
      <c r="C48" s="900"/>
      <c r="D48" s="528" t="s">
        <v>685</v>
      </c>
      <c r="E48" s="528" t="s">
        <v>677</v>
      </c>
      <c r="F48" s="631">
        <v>1000</v>
      </c>
      <c r="G48" s="631" t="s">
        <v>676</v>
      </c>
      <c r="H48" s="529">
        <f>B48/F48</f>
        <v>3155.579</v>
      </c>
      <c r="I48" s="528" t="s">
        <v>686</v>
      </c>
      <c r="J48" s="528"/>
      <c r="K48" s="530"/>
      <c r="L48" s="570"/>
    </row>
    <row r="49" spans="1:12" ht="14.25">
      <c r="A49" s="570"/>
      <c r="B49" s="536"/>
      <c r="C49" s="528"/>
      <c r="D49" s="528"/>
      <c r="E49" s="528"/>
      <c r="F49" s="528"/>
      <c r="G49" s="528"/>
      <c r="H49" s="528"/>
      <c r="I49" s="528"/>
      <c r="J49" s="528"/>
      <c r="K49" s="530"/>
      <c r="L49" s="570"/>
    </row>
    <row r="50" spans="1:12" ht="14.25">
      <c r="A50" s="570"/>
      <c r="B50" s="537">
        <v>50000</v>
      </c>
      <c r="C50" s="528" t="s">
        <v>687</v>
      </c>
      <c r="D50" s="528"/>
      <c r="E50" s="528" t="s">
        <v>677</v>
      </c>
      <c r="F50" s="529">
        <f>H48</f>
        <v>3155.579</v>
      </c>
      <c r="G50" s="914" t="s">
        <v>688</v>
      </c>
      <c r="H50" s="915"/>
      <c r="I50" s="631" t="s">
        <v>676</v>
      </c>
      <c r="J50" s="538">
        <f>B50/F50</f>
        <v>15.84495270123169</v>
      </c>
      <c r="K50" s="530"/>
      <c r="L50" s="570"/>
    </row>
    <row r="51" spans="1:15" ht="15" thickBot="1">
      <c r="A51" s="570"/>
      <c r="B51" s="531"/>
      <c r="C51" s="532"/>
      <c r="D51" s="532"/>
      <c r="E51" s="532"/>
      <c r="F51" s="532"/>
      <c r="G51" s="532"/>
      <c r="H51" s="532"/>
      <c r="I51" s="916" t="s">
        <v>689</v>
      </c>
      <c r="J51" s="916"/>
      <c r="K51" s="917"/>
      <c r="L51" s="570"/>
      <c r="O51" s="607"/>
    </row>
    <row r="52" spans="1:12" ht="40.5" customHeight="1">
      <c r="A52" s="570"/>
      <c r="B52" s="905" t="s">
        <v>668</v>
      </c>
      <c r="C52" s="905"/>
      <c r="D52" s="905"/>
      <c r="E52" s="905"/>
      <c r="F52" s="905"/>
      <c r="G52" s="905"/>
      <c r="H52" s="905"/>
      <c r="I52" s="905"/>
      <c r="J52" s="905"/>
      <c r="K52" s="905"/>
      <c r="L52" s="570"/>
    </row>
    <row r="53" spans="1:12" ht="14.25">
      <c r="A53" s="570"/>
      <c r="B53" s="907" t="s">
        <v>690</v>
      </c>
      <c r="C53" s="907"/>
      <c r="D53" s="907"/>
      <c r="E53" s="907"/>
      <c r="F53" s="907"/>
      <c r="G53" s="907"/>
      <c r="H53" s="907"/>
      <c r="I53" s="907"/>
      <c r="J53" s="907"/>
      <c r="K53" s="907"/>
      <c r="L53" s="570"/>
    </row>
    <row r="54" spans="1:12" ht="14.25">
      <c r="A54" s="570"/>
      <c r="B54" s="587"/>
      <c r="C54" s="587"/>
      <c r="D54" s="587"/>
      <c r="E54" s="587"/>
      <c r="F54" s="587"/>
      <c r="G54" s="587"/>
      <c r="H54" s="587"/>
      <c r="I54" s="587"/>
      <c r="J54" s="587"/>
      <c r="K54" s="587"/>
      <c r="L54" s="570"/>
    </row>
    <row r="55" spans="1:12" ht="14.25">
      <c r="A55" s="570"/>
      <c r="B55" s="898" t="s">
        <v>691</v>
      </c>
      <c r="C55" s="898"/>
      <c r="D55" s="898"/>
      <c r="E55" s="898"/>
      <c r="F55" s="898"/>
      <c r="G55" s="898"/>
      <c r="H55" s="898"/>
      <c r="I55" s="898"/>
      <c r="J55" s="898"/>
      <c r="K55" s="898"/>
      <c r="L55" s="570"/>
    </row>
    <row r="56" spans="1:12" ht="15" customHeight="1">
      <c r="A56" s="570"/>
      <c r="L56" s="570"/>
    </row>
    <row r="57" spans="1:24" ht="74.25" customHeight="1">
      <c r="A57" s="570"/>
      <c r="B57" s="902" t="s">
        <v>692</v>
      </c>
      <c r="C57" s="906"/>
      <c r="D57" s="906"/>
      <c r="E57" s="906"/>
      <c r="F57" s="906"/>
      <c r="G57" s="906"/>
      <c r="H57" s="906"/>
      <c r="I57" s="906"/>
      <c r="J57" s="906"/>
      <c r="K57" s="906"/>
      <c r="L57" s="570"/>
      <c r="M57" s="519"/>
      <c r="N57" s="539"/>
      <c r="O57" s="539"/>
      <c r="P57" s="539"/>
      <c r="Q57" s="539"/>
      <c r="R57" s="539"/>
      <c r="S57" s="539"/>
      <c r="T57" s="539"/>
      <c r="U57" s="539"/>
      <c r="V57" s="539"/>
      <c r="W57" s="539"/>
      <c r="X57" s="539"/>
    </row>
    <row r="58" spans="1:24" ht="15" customHeight="1">
      <c r="A58" s="570"/>
      <c r="B58" s="902"/>
      <c r="C58" s="906"/>
      <c r="D58" s="906"/>
      <c r="E58" s="906"/>
      <c r="F58" s="906"/>
      <c r="G58" s="906"/>
      <c r="H58" s="906"/>
      <c r="I58" s="906"/>
      <c r="J58" s="906"/>
      <c r="K58" s="906"/>
      <c r="L58" s="570"/>
      <c r="M58" s="519"/>
      <c r="N58" s="539"/>
      <c r="O58" s="539"/>
      <c r="P58" s="539"/>
      <c r="Q58" s="539"/>
      <c r="R58" s="539"/>
      <c r="S58" s="539"/>
      <c r="T58" s="539"/>
      <c r="U58" s="539"/>
      <c r="V58" s="539"/>
      <c r="W58" s="539"/>
      <c r="X58" s="539"/>
    </row>
    <row r="59" spans="1:24" ht="14.25">
      <c r="A59" s="570"/>
      <c r="B59" s="517" t="s">
        <v>683</v>
      </c>
      <c r="L59" s="570"/>
      <c r="M59" s="539"/>
      <c r="N59" s="539"/>
      <c r="O59" s="539"/>
      <c r="P59" s="539"/>
      <c r="Q59" s="539"/>
      <c r="R59" s="539"/>
      <c r="S59" s="539"/>
      <c r="T59" s="539"/>
      <c r="U59" s="539"/>
      <c r="V59" s="539"/>
      <c r="W59" s="539"/>
      <c r="X59" s="539"/>
    </row>
    <row r="60" spans="1:24" ht="14.25">
      <c r="A60" s="570"/>
      <c r="L60" s="570"/>
      <c r="M60" s="539"/>
      <c r="N60" s="539"/>
      <c r="O60" s="539"/>
      <c r="P60" s="539"/>
      <c r="Q60" s="539"/>
      <c r="R60" s="539"/>
      <c r="S60" s="539"/>
      <c r="T60" s="539"/>
      <c r="U60" s="539"/>
      <c r="V60" s="539"/>
      <c r="W60" s="539"/>
      <c r="X60" s="539"/>
    </row>
    <row r="61" spans="1:24" ht="14.25">
      <c r="A61" s="570"/>
      <c r="B61" s="523" t="s">
        <v>718</v>
      </c>
      <c r="L61" s="570"/>
      <c r="M61" s="539"/>
      <c r="N61" s="539"/>
      <c r="O61" s="539"/>
      <c r="P61" s="539"/>
      <c r="Q61" s="539"/>
      <c r="R61" s="539"/>
      <c r="S61" s="539"/>
      <c r="T61" s="539"/>
      <c r="U61" s="539"/>
      <c r="V61" s="539"/>
      <c r="W61" s="539"/>
      <c r="X61" s="539"/>
    </row>
    <row r="62" spans="1:24" ht="14.25">
      <c r="A62" s="570"/>
      <c r="B62" s="523" t="s">
        <v>823</v>
      </c>
      <c r="L62" s="570"/>
      <c r="M62" s="539"/>
      <c r="N62" s="539"/>
      <c r="O62" s="539"/>
      <c r="P62" s="539"/>
      <c r="Q62" s="539"/>
      <c r="R62" s="539"/>
      <c r="S62" s="539"/>
      <c r="T62" s="539"/>
      <c r="U62" s="539"/>
      <c r="V62" s="539"/>
      <c r="W62" s="539"/>
      <c r="X62" s="539"/>
    </row>
    <row r="63" spans="1:24" ht="14.25">
      <c r="A63" s="570"/>
      <c r="B63" s="523" t="s">
        <v>824</v>
      </c>
      <c r="L63" s="570"/>
      <c r="M63" s="539"/>
      <c r="N63" s="539"/>
      <c r="O63" s="539"/>
      <c r="P63" s="539"/>
      <c r="Q63" s="539"/>
      <c r="R63" s="539"/>
      <c r="S63" s="539"/>
      <c r="T63" s="539"/>
      <c r="U63" s="539"/>
      <c r="V63" s="539"/>
      <c r="W63" s="539"/>
      <c r="X63" s="539"/>
    </row>
    <row r="64" spans="1:24" ht="14.25">
      <c r="A64" s="570"/>
      <c r="L64" s="570"/>
      <c r="M64" s="539"/>
      <c r="N64" s="539"/>
      <c r="O64" s="539"/>
      <c r="P64" s="539"/>
      <c r="Q64" s="539"/>
      <c r="R64" s="539"/>
      <c r="S64" s="539"/>
      <c r="T64" s="539"/>
      <c r="U64" s="539"/>
      <c r="V64" s="539"/>
      <c r="W64" s="539"/>
      <c r="X64" s="539"/>
    </row>
    <row r="65" spans="1:24" ht="14.25">
      <c r="A65" s="570"/>
      <c r="B65" s="523" t="s">
        <v>719</v>
      </c>
      <c r="L65" s="570"/>
      <c r="M65" s="539"/>
      <c r="N65" s="539"/>
      <c r="O65" s="539"/>
      <c r="P65" s="539"/>
      <c r="Q65" s="539"/>
      <c r="R65" s="539"/>
      <c r="S65" s="539"/>
      <c r="T65" s="539"/>
      <c r="U65" s="539"/>
      <c r="V65" s="539"/>
      <c r="W65" s="539"/>
      <c r="X65" s="539"/>
    </row>
    <row r="66" spans="1:24" ht="14.25">
      <c r="A66" s="570"/>
      <c r="B66" s="523" t="s">
        <v>693</v>
      </c>
      <c r="L66" s="570"/>
      <c r="M66" s="539"/>
      <c r="N66" s="539"/>
      <c r="O66" s="539"/>
      <c r="P66" s="539"/>
      <c r="Q66" s="539"/>
      <c r="R66" s="539"/>
      <c r="S66" s="539"/>
      <c r="T66" s="539"/>
      <c r="U66" s="539"/>
      <c r="V66" s="539"/>
      <c r="W66" s="539"/>
      <c r="X66" s="539"/>
    </row>
    <row r="67" spans="1:24" ht="14.25">
      <c r="A67" s="570"/>
      <c r="L67" s="570"/>
      <c r="M67" s="539"/>
      <c r="N67" s="539"/>
      <c r="O67" s="539"/>
      <c r="P67" s="539"/>
      <c r="Q67" s="539"/>
      <c r="R67" s="539"/>
      <c r="S67" s="539"/>
      <c r="T67" s="539"/>
      <c r="U67" s="539"/>
      <c r="V67" s="539"/>
      <c r="W67" s="539"/>
      <c r="X67" s="539"/>
    </row>
    <row r="68" spans="1:24" ht="14.25">
      <c r="A68" s="570"/>
      <c r="B68" s="523" t="s">
        <v>720</v>
      </c>
      <c r="L68" s="570"/>
      <c r="M68" s="520"/>
      <c r="N68" s="540"/>
      <c r="O68" s="540"/>
      <c r="P68" s="540"/>
      <c r="Q68" s="540"/>
      <c r="R68" s="540"/>
      <c r="S68" s="540"/>
      <c r="T68" s="540"/>
      <c r="U68" s="540"/>
      <c r="V68" s="540"/>
      <c r="W68" s="540"/>
      <c r="X68" s="539"/>
    </row>
    <row r="69" spans="1:24" ht="14.25">
      <c r="A69" s="570"/>
      <c r="B69" s="523" t="s">
        <v>825</v>
      </c>
      <c r="L69" s="570"/>
      <c r="M69" s="539"/>
      <c r="N69" s="539"/>
      <c r="O69" s="539"/>
      <c r="P69" s="539"/>
      <c r="Q69" s="539"/>
      <c r="R69" s="539"/>
      <c r="S69" s="539"/>
      <c r="T69" s="539"/>
      <c r="U69" s="539"/>
      <c r="V69" s="539"/>
      <c r="W69" s="539"/>
      <c r="X69" s="539"/>
    </row>
    <row r="70" spans="1:24" ht="14.25">
      <c r="A70" s="570"/>
      <c r="B70" s="523" t="s">
        <v>826</v>
      </c>
      <c r="L70" s="570"/>
      <c r="M70" s="539"/>
      <c r="N70" s="539"/>
      <c r="O70" s="539"/>
      <c r="P70" s="539"/>
      <c r="Q70" s="539"/>
      <c r="R70" s="539"/>
      <c r="S70" s="539"/>
      <c r="T70" s="539"/>
      <c r="U70" s="539"/>
      <c r="V70" s="539"/>
      <c r="W70" s="539"/>
      <c r="X70" s="539"/>
    </row>
    <row r="71" spans="1:12" ht="15" thickBot="1">
      <c r="A71" s="570"/>
      <c r="B71" s="528"/>
      <c r="C71" s="528"/>
      <c r="D71" s="528"/>
      <c r="E71" s="528"/>
      <c r="F71" s="528"/>
      <c r="G71" s="528"/>
      <c r="H71" s="528"/>
      <c r="I71" s="528"/>
      <c r="J71" s="528"/>
      <c r="K71" s="528"/>
      <c r="L71" s="570"/>
    </row>
    <row r="72" spans="1:12" ht="14.25">
      <c r="A72" s="570"/>
      <c r="B72" s="518" t="s">
        <v>672</v>
      </c>
      <c r="C72" s="525"/>
      <c r="D72" s="525"/>
      <c r="E72" s="525"/>
      <c r="F72" s="525"/>
      <c r="G72" s="525"/>
      <c r="H72" s="525"/>
      <c r="I72" s="525"/>
      <c r="J72" s="525"/>
      <c r="K72" s="526"/>
      <c r="L72" s="572"/>
    </row>
    <row r="73" spans="1:12" ht="14.25">
      <c r="A73" s="570"/>
      <c r="B73" s="536"/>
      <c r="C73" s="528" t="s">
        <v>678</v>
      </c>
      <c r="D73" s="528"/>
      <c r="E73" s="528"/>
      <c r="F73" s="528"/>
      <c r="G73" s="528"/>
      <c r="H73" s="528"/>
      <c r="I73" s="528"/>
      <c r="J73" s="528"/>
      <c r="K73" s="530"/>
      <c r="L73" s="572"/>
    </row>
    <row r="74" spans="1:12" ht="14.25">
      <c r="A74" s="570"/>
      <c r="B74" s="536" t="s">
        <v>694</v>
      </c>
      <c r="C74" s="900">
        <v>3155579</v>
      </c>
      <c r="D74" s="900"/>
      <c r="E74" s="592" t="s">
        <v>677</v>
      </c>
      <c r="F74" s="592">
        <v>1000</v>
      </c>
      <c r="G74" s="592" t="s">
        <v>676</v>
      </c>
      <c r="H74" s="593">
        <f>C74/F74</f>
        <v>3155.579</v>
      </c>
      <c r="I74" s="528" t="s">
        <v>695</v>
      </c>
      <c r="J74" s="528"/>
      <c r="K74" s="530"/>
      <c r="L74" s="572"/>
    </row>
    <row r="75" spans="1:12" ht="14.25">
      <c r="A75" s="570"/>
      <c r="B75" s="536"/>
      <c r="C75" s="528"/>
      <c r="D75" s="528"/>
      <c r="E75" s="592"/>
      <c r="F75" s="528"/>
      <c r="G75" s="528"/>
      <c r="H75" s="528"/>
      <c r="I75" s="528"/>
      <c r="J75" s="528"/>
      <c r="K75" s="530"/>
      <c r="L75" s="572"/>
    </row>
    <row r="76" spans="1:12" ht="14.25">
      <c r="A76" s="570"/>
      <c r="B76" s="536"/>
      <c r="C76" s="528" t="s">
        <v>696</v>
      </c>
      <c r="D76" s="528"/>
      <c r="E76" s="592"/>
      <c r="F76" s="528" t="s">
        <v>695</v>
      </c>
      <c r="G76" s="528"/>
      <c r="H76" s="528"/>
      <c r="I76" s="528"/>
      <c r="J76" s="528"/>
      <c r="K76" s="530"/>
      <c r="L76" s="572"/>
    </row>
    <row r="77" spans="1:12" ht="14.25">
      <c r="A77" s="570"/>
      <c r="B77" s="536" t="s">
        <v>699</v>
      </c>
      <c r="C77" s="900">
        <v>50000</v>
      </c>
      <c r="D77" s="900"/>
      <c r="E77" s="592" t="s">
        <v>677</v>
      </c>
      <c r="F77" s="593">
        <f>H74</f>
        <v>3155.579</v>
      </c>
      <c r="G77" s="592" t="s">
        <v>676</v>
      </c>
      <c r="H77" s="538">
        <f>C77/F77</f>
        <v>15.84495270123169</v>
      </c>
      <c r="I77" s="528" t="s">
        <v>697</v>
      </c>
      <c r="J77" s="528"/>
      <c r="K77" s="530"/>
      <c r="L77" s="572"/>
    </row>
    <row r="78" spans="1:12" ht="14.25">
      <c r="A78" s="570"/>
      <c r="B78" s="536"/>
      <c r="C78" s="528"/>
      <c r="D78" s="528"/>
      <c r="E78" s="592"/>
      <c r="F78" s="528"/>
      <c r="G78" s="528"/>
      <c r="H78" s="528"/>
      <c r="I78" s="528"/>
      <c r="J78" s="528"/>
      <c r="K78" s="530"/>
      <c r="L78" s="572"/>
    </row>
    <row r="79" spans="1:12" ht="14.25">
      <c r="A79" s="570"/>
      <c r="B79" s="541"/>
      <c r="C79" s="542" t="s">
        <v>698</v>
      </c>
      <c r="D79" s="542"/>
      <c r="E79" s="594"/>
      <c r="F79" s="542"/>
      <c r="G79" s="542"/>
      <c r="H79" s="542"/>
      <c r="I79" s="542"/>
      <c r="J79" s="542"/>
      <c r="K79" s="543"/>
      <c r="L79" s="572"/>
    </row>
    <row r="80" spans="1:12" ht="14.25">
      <c r="A80" s="570"/>
      <c r="B80" s="536" t="s">
        <v>776</v>
      </c>
      <c r="C80" s="900">
        <v>100000</v>
      </c>
      <c r="D80" s="900"/>
      <c r="E80" s="592" t="s">
        <v>152</v>
      </c>
      <c r="F80" s="592">
        <v>0.115</v>
      </c>
      <c r="G80" s="592" t="s">
        <v>676</v>
      </c>
      <c r="H80" s="593">
        <f>C80*F80</f>
        <v>11500</v>
      </c>
      <c r="I80" s="528" t="s">
        <v>700</v>
      </c>
      <c r="J80" s="528"/>
      <c r="K80" s="530"/>
      <c r="L80" s="572"/>
    </row>
    <row r="81" spans="1:12" ht="14.25">
      <c r="A81" s="570"/>
      <c r="B81" s="536"/>
      <c r="C81" s="528"/>
      <c r="D81" s="528"/>
      <c r="E81" s="592"/>
      <c r="F81" s="528"/>
      <c r="G81" s="528"/>
      <c r="H81" s="528"/>
      <c r="I81" s="528"/>
      <c r="J81" s="528"/>
      <c r="K81" s="530"/>
      <c r="L81" s="572"/>
    </row>
    <row r="82" spans="1:12" ht="14.25">
      <c r="A82" s="570"/>
      <c r="B82" s="541"/>
      <c r="C82" s="542" t="s">
        <v>701</v>
      </c>
      <c r="D82" s="542"/>
      <c r="E82" s="594"/>
      <c r="F82" s="542" t="s">
        <v>697</v>
      </c>
      <c r="G82" s="542"/>
      <c r="H82" s="542"/>
      <c r="I82" s="542"/>
      <c r="J82" s="542" t="s">
        <v>702</v>
      </c>
      <c r="K82" s="543"/>
      <c r="L82" s="572"/>
    </row>
    <row r="83" spans="1:12" ht="14.25">
      <c r="A83" s="570"/>
      <c r="B83" s="536" t="s">
        <v>777</v>
      </c>
      <c r="C83" s="901">
        <f>H80</f>
        <v>11500</v>
      </c>
      <c r="D83" s="901"/>
      <c r="E83" s="592" t="s">
        <v>152</v>
      </c>
      <c r="F83" s="538">
        <f>H77</f>
        <v>15.84495270123169</v>
      </c>
      <c r="G83" s="592" t="s">
        <v>677</v>
      </c>
      <c r="H83" s="592">
        <v>1000</v>
      </c>
      <c r="I83" s="592" t="s">
        <v>676</v>
      </c>
      <c r="J83" s="544">
        <f>C83*F83/H83</f>
        <v>182.21695606416444</v>
      </c>
      <c r="K83" s="530"/>
      <c r="L83" s="572"/>
    </row>
    <row r="84" spans="1:12" ht="15" thickBot="1">
      <c r="A84" s="570"/>
      <c r="B84" s="531"/>
      <c r="C84" s="545"/>
      <c r="D84" s="545"/>
      <c r="E84" s="546"/>
      <c r="F84" s="547"/>
      <c r="G84" s="546"/>
      <c r="H84" s="546"/>
      <c r="I84" s="546"/>
      <c r="J84" s="548"/>
      <c r="K84" s="533"/>
      <c r="L84" s="572"/>
    </row>
    <row r="85" spans="1:12" ht="40.5" customHeight="1">
      <c r="A85" s="570"/>
      <c r="B85" s="905" t="s">
        <v>668</v>
      </c>
      <c r="C85" s="905"/>
      <c r="D85" s="905"/>
      <c r="E85" s="905"/>
      <c r="F85" s="905"/>
      <c r="G85" s="905"/>
      <c r="H85" s="905"/>
      <c r="I85" s="905"/>
      <c r="J85" s="905"/>
      <c r="K85" s="905"/>
      <c r="L85" s="570"/>
    </row>
    <row r="86" spans="1:12" ht="14.25">
      <c r="A86" s="570"/>
      <c r="B86" s="898" t="s">
        <v>703</v>
      </c>
      <c r="C86" s="898"/>
      <c r="D86" s="898"/>
      <c r="E86" s="898"/>
      <c r="F86" s="898"/>
      <c r="G86" s="898"/>
      <c r="H86" s="898"/>
      <c r="I86" s="898"/>
      <c r="J86" s="898"/>
      <c r="K86" s="898"/>
      <c r="L86" s="570"/>
    </row>
    <row r="87" spans="1:12" ht="14.25">
      <c r="A87" s="570"/>
      <c r="B87" s="549"/>
      <c r="C87" s="549"/>
      <c r="D87" s="549"/>
      <c r="E87" s="549"/>
      <c r="F87" s="549"/>
      <c r="G87" s="549"/>
      <c r="H87" s="549"/>
      <c r="I87" s="549"/>
      <c r="J87" s="549"/>
      <c r="K87" s="549"/>
      <c r="L87" s="570"/>
    </row>
    <row r="88" spans="1:12" ht="14.25">
      <c r="A88" s="570"/>
      <c r="B88" s="898" t="s">
        <v>704</v>
      </c>
      <c r="C88" s="898"/>
      <c r="D88" s="898"/>
      <c r="E88" s="898"/>
      <c r="F88" s="898"/>
      <c r="G88" s="898"/>
      <c r="H88" s="898"/>
      <c r="I88" s="898"/>
      <c r="J88" s="898"/>
      <c r="K88" s="898"/>
      <c r="L88" s="570"/>
    </row>
    <row r="89" spans="1:12" ht="14.25">
      <c r="A89" s="570"/>
      <c r="B89" s="586"/>
      <c r="C89" s="586"/>
      <c r="D89" s="586"/>
      <c r="E89" s="586"/>
      <c r="F89" s="586"/>
      <c r="G89" s="586"/>
      <c r="H89" s="586"/>
      <c r="I89" s="586"/>
      <c r="J89" s="586"/>
      <c r="K89" s="586"/>
      <c r="L89" s="570"/>
    </row>
    <row r="90" spans="1:12" ht="45" customHeight="1">
      <c r="A90" s="570"/>
      <c r="B90" s="902" t="s">
        <v>705</v>
      </c>
      <c r="C90" s="902"/>
      <c r="D90" s="902"/>
      <c r="E90" s="902"/>
      <c r="F90" s="902"/>
      <c r="G90" s="902"/>
      <c r="H90" s="902"/>
      <c r="I90" s="902"/>
      <c r="J90" s="902"/>
      <c r="K90" s="902"/>
      <c r="L90" s="570"/>
    </row>
    <row r="91" spans="1:12" ht="15" customHeight="1" thickBot="1">
      <c r="A91" s="570"/>
      <c r="L91" s="570"/>
    </row>
    <row r="92" spans="1:12" ht="15" customHeight="1">
      <c r="A92" s="570"/>
      <c r="B92" s="521" t="s">
        <v>672</v>
      </c>
      <c r="C92" s="550"/>
      <c r="D92" s="550"/>
      <c r="E92" s="550"/>
      <c r="F92" s="550"/>
      <c r="G92" s="550"/>
      <c r="H92" s="550"/>
      <c r="I92" s="550"/>
      <c r="J92" s="550"/>
      <c r="K92" s="551"/>
      <c r="L92" s="570"/>
    </row>
    <row r="93" spans="1:12" ht="15" customHeight="1">
      <c r="A93" s="570"/>
      <c r="B93" s="552"/>
      <c r="C93" s="590" t="s">
        <v>678</v>
      </c>
      <c r="D93" s="590"/>
      <c r="E93" s="590"/>
      <c r="F93" s="590"/>
      <c r="G93" s="590"/>
      <c r="H93" s="590"/>
      <c r="I93" s="590"/>
      <c r="J93" s="590"/>
      <c r="K93" s="553"/>
      <c r="L93" s="570"/>
    </row>
    <row r="94" spans="1:12" ht="15" customHeight="1">
      <c r="A94" s="570"/>
      <c r="B94" s="552" t="s">
        <v>694</v>
      </c>
      <c r="C94" s="900">
        <v>3155579</v>
      </c>
      <c r="D94" s="900"/>
      <c r="E94" s="592" t="s">
        <v>677</v>
      </c>
      <c r="F94" s="592">
        <v>1000</v>
      </c>
      <c r="G94" s="592" t="s">
        <v>676</v>
      </c>
      <c r="H94" s="593">
        <f>C94/F94</f>
        <v>3155.579</v>
      </c>
      <c r="I94" s="590" t="s">
        <v>695</v>
      </c>
      <c r="J94" s="590"/>
      <c r="K94" s="553"/>
      <c r="L94" s="570"/>
    </row>
    <row r="95" spans="1:12" ht="15" customHeight="1">
      <c r="A95" s="570"/>
      <c r="B95" s="552"/>
      <c r="C95" s="590"/>
      <c r="D95" s="590"/>
      <c r="E95" s="592"/>
      <c r="F95" s="590"/>
      <c r="G95" s="590"/>
      <c r="H95" s="590"/>
      <c r="I95" s="590"/>
      <c r="J95" s="590"/>
      <c r="K95" s="553"/>
      <c r="L95" s="570"/>
    </row>
    <row r="96" spans="1:12" ht="15" customHeight="1">
      <c r="A96" s="570"/>
      <c r="B96" s="552"/>
      <c r="C96" s="590" t="s">
        <v>696</v>
      </c>
      <c r="D96" s="590"/>
      <c r="E96" s="592"/>
      <c r="F96" s="590" t="s">
        <v>695</v>
      </c>
      <c r="G96" s="590"/>
      <c r="H96" s="590"/>
      <c r="I96" s="590"/>
      <c r="J96" s="590"/>
      <c r="K96" s="553"/>
      <c r="L96" s="570"/>
    </row>
    <row r="97" spans="1:12" ht="15" customHeight="1">
      <c r="A97" s="570"/>
      <c r="B97" s="552" t="s">
        <v>699</v>
      </c>
      <c r="C97" s="900">
        <v>50000</v>
      </c>
      <c r="D97" s="900"/>
      <c r="E97" s="592" t="s">
        <v>677</v>
      </c>
      <c r="F97" s="593">
        <f>H94</f>
        <v>3155.579</v>
      </c>
      <c r="G97" s="592" t="s">
        <v>676</v>
      </c>
      <c r="H97" s="538">
        <f>C97/F97</f>
        <v>15.84495270123169</v>
      </c>
      <c r="I97" s="590" t="s">
        <v>697</v>
      </c>
      <c r="J97" s="590"/>
      <c r="K97" s="553"/>
      <c r="L97" s="570"/>
    </row>
    <row r="98" spans="1:12" ht="15" customHeight="1">
      <c r="A98" s="570"/>
      <c r="B98" s="552"/>
      <c r="C98" s="590"/>
      <c r="D98" s="590"/>
      <c r="E98" s="592"/>
      <c r="F98" s="590"/>
      <c r="G98" s="590"/>
      <c r="H98" s="590"/>
      <c r="I98" s="590"/>
      <c r="J98" s="590"/>
      <c r="K98" s="553"/>
      <c r="L98" s="570"/>
    </row>
    <row r="99" spans="1:12" ht="15" customHeight="1">
      <c r="A99" s="570"/>
      <c r="B99" s="554"/>
      <c r="C99" s="555" t="s">
        <v>706</v>
      </c>
      <c r="D99" s="555"/>
      <c r="E99" s="594"/>
      <c r="F99" s="555"/>
      <c r="G99" s="555"/>
      <c r="H99" s="555"/>
      <c r="I99" s="555"/>
      <c r="J99" s="555"/>
      <c r="K99" s="556"/>
      <c r="L99" s="570"/>
    </row>
    <row r="100" spans="1:12" ht="15" customHeight="1">
      <c r="A100" s="570"/>
      <c r="B100" s="552" t="s">
        <v>776</v>
      </c>
      <c r="C100" s="900">
        <v>2500000</v>
      </c>
      <c r="D100" s="900"/>
      <c r="E100" s="592" t="s">
        <v>152</v>
      </c>
      <c r="F100" s="557">
        <v>0.3</v>
      </c>
      <c r="G100" s="592" t="s">
        <v>676</v>
      </c>
      <c r="H100" s="593">
        <f>C100*F100</f>
        <v>750000</v>
      </c>
      <c r="I100" s="590" t="s">
        <v>700</v>
      </c>
      <c r="J100" s="590"/>
      <c r="K100" s="553"/>
      <c r="L100" s="570"/>
    </row>
    <row r="101" spans="1:12" ht="15" customHeight="1">
      <c r="A101" s="570"/>
      <c r="B101" s="552"/>
      <c r="C101" s="590"/>
      <c r="D101" s="590"/>
      <c r="E101" s="592"/>
      <c r="F101" s="590"/>
      <c r="G101" s="590"/>
      <c r="H101" s="590"/>
      <c r="I101" s="590"/>
      <c r="J101" s="590"/>
      <c r="K101" s="553"/>
      <c r="L101" s="570"/>
    </row>
    <row r="102" spans="1:12" ht="15" customHeight="1">
      <c r="A102" s="570"/>
      <c r="B102" s="554"/>
      <c r="C102" s="555" t="s">
        <v>701</v>
      </c>
      <c r="D102" s="555"/>
      <c r="E102" s="594"/>
      <c r="F102" s="555" t="s">
        <v>697</v>
      </c>
      <c r="G102" s="555"/>
      <c r="H102" s="555"/>
      <c r="I102" s="555"/>
      <c r="J102" s="555" t="s">
        <v>702</v>
      </c>
      <c r="K102" s="556"/>
      <c r="L102" s="570"/>
    </row>
    <row r="103" spans="1:12" ht="15" customHeight="1">
      <c r="A103" s="570"/>
      <c r="B103" s="552" t="s">
        <v>777</v>
      </c>
      <c r="C103" s="901">
        <f>H100</f>
        <v>750000</v>
      </c>
      <c r="D103" s="901"/>
      <c r="E103" s="592" t="s">
        <v>152</v>
      </c>
      <c r="F103" s="538">
        <f>H97</f>
        <v>15.84495270123169</v>
      </c>
      <c r="G103" s="592" t="s">
        <v>677</v>
      </c>
      <c r="H103" s="592">
        <v>1000</v>
      </c>
      <c r="I103" s="592" t="s">
        <v>676</v>
      </c>
      <c r="J103" s="544">
        <f>C103*F103/H103</f>
        <v>11883.714525923768</v>
      </c>
      <c r="K103" s="553"/>
      <c r="L103" s="570"/>
    </row>
    <row r="104" spans="1:12" ht="15" customHeight="1" thickBot="1">
      <c r="A104" s="570"/>
      <c r="B104" s="558"/>
      <c r="C104" s="545"/>
      <c r="D104" s="545"/>
      <c r="E104" s="546"/>
      <c r="F104" s="547"/>
      <c r="G104" s="546"/>
      <c r="H104" s="546"/>
      <c r="I104" s="546"/>
      <c r="J104" s="548"/>
      <c r="K104" s="591"/>
      <c r="L104" s="570"/>
    </row>
    <row r="105" spans="1:12" ht="40.5" customHeight="1">
      <c r="A105" s="570"/>
      <c r="B105" s="905" t="s">
        <v>668</v>
      </c>
      <c r="C105" s="921"/>
      <c r="D105" s="921"/>
      <c r="E105" s="921"/>
      <c r="F105" s="921"/>
      <c r="G105" s="921"/>
      <c r="H105" s="921"/>
      <c r="I105" s="921"/>
      <c r="J105" s="921"/>
      <c r="K105" s="921"/>
      <c r="L105" s="570"/>
    </row>
    <row r="106" spans="1:12" ht="15" customHeight="1">
      <c r="A106" s="570"/>
      <c r="B106" s="903" t="s">
        <v>707</v>
      </c>
      <c r="C106" s="908"/>
      <c r="D106" s="908"/>
      <c r="E106" s="908"/>
      <c r="F106" s="908"/>
      <c r="G106" s="908"/>
      <c r="H106" s="908"/>
      <c r="I106" s="908"/>
      <c r="J106" s="908"/>
      <c r="K106" s="908"/>
      <c r="L106" s="570"/>
    </row>
    <row r="107" spans="1:12" ht="15" customHeight="1">
      <c r="A107" s="570"/>
      <c r="B107" s="590"/>
      <c r="C107" s="559"/>
      <c r="D107" s="559"/>
      <c r="E107" s="592"/>
      <c r="F107" s="538"/>
      <c r="G107" s="592"/>
      <c r="H107" s="592"/>
      <c r="I107" s="592"/>
      <c r="J107" s="544"/>
      <c r="K107" s="590"/>
      <c r="L107" s="570"/>
    </row>
    <row r="108" spans="1:12" ht="15" customHeight="1">
      <c r="A108" s="570"/>
      <c r="B108" s="903" t="s">
        <v>708</v>
      </c>
      <c r="C108" s="904"/>
      <c r="D108" s="904"/>
      <c r="E108" s="904"/>
      <c r="F108" s="904"/>
      <c r="G108" s="904"/>
      <c r="H108" s="904"/>
      <c r="I108" s="904"/>
      <c r="J108" s="904"/>
      <c r="K108" s="904"/>
      <c r="L108" s="570"/>
    </row>
    <row r="109" spans="1:12" ht="15" customHeight="1">
      <c r="A109" s="570"/>
      <c r="B109" s="590"/>
      <c r="C109" s="559"/>
      <c r="D109" s="559"/>
      <c r="E109" s="592"/>
      <c r="F109" s="538"/>
      <c r="G109" s="592"/>
      <c r="H109" s="592"/>
      <c r="I109" s="592"/>
      <c r="J109" s="544"/>
      <c r="K109" s="590"/>
      <c r="L109" s="570"/>
    </row>
    <row r="110" spans="1:12" ht="59.25" customHeight="1">
      <c r="A110" s="570"/>
      <c r="B110" s="928" t="s">
        <v>709</v>
      </c>
      <c r="C110" s="906"/>
      <c r="D110" s="906"/>
      <c r="E110" s="906"/>
      <c r="F110" s="906"/>
      <c r="G110" s="906"/>
      <c r="H110" s="906"/>
      <c r="I110" s="906"/>
      <c r="J110" s="906"/>
      <c r="K110" s="906"/>
      <c r="L110" s="570"/>
    </row>
    <row r="111" spans="1:12" ht="15" thickBot="1">
      <c r="A111" s="570"/>
      <c r="B111" s="587"/>
      <c r="C111" s="587"/>
      <c r="D111" s="587"/>
      <c r="E111" s="587"/>
      <c r="F111" s="587"/>
      <c r="G111" s="587"/>
      <c r="H111" s="587"/>
      <c r="I111" s="587"/>
      <c r="J111" s="587"/>
      <c r="K111" s="587"/>
      <c r="L111" s="573"/>
    </row>
    <row r="112" spans="1:12" ht="14.25">
      <c r="A112" s="570"/>
      <c r="B112" s="518" t="s">
        <v>672</v>
      </c>
      <c r="C112" s="525"/>
      <c r="D112" s="525"/>
      <c r="E112" s="525"/>
      <c r="F112" s="525"/>
      <c r="G112" s="525"/>
      <c r="H112" s="525"/>
      <c r="I112" s="525"/>
      <c r="J112" s="525"/>
      <c r="K112" s="526"/>
      <c r="L112" s="570"/>
    </row>
    <row r="113" spans="1:12" ht="14.25">
      <c r="A113" s="570"/>
      <c r="B113" s="536"/>
      <c r="C113" s="528" t="s">
        <v>678</v>
      </c>
      <c r="D113" s="528"/>
      <c r="E113" s="528"/>
      <c r="F113" s="528"/>
      <c r="G113" s="528"/>
      <c r="H113" s="528"/>
      <c r="I113" s="528"/>
      <c r="J113" s="528"/>
      <c r="K113" s="530"/>
      <c r="L113" s="570"/>
    </row>
    <row r="114" spans="1:12" ht="14.25">
      <c r="A114" s="570"/>
      <c r="B114" s="536" t="s">
        <v>694</v>
      </c>
      <c r="C114" s="900">
        <v>3155579</v>
      </c>
      <c r="D114" s="900"/>
      <c r="E114" s="592" t="s">
        <v>677</v>
      </c>
      <c r="F114" s="592">
        <v>1000</v>
      </c>
      <c r="G114" s="592" t="s">
        <v>676</v>
      </c>
      <c r="H114" s="593">
        <f>C114/F114</f>
        <v>3155.579</v>
      </c>
      <c r="I114" s="528" t="s">
        <v>695</v>
      </c>
      <c r="J114" s="528"/>
      <c r="K114" s="530"/>
      <c r="L114" s="570"/>
    </row>
    <row r="115" spans="1:12" ht="14.25">
      <c r="A115" s="570"/>
      <c r="B115" s="536"/>
      <c r="C115" s="528"/>
      <c r="D115" s="528"/>
      <c r="E115" s="592"/>
      <c r="F115" s="528"/>
      <c r="G115" s="528"/>
      <c r="H115" s="528"/>
      <c r="I115" s="528"/>
      <c r="J115" s="528"/>
      <c r="K115" s="530"/>
      <c r="L115" s="570"/>
    </row>
    <row r="116" spans="1:12" ht="14.25">
      <c r="A116" s="570"/>
      <c r="B116" s="536"/>
      <c r="C116" s="528" t="s">
        <v>696</v>
      </c>
      <c r="D116" s="528"/>
      <c r="E116" s="592"/>
      <c r="F116" s="528" t="s">
        <v>695</v>
      </c>
      <c r="G116" s="528"/>
      <c r="H116" s="528"/>
      <c r="I116" s="528"/>
      <c r="J116" s="528"/>
      <c r="K116" s="530"/>
      <c r="L116" s="570"/>
    </row>
    <row r="117" spans="1:12" ht="14.25">
      <c r="A117" s="570"/>
      <c r="B117" s="536" t="s">
        <v>699</v>
      </c>
      <c r="C117" s="900">
        <v>50000</v>
      </c>
      <c r="D117" s="900"/>
      <c r="E117" s="592" t="s">
        <v>677</v>
      </c>
      <c r="F117" s="593">
        <f>H114</f>
        <v>3155.579</v>
      </c>
      <c r="G117" s="592" t="s">
        <v>676</v>
      </c>
      <c r="H117" s="538">
        <f>C117/F117</f>
        <v>15.84495270123169</v>
      </c>
      <c r="I117" s="528" t="s">
        <v>697</v>
      </c>
      <c r="J117" s="528"/>
      <c r="K117" s="530"/>
      <c r="L117" s="570"/>
    </row>
    <row r="118" spans="1:12" ht="14.25">
      <c r="A118" s="570"/>
      <c r="B118" s="536"/>
      <c r="C118" s="528"/>
      <c r="D118" s="528"/>
      <c r="E118" s="592"/>
      <c r="F118" s="528"/>
      <c r="G118" s="528"/>
      <c r="H118" s="528"/>
      <c r="I118" s="528"/>
      <c r="J118" s="528"/>
      <c r="K118" s="530"/>
      <c r="L118" s="570"/>
    </row>
    <row r="119" spans="1:12" ht="14.25">
      <c r="A119" s="570"/>
      <c r="B119" s="541"/>
      <c r="C119" s="542" t="s">
        <v>706</v>
      </c>
      <c r="D119" s="542"/>
      <c r="E119" s="594"/>
      <c r="F119" s="542"/>
      <c r="G119" s="542"/>
      <c r="H119" s="542"/>
      <c r="I119" s="542"/>
      <c r="J119" s="542"/>
      <c r="K119" s="543"/>
      <c r="L119" s="570"/>
    </row>
    <row r="120" spans="1:12" ht="14.25">
      <c r="A120" s="570"/>
      <c r="B120" s="536" t="s">
        <v>776</v>
      </c>
      <c r="C120" s="900">
        <v>2500000</v>
      </c>
      <c r="D120" s="900"/>
      <c r="E120" s="592" t="s">
        <v>152</v>
      </c>
      <c r="F120" s="557">
        <v>0.25</v>
      </c>
      <c r="G120" s="592" t="s">
        <v>676</v>
      </c>
      <c r="H120" s="593">
        <f>C120*F120</f>
        <v>625000</v>
      </c>
      <c r="I120" s="528" t="s">
        <v>700</v>
      </c>
      <c r="J120" s="528"/>
      <c r="K120" s="530"/>
      <c r="L120" s="570"/>
    </row>
    <row r="121" spans="1:12" ht="14.25">
      <c r="A121" s="570"/>
      <c r="B121" s="536"/>
      <c r="C121" s="528"/>
      <c r="D121" s="528"/>
      <c r="E121" s="592"/>
      <c r="F121" s="528"/>
      <c r="G121" s="528"/>
      <c r="H121" s="528"/>
      <c r="I121" s="528"/>
      <c r="J121" s="528"/>
      <c r="K121" s="530"/>
      <c r="L121" s="570"/>
    </row>
    <row r="122" spans="1:12" ht="14.25">
      <c r="A122" s="570"/>
      <c r="B122" s="541"/>
      <c r="C122" s="542" t="s">
        <v>701</v>
      </c>
      <c r="D122" s="542"/>
      <c r="E122" s="594"/>
      <c r="F122" s="542" t="s">
        <v>697</v>
      </c>
      <c r="G122" s="542"/>
      <c r="H122" s="542"/>
      <c r="I122" s="542"/>
      <c r="J122" s="542" t="s">
        <v>702</v>
      </c>
      <c r="K122" s="543"/>
      <c r="L122" s="570"/>
    </row>
    <row r="123" spans="1:12" ht="14.25">
      <c r="A123" s="570"/>
      <c r="B123" s="536" t="s">
        <v>777</v>
      </c>
      <c r="C123" s="901">
        <f>H120</f>
        <v>625000</v>
      </c>
      <c r="D123" s="901"/>
      <c r="E123" s="592" t="s">
        <v>152</v>
      </c>
      <c r="F123" s="538">
        <f>H117</f>
        <v>15.84495270123169</v>
      </c>
      <c r="G123" s="592" t="s">
        <v>677</v>
      </c>
      <c r="H123" s="592">
        <v>1000</v>
      </c>
      <c r="I123" s="592" t="s">
        <v>676</v>
      </c>
      <c r="J123" s="544">
        <f>C123*F123/H123</f>
        <v>9903.095438269807</v>
      </c>
      <c r="K123" s="530"/>
      <c r="L123" s="570"/>
    </row>
    <row r="124" spans="1:12" ht="15" thickBot="1">
      <c r="A124" s="570"/>
      <c r="B124" s="531"/>
      <c r="C124" s="545"/>
      <c r="D124" s="545"/>
      <c r="E124" s="546"/>
      <c r="F124" s="547"/>
      <c r="G124" s="546"/>
      <c r="H124" s="546"/>
      <c r="I124" s="546"/>
      <c r="J124" s="548"/>
      <c r="K124" s="533"/>
      <c r="L124" s="570"/>
    </row>
    <row r="125" spans="1:12" ht="40.5" customHeight="1">
      <c r="A125" s="570"/>
      <c r="B125" s="905" t="s">
        <v>668</v>
      </c>
      <c r="C125" s="905"/>
      <c r="D125" s="905"/>
      <c r="E125" s="905"/>
      <c r="F125" s="905"/>
      <c r="G125" s="905"/>
      <c r="H125" s="905"/>
      <c r="I125" s="905"/>
      <c r="J125" s="905"/>
      <c r="K125" s="905"/>
      <c r="L125" s="573"/>
    </row>
    <row r="126" spans="1:12" ht="14.25">
      <c r="A126" s="570"/>
      <c r="B126" s="898" t="s">
        <v>710</v>
      </c>
      <c r="C126" s="898"/>
      <c r="D126" s="898"/>
      <c r="E126" s="898"/>
      <c r="F126" s="898"/>
      <c r="G126" s="898"/>
      <c r="H126" s="898"/>
      <c r="I126" s="898"/>
      <c r="J126" s="898"/>
      <c r="K126" s="898"/>
      <c r="L126" s="573"/>
    </row>
    <row r="127" spans="1:12" ht="14.25">
      <c r="A127" s="570"/>
      <c r="B127" s="587"/>
      <c r="C127" s="587"/>
      <c r="D127" s="587"/>
      <c r="E127" s="587"/>
      <c r="F127" s="587"/>
      <c r="G127" s="587"/>
      <c r="H127" s="587"/>
      <c r="I127" s="587"/>
      <c r="J127" s="587"/>
      <c r="K127" s="587"/>
      <c r="L127" s="573"/>
    </row>
    <row r="128" spans="1:12" ht="14.25">
      <c r="A128" s="570"/>
      <c r="B128" s="898" t="s">
        <v>711</v>
      </c>
      <c r="C128" s="898"/>
      <c r="D128" s="898"/>
      <c r="E128" s="898"/>
      <c r="F128" s="898"/>
      <c r="G128" s="898"/>
      <c r="H128" s="898"/>
      <c r="I128" s="898"/>
      <c r="J128" s="898"/>
      <c r="K128" s="898"/>
      <c r="L128" s="573"/>
    </row>
    <row r="129" spans="1:12" ht="14.25">
      <c r="A129" s="570"/>
      <c r="B129" s="586"/>
      <c r="C129" s="586"/>
      <c r="D129" s="586"/>
      <c r="E129" s="586"/>
      <c r="F129" s="586"/>
      <c r="G129" s="586"/>
      <c r="H129" s="586"/>
      <c r="I129" s="586"/>
      <c r="J129" s="586"/>
      <c r="K129" s="586"/>
      <c r="L129" s="573"/>
    </row>
    <row r="130" spans="1:12" ht="74.25" customHeight="1">
      <c r="A130" s="570"/>
      <c r="B130" s="902" t="s">
        <v>778</v>
      </c>
      <c r="C130" s="902"/>
      <c r="D130" s="902"/>
      <c r="E130" s="902"/>
      <c r="F130" s="902"/>
      <c r="G130" s="902"/>
      <c r="H130" s="902"/>
      <c r="I130" s="902"/>
      <c r="J130" s="902"/>
      <c r="K130" s="902"/>
      <c r="L130" s="573"/>
    </row>
    <row r="131" spans="1:12" ht="15" thickBot="1">
      <c r="A131" s="570"/>
      <c r="L131" s="570"/>
    </row>
    <row r="132" spans="1:12" ht="14.25">
      <c r="A132" s="570"/>
      <c r="B132" s="518" t="s">
        <v>672</v>
      </c>
      <c r="C132" s="525"/>
      <c r="D132" s="525"/>
      <c r="E132" s="525"/>
      <c r="F132" s="525"/>
      <c r="G132" s="525"/>
      <c r="H132" s="525"/>
      <c r="I132" s="525"/>
      <c r="J132" s="525"/>
      <c r="K132" s="526"/>
      <c r="L132" s="570"/>
    </row>
    <row r="133" spans="1:12" ht="14.25">
      <c r="A133" s="570"/>
      <c r="B133" s="536"/>
      <c r="C133" s="927" t="s">
        <v>712</v>
      </c>
      <c r="D133" s="927"/>
      <c r="E133" s="528"/>
      <c r="F133" s="592" t="s">
        <v>713</v>
      </c>
      <c r="G133" s="528"/>
      <c r="H133" s="927" t="s">
        <v>700</v>
      </c>
      <c r="I133" s="927"/>
      <c r="J133" s="528"/>
      <c r="K133" s="530"/>
      <c r="L133" s="570"/>
    </row>
    <row r="134" spans="1:12" ht="14.25">
      <c r="A134" s="570"/>
      <c r="B134" s="536" t="s">
        <v>694</v>
      </c>
      <c r="C134" s="900">
        <v>100000</v>
      </c>
      <c r="D134" s="900"/>
      <c r="E134" s="592" t="s">
        <v>152</v>
      </c>
      <c r="F134" s="592">
        <v>0.115</v>
      </c>
      <c r="G134" s="592" t="s">
        <v>676</v>
      </c>
      <c r="H134" s="918">
        <f>C134*F134</f>
        <v>11500</v>
      </c>
      <c r="I134" s="918"/>
      <c r="J134" s="528"/>
      <c r="K134" s="530"/>
      <c r="L134" s="570"/>
    </row>
    <row r="135" spans="1:12" ht="14.25">
      <c r="A135" s="570"/>
      <c r="B135" s="536"/>
      <c r="C135" s="528"/>
      <c r="D135" s="528"/>
      <c r="E135" s="528"/>
      <c r="F135" s="528"/>
      <c r="G135" s="528"/>
      <c r="H135" s="528"/>
      <c r="I135" s="528"/>
      <c r="J135" s="528"/>
      <c r="K135" s="530"/>
      <c r="L135" s="570"/>
    </row>
    <row r="136" spans="1:12" ht="14.25">
      <c r="A136" s="570"/>
      <c r="B136" s="541"/>
      <c r="C136" s="899" t="s">
        <v>700</v>
      </c>
      <c r="D136" s="899"/>
      <c r="E136" s="542"/>
      <c r="F136" s="594" t="s">
        <v>714</v>
      </c>
      <c r="G136" s="594"/>
      <c r="H136" s="542"/>
      <c r="I136" s="542"/>
      <c r="J136" s="542" t="s">
        <v>715</v>
      </c>
      <c r="K136" s="543"/>
      <c r="L136" s="570"/>
    </row>
    <row r="137" spans="1:12" ht="14.25">
      <c r="A137" s="570"/>
      <c r="B137" s="536" t="s">
        <v>699</v>
      </c>
      <c r="C137" s="918">
        <f>H134</f>
        <v>11500</v>
      </c>
      <c r="D137" s="918"/>
      <c r="E137" s="592" t="s">
        <v>152</v>
      </c>
      <c r="F137" s="560">
        <v>52.869</v>
      </c>
      <c r="G137" s="592" t="s">
        <v>677</v>
      </c>
      <c r="H137" s="592">
        <v>1000</v>
      </c>
      <c r="I137" s="592" t="s">
        <v>676</v>
      </c>
      <c r="J137" s="561">
        <f>C137*F137/H137</f>
        <v>607.9935</v>
      </c>
      <c r="K137" s="530"/>
      <c r="L137" s="570"/>
    </row>
    <row r="138" spans="1:12" ht="15" thickBot="1">
      <c r="A138" s="570"/>
      <c r="B138" s="531"/>
      <c r="C138" s="608"/>
      <c r="D138" s="608"/>
      <c r="E138" s="546"/>
      <c r="F138" s="609"/>
      <c r="G138" s="546"/>
      <c r="H138" s="546"/>
      <c r="I138" s="546"/>
      <c r="J138" s="610"/>
      <c r="K138" s="533"/>
      <c r="L138" s="570"/>
    </row>
    <row r="139" spans="1:12" ht="40.5" customHeight="1">
      <c r="A139" s="570"/>
      <c r="B139" s="595" t="s">
        <v>668</v>
      </c>
      <c r="C139" s="596"/>
      <c r="D139" s="596"/>
      <c r="E139" s="597"/>
      <c r="F139" s="598"/>
      <c r="G139" s="597"/>
      <c r="H139" s="597"/>
      <c r="I139" s="597"/>
      <c r="J139" s="599"/>
      <c r="K139" s="600"/>
      <c r="L139" s="570"/>
    </row>
    <row r="140" spans="1:12" ht="14.25">
      <c r="A140" s="570"/>
      <c r="B140" s="601" t="s">
        <v>779</v>
      </c>
      <c r="C140" s="602"/>
      <c r="D140" s="602"/>
      <c r="E140" s="603"/>
      <c r="F140" s="604"/>
      <c r="G140" s="603"/>
      <c r="H140" s="603"/>
      <c r="I140" s="603"/>
      <c r="J140" s="605"/>
      <c r="K140" s="606"/>
      <c r="L140" s="570"/>
    </row>
    <row r="141" spans="1:12" ht="14.25">
      <c r="A141" s="570"/>
      <c r="B141" s="536"/>
      <c r="C141" s="593"/>
      <c r="D141" s="593"/>
      <c r="E141" s="592"/>
      <c r="F141" s="611"/>
      <c r="G141" s="592"/>
      <c r="H141" s="592"/>
      <c r="I141" s="592"/>
      <c r="J141" s="561"/>
      <c r="K141" s="530"/>
      <c r="L141" s="570"/>
    </row>
    <row r="142" spans="1:12" ht="14.25">
      <c r="A142" s="570"/>
      <c r="B142" s="601" t="s">
        <v>780</v>
      </c>
      <c r="C142" s="602"/>
      <c r="D142" s="602"/>
      <c r="E142" s="603"/>
      <c r="F142" s="604"/>
      <c r="G142" s="603"/>
      <c r="H142" s="603"/>
      <c r="I142" s="603"/>
      <c r="J142" s="605"/>
      <c r="K142" s="606"/>
      <c r="L142" s="570"/>
    </row>
    <row r="143" spans="1:12" ht="14.25">
      <c r="A143" s="570"/>
      <c r="B143" s="536"/>
      <c r="C143" s="593"/>
      <c r="D143" s="593"/>
      <c r="E143" s="592"/>
      <c r="F143" s="611"/>
      <c r="G143" s="592"/>
      <c r="H143" s="592"/>
      <c r="I143" s="592"/>
      <c r="J143" s="561"/>
      <c r="K143" s="530"/>
      <c r="L143" s="570"/>
    </row>
    <row r="144" spans="1:12" ht="76.5" customHeight="1">
      <c r="A144" s="570"/>
      <c r="B144" s="922" t="s">
        <v>781</v>
      </c>
      <c r="C144" s="923"/>
      <c r="D144" s="923"/>
      <c r="E144" s="923"/>
      <c r="F144" s="923"/>
      <c r="G144" s="923"/>
      <c r="H144" s="923"/>
      <c r="I144" s="923"/>
      <c r="J144" s="923"/>
      <c r="K144" s="924"/>
      <c r="L144" s="570"/>
    </row>
    <row r="145" spans="1:12" ht="15" thickBot="1">
      <c r="A145" s="570"/>
      <c r="B145" s="536"/>
      <c r="C145" s="593"/>
      <c r="D145" s="593"/>
      <c r="E145" s="592"/>
      <c r="F145" s="611"/>
      <c r="G145" s="592"/>
      <c r="H145" s="592"/>
      <c r="I145" s="592"/>
      <c r="J145" s="561"/>
      <c r="K145" s="530"/>
      <c r="L145" s="570"/>
    </row>
    <row r="146" spans="1:12" ht="14.25">
      <c r="A146" s="570"/>
      <c r="B146" s="518" t="s">
        <v>672</v>
      </c>
      <c r="C146" s="612"/>
      <c r="D146" s="612"/>
      <c r="E146" s="613"/>
      <c r="F146" s="614"/>
      <c r="G146" s="613"/>
      <c r="H146" s="613"/>
      <c r="I146" s="613"/>
      <c r="J146" s="615"/>
      <c r="K146" s="526"/>
      <c r="L146" s="570"/>
    </row>
    <row r="147" spans="1:12" ht="14.25">
      <c r="A147" s="570"/>
      <c r="B147" s="536"/>
      <c r="C147" s="918" t="s">
        <v>782</v>
      </c>
      <c r="D147" s="918"/>
      <c r="E147" s="592"/>
      <c r="F147" s="611" t="s">
        <v>783</v>
      </c>
      <c r="G147" s="592"/>
      <c r="H147" s="592"/>
      <c r="I147" s="592"/>
      <c r="J147" s="919" t="s">
        <v>784</v>
      </c>
      <c r="K147" s="920"/>
      <c r="L147" s="570"/>
    </row>
    <row r="148" spans="1:12" ht="14.25">
      <c r="A148" s="570"/>
      <c r="B148" s="536"/>
      <c r="C148" s="925">
        <v>52.869</v>
      </c>
      <c r="D148" s="925"/>
      <c r="E148" s="592" t="s">
        <v>152</v>
      </c>
      <c r="F148" s="589">
        <v>3155579</v>
      </c>
      <c r="G148" s="616" t="s">
        <v>677</v>
      </c>
      <c r="H148" s="592">
        <v>1000</v>
      </c>
      <c r="I148" s="592" t="s">
        <v>676</v>
      </c>
      <c r="J148" s="919">
        <f>C148*(F148/1000)</f>
        <v>166832.306151</v>
      </c>
      <c r="K148" s="926"/>
      <c r="L148" s="570"/>
    </row>
    <row r="149" spans="1:12" ht="15" thickBot="1">
      <c r="A149" s="570"/>
      <c r="B149" s="531"/>
      <c r="C149" s="608"/>
      <c r="D149" s="608"/>
      <c r="E149" s="546"/>
      <c r="F149" s="609"/>
      <c r="G149" s="546"/>
      <c r="H149" s="546"/>
      <c r="I149" s="546"/>
      <c r="J149" s="610"/>
      <c r="K149" s="533"/>
      <c r="L149" s="570"/>
    </row>
    <row r="150" spans="1:12" ht="15" thickBot="1">
      <c r="A150" s="570"/>
      <c r="B150" s="531"/>
      <c r="C150" s="532"/>
      <c r="D150" s="532"/>
      <c r="E150" s="532"/>
      <c r="F150" s="532"/>
      <c r="G150" s="532"/>
      <c r="H150" s="532"/>
      <c r="I150" s="532"/>
      <c r="J150" s="532"/>
      <c r="K150" s="533"/>
      <c r="L150" s="570"/>
    </row>
    <row r="151" spans="1:12" ht="14.25">
      <c r="A151" s="570"/>
      <c r="B151" s="570"/>
      <c r="C151" s="570"/>
      <c r="D151" s="570"/>
      <c r="E151" s="570"/>
      <c r="F151" s="570"/>
      <c r="G151" s="570"/>
      <c r="H151" s="570"/>
      <c r="I151" s="570"/>
      <c r="J151" s="570"/>
      <c r="K151" s="570"/>
      <c r="L151" s="570"/>
    </row>
    <row r="152" spans="1:12" ht="14.25">
      <c r="A152" s="570"/>
      <c r="B152" s="570"/>
      <c r="C152" s="570"/>
      <c r="D152" s="570"/>
      <c r="E152" s="570"/>
      <c r="F152" s="570"/>
      <c r="G152" s="570"/>
      <c r="H152" s="570"/>
      <c r="I152" s="570"/>
      <c r="J152" s="570"/>
      <c r="K152" s="570"/>
      <c r="L152" s="570"/>
    </row>
    <row r="153" spans="1:12" ht="14.25">
      <c r="A153" s="570"/>
      <c r="B153" s="570"/>
      <c r="C153" s="570"/>
      <c r="D153" s="570"/>
      <c r="E153" s="570"/>
      <c r="F153" s="570"/>
      <c r="G153" s="570"/>
      <c r="H153" s="570"/>
      <c r="I153" s="570"/>
      <c r="J153" s="570"/>
      <c r="K153" s="570"/>
      <c r="L153" s="570"/>
    </row>
    <row r="154" spans="1:12" ht="14.25">
      <c r="A154" s="562"/>
      <c r="B154" s="562"/>
      <c r="C154" s="562"/>
      <c r="D154" s="562"/>
      <c r="E154" s="562"/>
      <c r="F154" s="562"/>
      <c r="G154" s="562"/>
      <c r="H154" s="562"/>
      <c r="I154" s="562"/>
      <c r="J154" s="562"/>
      <c r="K154" s="562"/>
      <c r="L154" s="562"/>
    </row>
    <row r="155" spans="1:12" ht="14.25">
      <c r="A155" s="562"/>
      <c r="B155" s="562"/>
      <c r="C155" s="562"/>
      <c r="D155" s="562"/>
      <c r="E155" s="562"/>
      <c r="F155" s="562"/>
      <c r="G155" s="562"/>
      <c r="H155" s="562"/>
      <c r="I155" s="562"/>
      <c r="J155" s="562"/>
      <c r="K155" s="562"/>
      <c r="L155" s="562"/>
    </row>
    <row r="156" spans="1:12" ht="14.25">
      <c r="A156" s="562"/>
      <c r="B156" s="562"/>
      <c r="C156" s="562"/>
      <c r="D156" s="562"/>
      <c r="E156" s="562"/>
      <c r="F156" s="562"/>
      <c r="G156" s="562"/>
      <c r="H156" s="562"/>
      <c r="I156" s="562"/>
      <c r="J156" s="562"/>
      <c r="K156" s="562"/>
      <c r="L156" s="562"/>
    </row>
    <row r="157" spans="1:12" ht="14.25">
      <c r="A157" s="562"/>
      <c r="B157" s="562"/>
      <c r="C157" s="562"/>
      <c r="D157" s="562"/>
      <c r="E157" s="562"/>
      <c r="F157" s="562"/>
      <c r="G157" s="562"/>
      <c r="H157" s="562"/>
      <c r="I157" s="562"/>
      <c r="J157" s="562"/>
      <c r="K157" s="562"/>
      <c r="L157" s="562"/>
    </row>
    <row r="158" spans="1:12" ht="14.25">
      <c r="A158" s="562"/>
      <c r="B158" s="562"/>
      <c r="C158" s="562"/>
      <c r="D158" s="562"/>
      <c r="E158" s="562"/>
      <c r="F158" s="562"/>
      <c r="G158" s="562"/>
      <c r="H158" s="562"/>
      <c r="I158" s="562"/>
      <c r="J158" s="562"/>
      <c r="K158" s="562"/>
      <c r="L158" s="562"/>
    </row>
    <row r="159" spans="1:12" ht="14.25">
      <c r="A159" s="562"/>
      <c r="B159" s="562"/>
      <c r="C159" s="562"/>
      <c r="D159" s="562"/>
      <c r="E159" s="562"/>
      <c r="F159" s="562"/>
      <c r="G159" s="562"/>
      <c r="H159" s="562"/>
      <c r="I159" s="562"/>
      <c r="J159" s="562"/>
      <c r="K159" s="562"/>
      <c r="L159" s="562"/>
    </row>
    <row r="160" spans="1:12" ht="14.25">
      <c r="A160" s="562"/>
      <c r="B160" s="562"/>
      <c r="C160" s="562"/>
      <c r="D160" s="562"/>
      <c r="E160" s="562"/>
      <c r="F160" s="562"/>
      <c r="G160" s="562"/>
      <c r="H160" s="562"/>
      <c r="I160" s="562"/>
      <c r="J160" s="562"/>
      <c r="K160" s="562"/>
      <c r="L160" s="562"/>
    </row>
    <row r="161" spans="1:12" ht="14.25">
      <c r="A161" s="562"/>
      <c r="B161" s="562"/>
      <c r="C161" s="562"/>
      <c r="D161" s="562"/>
      <c r="E161" s="562"/>
      <c r="F161" s="562"/>
      <c r="G161" s="562"/>
      <c r="H161" s="562"/>
      <c r="I161" s="562"/>
      <c r="J161" s="562"/>
      <c r="K161" s="562"/>
      <c r="L161" s="562"/>
    </row>
    <row r="162" spans="1:12" ht="14.25">
      <c r="A162" s="562"/>
      <c r="B162" s="562"/>
      <c r="C162" s="562"/>
      <c r="D162" s="562"/>
      <c r="E162" s="562"/>
      <c r="F162" s="562"/>
      <c r="G162" s="562"/>
      <c r="H162" s="562"/>
      <c r="I162" s="562"/>
      <c r="J162" s="562"/>
      <c r="K162" s="562"/>
      <c r="L162" s="562"/>
    </row>
    <row r="163" spans="1:12" ht="14.25">
      <c r="A163" s="562"/>
      <c r="B163" s="562"/>
      <c r="C163" s="562"/>
      <c r="D163" s="562"/>
      <c r="E163" s="562"/>
      <c r="F163" s="562"/>
      <c r="G163" s="562"/>
      <c r="H163" s="562"/>
      <c r="I163" s="562"/>
      <c r="J163" s="562"/>
      <c r="K163" s="562"/>
      <c r="L163" s="562"/>
    </row>
    <row r="164" spans="1:12" ht="14.25">
      <c r="A164" s="562"/>
      <c r="B164" s="562"/>
      <c r="C164" s="562"/>
      <c r="D164" s="562"/>
      <c r="E164" s="562"/>
      <c r="F164" s="562"/>
      <c r="G164" s="562"/>
      <c r="H164" s="562"/>
      <c r="I164" s="562"/>
      <c r="J164" s="562"/>
      <c r="K164" s="562"/>
      <c r="L164" s="562"/>
    </row>
    <row r="165" spans="1:12" ht="14.25">
      <c r="A165" s="562"/>
      <c r="B165" s="562"/>
      <c r="C165" s="562"/>
      <c r="D165" s="562"/>
      <c r="E165" s="562"/>
      <c r="F165" s="562"/>
      <c r="G165" s="562"/>
      <c r="H165" s="562"/>
      <c r="I165" s="562"/>
      <c r="J165" s="562"/>
      <c r="K165" s="562"/>
      <c r="L165" s="562"/>
    </row>
    <row r="166" spans="1:12" ht="14.25">
      <c r="A166" s="562"/>
      <c r="B166" s="562"/>
      <c r="C166" s="562"/>
      <c r="D166" s="562"/>
      <c r="E166" s="562"/>
      <c r="F166" s="562"/>
      <c r="G166" s="562"/>
      <c r="H166" s="562"/>
      <c r="I166" s="562"/>
      <c r="J166" s="562"/>
      <c r="K166" s="562"/>
      <c r="L166" s="562"/>
    </row>
    <row r="167" spans="1:12" ht="14.25">
      <c r="A167" s="562"/>
      <c r="B167" s="562"/>
      <c r="C167" s="562"/>
      <c r="D167" s="562"/>
      <c r="E167" s="562"/>
      <c r="F167" s="562"/>
      <c r="G167" s="562"/>
      <c r="H167" s="562"/>
      <c r="I167" s="562"/>
      <c r="J167" s="562"/>
      <c r="K167" s="562"/>
      <c r="L167" s="562"/>
    </row>
    <row r="168" spans="1:12" ht="14.25">
      <c r="A168" s="562"/>
      <c r="B168" s="562"/>
      <c r="C168" s="562"/>
      <c r="D168" s="562"/>
      <c r="E168" s="562"/>
      <c r="F168" s="562"/>
      <c r="G168" s="562"/>
      <c r="H168" s="562"/>
      <c r="I168" s="562"/>
      <c r="J168" s="562"/>
      <c r="K168" s="562"/>
      <c r="L168" s="562"/>
    </row>
    <row r="169" spans="1:12" ht="14.25">
      <c r="A169" s="562"/>
      <c r="B169" s="562"/>
      <c r="C169" s="562"/>
      <c r="D169" s="562"/>
      <c r="E169" s="562"/>
      <c r="F169" s="562"/>
      <c r="G169" s="562"/>
      <c r="H169" s="562"/>
      <c r="I169" s="562"/>
      <c r="J169" s="562"/>
      <c r="K169" s="562"/>
      <c r="L169" s="562"/>
    </row>
    <row r="170" spans="1:12" ht="14.25">
      <c r="A170" s="562"/>
      <c r="B170" s="562"/>
      <c r="C170" s="562"/>
      <c r="D170" s="562"/>
      <c r="E170" s="562"/>
      <c r="F170" s="562"/>
      <c r="G170" s="562"/>
      <c r="H170" s="562"/>
      <c r="I170" s="562"/>
      <c r="J170" s="562"/>
      <c r="K170" s="562"/>
      <c r="L170" s="562"/>
    </row>
    <row r="171" spans="1:12" ht="14.25">
      <c r="A171" s="562"/>
      <c r="B171" s="562"/>
      <c r="C171" s="562"/>
      <c r="D171" s="562"/>
      <c r="E171" s="562"/>
      <c r="F171" s="562"/>
      <c r="G171" s="562"/>
      <c r="H171" s="562"/>
      <c r="I171" s="562"/>
      <c r="J171" s="562"/>
      <c r="K171" s="562"/>
      <c r="L171" s="562"/>
    </row>
    <row r="172" spans="1:12" ht="14.25">
      <c r="A172" s="562"/>
      <c r="B172" s="562"/>
      <c r="C172" s="562"/>
      <c r="D172" s="562"/>
      <c r="E172" s="562"/>
      <c r="F172" s="562"/>
      <c r="G172" s="562"/>
      <c r="H172" s="562"/>
      <c r="I172" s="562"/>
      <c r="J172" s="562"/>
      <c r="K172" s="562"/>
      <c r="L172" s="562"/>
    </row>
    <row r="173" spans="1:12" ht="14.25">
      <c r="A173" s="562"/>
      <c r="B173" s="562"/>
      <c r="C173" s="562"/>
      <c r="D173" s="562"/>
      <c r="E173" s="562"/>
      <c r="F173" s="562"/>
      <c r="G173" s="562"/>
      <c r="H173" s="562"/>
      <c r="I173" s="562"/>
      <c r="J173" s="562"/>
      <c r="K173" s="562"/>
      <c r="L173" s="562"/>
    </row>
    <row r="174" spans="1:12" ht="14.25">
      <c r="A174" s="562"/>
      <c r="B174" s="562"/>
      <c r="C174" s="562"/>
      <c r="D174" s="562"/>
      <c r="E174" s="562"/>
      <c r="F174" s="562"/>
      <c r="G174" s="562"/>
      <c r="H174" s="562"/>
      <c r="I174" s="562"/>
      <c r="J174" s="562"/>
      <c r="K174" s="562"/>
      <c r="L174" s="562"/>
    </row>
    <row r="175" spans="1:12" ht="14.25">
      <c r="A175" s="562"/>
      <c r="B175" s="562"/>
      <c r="C175" s="562"/>
      <c r="D175" s="562"/>
      <c r="E175" s="562"/>
      <c r="F175" s="562"/>
      <c r="G175" s="562"/>
      <c r="H175" s="562"/>
      <c r="I175" s="562"/>
      <c r="J175" s="562"/>
      <c r="K175" s="562"/>
      <c r="L175" s="562"/>
    </row>
    <row r="176" spans="1:12" ht="14.25">
      <c r="A176" s="562"/>
      <c r="B176" s="562"/>
      <c r="C176" s="562"/>
      <c r="D176" s="562"/>
      <c r="E176" s="562"/>
      <c r="F176" s="562"/>
      <c r="G176" s="562"/>
      <c r="H176" s="562"/>
      <c r="I176" s="562"/>
      <c r="J176" s="562"/>
      <c r="K176" s="562"/>
      <c r="L176" s="562"/>
    </row>
    <row r="177" spans="1:12" ht="14.25">
      <c r="A177" s="562"/>
      <c r="B177" s="562"/>
      <c r="C177" s="562"/>
      <c r="D177" s="562"/>
      <c r="E177" s="562"/>
      <c r="F177" s="562"/>
      <c r="G177" s="562"/>
      <c r="H177" s="562"/>
      <c r="I177" s="562"/>
      <c r="J177" s="562"/>
      <c r="K177" s="562"/>
      <c r="L177" s="562"/>
    </row>
    <row r="178" spans="1:12" ht="14.25">
      <c r="A178" s="562"/>
      <c r="B178" s="562"/>
      <c r="C178" s="562"/>
      <c r="D178" s="562"/>
      <c r="E178" s="562"/>
      <c r="F178" s="562"/>
      <c r="G178" s="562"/>
      <c r="H178" s="562"/>
      <c r="I178" s="562"/>
      <c r="J178" s="562"/>
      <c r="K178" s="562"/>
      <c r="L178" s="562"/>
    </row>
    <row r="179" spans="1:12" ht="14.25">
      <c r="A179" s="562"/>
      <c r="B179" s="562"/>
      <c r="C179" s="562"/>
      <c r="D179" s="562"/>
      <c r="E179" s="562"/>
      <c r="F179" s="562"/>
      <c r="G179" s="562"/>
      <c r="H179" s="562"/>
      <c r="I179" s="562"/>
      <c r="J179" s="562"/>
      <c r="K179" s="562"/>
      <c r="L179" s="562"/>
    </row>
    <row r="180" spans="1:12" ht="14.25">
      <c r="A180" s="562"/>
      <c r="B180" s="562"/>
      <c r="C180" s="562"/>
      <c r="D180" s="562"/>
      <c r="E180" s="562"/>
      <c r="F180" s="562"/>
      <c r="G180" s="562"/>
      <c r="H180" s="562"/>
      <c r="I180" s="562"/>
      <c r="J180" s="562"/>
      <c r="K180" s="562"/>
      <c r="L180" s="562"/>
    </row>
    <row r="181" spans="1:12" ht="14.25">
      <c r="A181" s="562"/>
      <c r="B181" s="562"/>
      <c r="C181" s="562"/>
      <c r="D181" s="562"/>
      <c r="E181" s="562"/>
      <c r="F181" s="562"/>
      <c r="G181" s="562"/>
      <c r="H181" s="562"/>
      <c r="I181" s="562"/>
      <c r="J181" s="562"/>
      <c r="K181" s="562"/>
      <c r="L181" s="562"/>
    </row>
    <row r="182" spans="1:12" ht="14.25">
      <c r="A182" s="562"/>
      <c r="B182" s="562"/>
      <c r="C182" s="562"/>
      <c r="D182" s="562"/>
      <c r="E182" s="562"/>
      <c r="F182" s="562"/>
      <c r="G182" s="562"/>
      <c r="H182" s="562"/>
      <c r="I182" s="562"/>
      <c r="J182" s="562"/>
      <c r="K182" s="562"/>
      <c r="L182" s="562"/>
    </row>
    <row r="183" spans="1:12" ht="14.25">
      <c r="A183" s="562"/>
      <c r="B183" s="562"/>
      <c r="C183" s="562"/>
      <c r="D183" s="562"/>
      <c r="E183" s="562"/>
      <c r="F183" s="562"/>
      <c r="G183" s="562"/>
      <c r="H183" s="562"/>
      <c r="I183" s="562"/>
      <c r="J183" s="562"/>
      <c r="K183" s="562"/>
      <c r="L183" s="562"/>
    </row>
    <row r="184" spans="1:12" ht="14.25">
      <c r="A184" s="562"/>
      <c r="B184" s="562"/>
      <c r="C184" s="562"/>
      <c r="D184" s="562"/>
      <c r="E184" s="562"/>
      <c r="F184" s="562"/>
      <c r="G184" s="562"/>
      <c r="H184" s="562"/>
      <c r="I184" s="562"/>
      <c r="J184" s="562"/>
      <c r="K184" s="562"/>
      <c r="L184" s="562"/>
    </row>
    <row r="185" spans="1:12" ht="14.25">
      <c r="A185" s="562"/>
      <c r="B185" s="562"/>
      <c r="C185" s="562"/>
      <c r="D185" s="562"/>
      <c r="E185" s="562"/>
      <c r="F185" s="562"/>
      <c r="G185" s="562"/>
      <c r="H185" s="562"/>
      <c r="I185" s="562"/>
      <c r="J185" s="562"/>
      <c r="K185" s="562"/>
      <c r="L185" s="562"/>
    </row>
    <row r="186" spans="1:12" ht="14.25">
      <c r="A186" s="562"/>
      <c r="B186" s="562"/>
      <c r="C186" s="562"/>
      <c r="D186" s="562"/>
      <c r="E186" s="562"/>
      <c r="F186" s="562"/>
      <c r="G186" s="562"/>
      <c r="H186" s="562"/>
      <c r="I186" s="562"/>
      <c r="J186" s="562"/>
      <c r="K186" s="562"/>
      <c r="L186" s="562"/>
    </row>
    <row r="187" spans="1:12" ht="14.25">
      <c r="A187" s="562"/>
      <c r="B187" s="562"/>
      <c r="C187" s="562"/>
      <c r="D187" s="562"/>
      <c r="E187" s="562"/>
      <c r="F187" s="562"/>
      <c r="G187" s="562"/>
      <c r="H187" s="562"/>
      <c r="I187" s="562"/>
      <c r="J187" s="562"/>
      <c r="K187" s="562"/>
      <c r="L187" s="562"/>
    </row>
    <row r="188" spans="1:12" ht="14.25">
      <c r="A188" s="562"/>
      <c r="B188" s="562"/>
      <c r="C188" s="562"/>
      <c r="D188" s="562"/>
      <c r="E188" s="562"/>
      <c r="F188" s="562"/>
      <c r="G188" s="562"/>
      <c r="H188" s="562"/>
      <c r="I188" s="562"/>
      <c r="J188" s="562"/>
      <c r="K188" s="562"/>
      <c r="L188" s="562"/>
    </row>
    <row r="189" spans="1:12" ht="14.25">
      <c r="A189" s="562"/>
      <c r="B189" s="562"/>
      <c r="C189" s="562"/>
      <c r="D189" s="562"/>
      <c r="E189" s="562"/>
      <c r="F189" s="562"/>
      <c r="G189" s="562"/>
      <c r="H189" s="562"/>
      <c r="I189" s="562"/>
      <c r="J189" s="562"/>
      <c r="K189" s="562"/>
      <c r="L189" s="562"/>
    </row>
    <row r="190" spans="1:12" ht="14.25">
      <c r="A190" s="562"/>
      <c r="B190" s="562"/>
      <c r="C190" s="562"/>
      <c r="D190" s="562"/>
      <c r="E190" s="562"/>
      <c r="F190" s="562"/>
      <c r="G190" s="562"/>
      <c r="H190" s="562"/>
      <c r="I190" s="562"/>
      <c r="J190" s="562"/>
      <c r="K190" s="562"/>
      <c r="L190" s="562"/>
    </row>
    <row r="191" spans="1:12" ht="14.25">
      <c r="A191" s="562"/>
      <c r="B191" s="562"/>
      <c r="C191" s="562"/>
      <c r="D191" s="562"/>
      <c r="E191" s="562"/>
      <c r="F191" s="562"/>
      <c r="G191" s="562"/>
      <c r="H191" s="562"/>
      <c r="I191" s="562"/>
      <c r="J191" s="562"/>
      <c r="K191" s="562"/>
      <c r="L191" s="562"/>
    </row>
    <row r="192" spans="1:12" ht="14.25">
      <c r="A192" s="562"/>
      <c r="B192" s="562"/>
      <c r="C192" s="562"/>
      <c r="D192" s="562"/>
      <c r="E192" s="562"/>
      <c r="F192" s="562"/>
      <c r="G192" s="562"/>
      <c r="H192" s="562"/>
      <c r="I192" s="562"/>
      <c r="J192" s="562"/>
      <c r="K192" s="562"/>
      <c r="L192" s="562"/>
    </row>
    <row r="193" spans="1:12" ht="14.25">
      <c r="A193" s="562"/>
      <c r="B193" s="562"/>
      <c r="C193" s="562"/>
      <c r="D193" s="562"/>
      <c r="E193" s="562"/>
      <c r="F193" s="562"/>
      <c r="G193" s="562"/>
      <c r="H193" s="562"/>
      <c r="I193" s="562"/>
      <c r="J193" s="562"/>
      <c r="K193" s="562"/>
      <c r="L193" s="562"/>
    </row>
    <row r="194" spans="1:12" ht="14.25">
      <c r="A194" s="562"/>
      <c r="B194" s="562"/>
      <c r="C194" s="562"/>
      <c r="D194" s="562"/>
      <c r="E194" s="562"/>
      <c r="F194" s="562"/>
      <c r="G194" s="562"/>
      <c r="H194" s="562"/>
      <c r="I194" s="562"/>
      <c r="J194" s="562"/>
      <c r="K194" s="562"/>
      <c r="L194" s="562"/>
    </row>
    <row r="195" spans="1:12" ht="14.25">
      <c r="A195" s="562"/>
      <c r="B195" s="562"/>
      <c r="C195" s="562"/>
      <c r="D195" s="562"/>
      <c r="E195" s="562"/>
      <c r="F195" s="562"/>
      <c r="G195" s="562"/>
      <c r="H195" s="562"/>
      <c r="I195" s="562"/>
      <c r="J195" s="562"/>
      <c r="K195" s="562"/>
      <c r="L195" s="562"/>
    </row>
    <row r="196" spans="1:12" ht="14.25">
      <c r="A196" s="562"/>
      <c r="B196" s="562"/>
      <c r="C196" s="562"/>
      <c r="D196" s="562"/>
      <c r="E196" s="562"/>
      <c r="F196" s="562"/>
      <c r="G196" s="562"/>
      <c r="H196" s="562"/>
      <c r="I196" s="562"/>
      <c r="J196" s="562"/>
      <c r="K196" s="562"/>
      <c r="L196" s="562"/>
    </row>
    <row r="197" spans="1:12" ht="14.25">
      <c r="A197" s="562"/>
      <c r="B197" s="562"/>
      <c r="C197" s="562"/>
      <c r="D197" s="562"/>
      <c r="E197" s="562"/>
      <c r="F197" s="562"/>
      <c r="G197" s="562"/>
      <c r="H197" s="562"/>
      <c r="I197" s="562"/>
      <c r="J197" s="562"/>
      <c r="K197" s="562"/>
      <c r="L197" s="562"/>
    </row>
    <row r="198" spans="1:12" ht="14.25">
      <c r="A198" s="562"/>
      <c r="B198" s="562"/>
      <c r="C198" s="562"/>
      <c r="D198" s="562"/>
      <c r="E198" s="562"/>
      <c r="F198" s="562"/>
      <c r="G198" s="562"/>
      <c r="H198" s="562"/>
      <c r="I198" s="562"/>
      <c r="J198" s="562"/>
      <c r="K198" s="562"/>
      <c r="L198" s="562"/>
    </row>
    <row r="199" spans="1:12" ht="14.25">
      <c r="A199" s="562"/>
      <c r="B199" s="562"/>
      <c r="C199" s="562"/>
      <c r="D199" s="562"/>
      <c r="E199" s="562"/>
      <c r="F199" s="562"/>
      <c r="G199" s="562"/>
      <c r="H199" s="562"/>
      <c r="I199" s="562"/>
      <c r="J199" s="562"/>
      <c r="K199" s="562"/>
      <c r="L199" s="562"/>
    </row>
    <row r="200" spans="1:12" ht="14.25">
      <c r="A200" s="562"/>
      <c r="B200" s="562"/>
      <c r="C200" s="562"/>
      <c r="D200" s="562"/>
      <c r="E200" s="562"/>
      <c r="F200" s="562"/>
      <c r="G200" s="562"/>
      <c r="H200" s="562"/>
      <c r="I200" s="562"/>
      <c r="J200" s="562"/>
      <c r="K200" s="562"/>
      <c r="L200" s="562"/>
    </row>
    <row r="201" spans="1:12" ht="14.25">
      <c r="A201" s="562"/>
      <c r="B201" s="562"/>
      <c r="C201" s="562"/>
      <c r="D201" s="562"/>
      <c r="E201" s="562"/>
      <c r="F201" s="562"/>
      <c r="G201" s="562"/>
      <c r="H201" s="562"/>
      <c r="I201" s="562"/>
      <c r="J201" s="562"/>
      <c r="K201" s="562"/>
      <c r="L201" s="562"/>
    </row>
    <row r="202" spans="1:12" ht="14.25">
      <c r="A202" s="562"/>
      <c r="B202" s="562"/>
      <c r="C202" s="562"/>
      <c r="D202" s="562"/>
      <c r="E202" s="562"/>
      <c r="F202" s="562"/>
      <c r="G202" s="562"/>
      <c r="H202" s="562"/>
      <c r="I202" s="562"/>
      <c r="J202" s="562"/>
      <c r="K202" s="562"/>
      <c r="L202" s="562"/>
    </row>
    <row r="203" spans="1:12" ht="14.25">
      <c r="A203" s="562"/>
      <c r="B203" s="562"/>
      <c r="C203" s="562"/>
      <c r="D203" s="562"/>
      <c r="E203" s="562"/>
      <c r="F203" s="562"/>
      <c r="G203" s="562"/>
      <c r="H203" s="562"/>
      <c r="I203" s="562"/>
      <c r="J203" s="562"/>
      <c r="K203" s="562"/>
      <c r="L203" s="562"/>
    </row>
    <row r="204" spans="1:12" ht="14.25">
      <c r="A204" s="562"/>
      <c r="B204" s="562"/>
      <c r="C204" s="562"/>
      <c r="D204" s="562"/>
      <c r="E204" s="562"/>
      <c r="F204" s="562"/>
      <c r="G204" s="562"/>
      <c r="H204" s="562"/>
      <c r="I204" s="562"/>
      <c r="J204" s="562"/>
      <c r="K204" s="562"/>
      <c r="L204" s="562"/>
    </row>
    <row r="205" spans="1:12" ht="14.25">
      <c r="A205" s="562"/>
      <c r="B205" s="562"/>
      <c r="C205" s="562"/>
      <c r="D205" s="562"/>
      <c r="E205" s="562"/>
      <c r="F205" s="562"/>
      <c r="G205" s="562"/>
      <c r="H205" s="562"/>
      <c r="I205" s="562"/>
      <c r="J205" s="562"/>
      <c r="K205" s="562"/>
      <c r="L205" s="562"/>
    </row>
    <row r="206" spans="1:12" ht="14.25">
      <c r="A206" s="562"/>
      <c r="B206" s="562"/>
      <c r="C206" s="562"/>
      <c r="D206" s="562"/>
      <c r="E206" s="562"/>
      <c r="F206" s="562"/>
      <c r="G206" s="562"/>
      <c r="H206" s="562"/>
      <c r="I206" s="562"/>
      <c r="J206" s="562"/>
      <c r="K206" s="562"/>
      <c r="L206" s="562"/>
    </row>
    <row r="207" spans="1:12" ht="14.25">
      <c r="A207" s="562"/>
      <c r="B207" s="562"/>
      <c r="C207" s="562"/>
      <c r="D207" s="562"/>
      <c r="E207" s="562"/>
      <c r="F207" s="562"/>
      <c r="G207" s="562"/>
      <c r="H207" s="562"/>
      <c r="I207" s="562"/>
      <c r="J207" s="562"/>
      <c r="K207" s="562"/>
      <c r="L207" s="562"/>
    </row>
    <row r="208" spans="1:12" ht="14.25">
      <c r="A208" s="562"/>
      <c r="B208" s="562"/>
      <c r="C208" s="562"/>
      <c r="D208" s="562"/>
      <c r="E208" s="562"/>
      <c r="F208" s="562"/>
      <c r="G208" s="562"/>
      <c r="H208" s="562"/>
      <c r="I208" s="562"/>
      <c r="J208" s="562"/>
      <c r="K208" s="562"/>
      <c r="L208" s="562"/>
    </row>
    <row r="209" spans="1:12" ht="14.25">
      <c r="A209" s="562"/>
      <c r="B209" s="562"/>
      <c r="C209" s="562"/>
      <c r="D209" s="562"/>
      <c r="E209" s="562"/>
      <c r="F209" s="562"/>
      <c r="G209" s="562"/>
      <c r="H209" s="562"/>
      <c r="I209" s="562"/>
      <c r="J209" s="562"/>
      <c r="K209" s="562"/>
      <c r="L209" s="562"/>
    </row>
    <row r="210" spans="1:12" ht="14.25">
      <c r="A210" s="562"/>
      <c r="B210" s="562"/>
      <c r="C210" s="562"/>
      <c r="D210" s="562"/>
      <c r="E210" s="562"/>
      <c r="F210" s="562"/>
      <c r="G210" s="562"/>
      <c r="H210" s="562"/>
      <c r="I210" s="562"/>
      <c r="J210" s="562"/>
      <c r="K210" s="562"/>
      <c r="L210" s="562"/>
    </row>
    <row r="211" spans="1:12" ht="14.25">
      <c r="A211" s="562"/>
      <c r="B211" s="562"/>
      <c r="C211" s="562"/>
      <c r="D211" s="562"/>
      <c r="E211" s="562"/>
      <c r="F211" s="562"/>
      <c r="G211" s="562"/>
      <c r="H211" s="562"/>
      <c r="I211" s="562"/>
      <c r="J211" s="562"/>
      <c r="K211" s="562"/>
      <c r="L211" s="562"/>
    </row>
    <row r="212" spans="1:12" ht="14.25">
      <c r="A212" s="562"/>
      <c r="B212" s="562"/>
      <c r="C212" s="562"/>
      <c r="D212" s="562"/>
      <c r="E212" s="562"/>
      <c r="F212" s="562"/>
      <c r="G212" s="562"/>
      <c r="H212" s="562"/>
      <c r="I212" s="562"/>
      <c r="J212" s="562"/>
      <c r="K212" s="562"/>
      <c r="L212" s="562"/>
    </row>
    <row r="213" spans="1:12" ht="14.25">
      <c r="A213" s="562"/>
      <c r="B213" s="562"/>
      <c r="C213" s="562"/>
      <c r="D213" s="562"/>
      <c r="E213" s="562"/>
      <c r="F213" s="562"/>
      <c r="G213" s="562"/>
      <c r="H213" s="562"/>
      <c r="I213" s="562"/>
      <c r="J213" s="562"/>
      <c r="K213" s="562"/>
      <c r="L213" s="562"/>
    </row>
    <row r="214" spans="1:12" ht="14.25">
      <c r="A214" s="562"/>
      <c r="B214" s="562"/>
      <c r="C214" s="562"/>
      <c r="D214" s="562"/>
      <c r="E214" s="562"/>
      <c r="F214" s="562"/>
      <c r="G214" s="562"/>
      <c r="H214" s="562"/>
      <c r="I214" s="562"/>
      <c r="J214" s="562"/>
      <c r="K214" s="562"/>
      <c r="L214" s="562"/>
    </row>
    <row r="215" spans="1:12" ht="14.25">
      <c r="A215" s="562"/>
      <c r="B215" s="562"/>
      <c r="C215" s="562"/>
      <c r="D215" s="562"/>
      <c r="E215" s="562"/>
      <c r="F215" s="562"/>
      <c r="G215" s="562"/>
      <c r="H215" s="562"/>
      <c r="I215" s="562"/>
      <c r="J215" s="562"/>
      <c r="K215" s="562"/>
      <c r="L215" s="562"/>
    </row>
    <row r="216" spans="1:12" ht="14.25">
      <c r="A216" s="562"/>
      <c r="B216" s="562"/>
      <c r="C216" s="562"/>
      <c r="D216" s="562"/>
      <c r="E216" s="562"/>
      <c r="F216" s="562"/>
      <c r="G216" s="562"/>
      <c r="H216" s="562"/>
      <c r="I216" s="562"/>
      <c r="J216" s="562"/>
      <c r="K216" s="562"/>
      <c r="L216" s="562"/>
    </row>
    <row r="217" spans="1:12" ht="14.25">
      <c r="A217" s="562"/>
      <c r="B217" s="562"/>
      <c r="C217" s="562"/>
      <c r="D217" s="562"/>
      <c r="E217" s="562"/>
      <c r="F217" s="562"/>
      <c r="G217" s="562"/>
      <c r="H217" s="562"/>
      <c r="I217" s="562"/>
      <c r="J217" s="562"/>
      <c r="K217" s="562"/>
      <c r="L217" s="562"/>
    </row>
    <row r="218" spans="1:12" ht="14.25">
      <c r="A218" s="562"/>
      <c r="B218" s="562"/>
      <c r="C218" s="562"/>
      <c r="D218" s="562"/>
      <c r="E218" s="562"/>
      <c r="F218" s="562"/>
      <c r="G218" s="562"/>
      <c r="H218" s="562"/>
      <c r="I218" s="562"/>
      <c r="J218" s="562"/>
      <c r="K218" s="562"/>
      <c r="L218" s="562"/>
    </row>
    <row r="219" spans="1:12" ht="14.25">
      <c r="A219" s="562"/>
      <c r="B219" s="562"/>
      <c r="C219" s="562"/>
      <c r="D219" s="562"/>
      <c r="E219" s="562"/>
      <c r="F219" s="562"/>
      <c r="G219" s="562"/>
      <c r="H219" s="562"/>
      <c r="I219" s="562"/>
      <c r="J219" s="562"/>
      <c r="K219" s="562"/>
      <c r="L219" s="562"/>
    </row>
    <row r="220" spans="1:12" ht="14.25">
      <c r="A220" s="562"/>
      <c r="B220" s="562"/>
      <c r="C220" s="562"/>
      <c r="D220" s="562"/>
      <c r="E220" s="562"/>
      <c r="F220" s="562"/>
      <c r="G220" s="562"/>
      <c r="H220" s="562"/>
      <c r="I220" s="562"/>
      <c r="J220" s="562"/>
      <c r="K220" s="562"/>
      <c r="L220" s="562"/>
    </row>
    <row r="221" spans="1:12" ht="14.25">
      <c r="A221" s="562"/>
      <c r="B221" s="562"/>
      <c r="C221" s="562"/>
      <c r="D221" s="562"/>
      <c r="E221" s="562"/>
      <c r="F221" s="562"/>
      <c r="G221" s="562"/>
      <c r="H221" s="562"/>
      <c r="I221" s="562"/>
      <c r="J221" s="562"/>
      <c r="K221" s="562"/>
      <c r="L221" s="562"/>
    </row>
    <row r="222" spans="1:12" ht="14.25">
      <c r="A222" s="562"/>
      <c r="B222" s="562"/>
      <c r="C222" s="562"/>
      <c r="D222" s="562"/>
      <c r="E222" s="562"/>
      <c r="F222" s="562"/>
      <c r="G222" s="562"/>
      <c r="H222" s="562"/>
      <c r="I222" s="562"/>
      <c r="J222" s="562"/>
      <c r="K222" s="562"/>
      <c r="L222" s="562"/>
    </row>
    <row r="223" spans="1:12" ht="14.25">
      <c r="A223" s="562"/>
      <c r="B223" s="562"/>
      <c r="C223" s="562"/>
      <c r="D223" s="562"/>
      <c r="E223" s="562"/>
      <c r="F223" s="562"/>
      <c r="G223" s="562"/>
      <c r="H223" s="562"/>
      <c r="I223" s="562"/>
      <c r="J223" s="562"/>
      <c r="K223" s="562"/>
      <c r="L223" s="562"/>
    </row>
    <row r="224" spans="1:12" ht="14.25">
      <c r="A224" s="562"/>
      <c r="B224" s="562"/>
      <c r="C224" s="562"/>
      <c r="D224" s="562"/>
      <c r="E224" s="562"/>
      <c r="F224" s="562"/>
      <c r="G224" s="562"/>
      <c r="H224" s="562"/>
      <c r="I224" s="562"/>
      <c r="J224" s="562"/>
      <c r="K224" s="562"/>
      <c r="L224" s="562"/>
    </row>
    <row r="225" spans="1:12" ht="14.25">
      <c r="A225" s="562"/>
      <c r="B225" s="562"/>
      <c r="C225" s="562"/>
      <c r="D225" s="562"/>
      <c r="E225" s="562"/>
      <c r="F225" s="562"/>
      <c r="G225" s="562"/>
      <c r="H225" s="562"/>
      <c r="I225" s="562"/>
      <c r="J225" s="562"/>
      <c r="K225" s="562"/>
      <c r="L225" s="562"/>
    </row>
    <row r="226" spans="1:12" ht="14.25">
      <c r="A226" s="562"/>
      <c r="B226" s="562"/>
      <c r="C226" s="562"/>
      <c r="D226" s="562"/>
      <c r="E226" s="562"/>
      <c r="F226" s="562"/>
      <c r="G226" s="562"/>
      <c r="H226" s="562"/>
      <c r="I226" s="562"/>
      <c r="J226" s="562"/>
      <c r="K226" s="562"/>
      <c r="L226" s="562"/>
    </row>
    <row r="227" spans="1:12" ht="14.25">
      <c r="A227" s="562"/>
      <c r="B227" s="562"/>
      <c r="C227" s="562"/>
      <c r="D227" s="562"/>
      <c r="E227" s="562"/>
      <c r="F227" s="562"/>
      <c r="G227" s="562"/>
      <c r="H227" s="562"/>
      <c r="I227" s="562"/>
      <c r="J227" s="562"/>
      <c r="K227" s="562"/>
      <c r="L227" s="562"/>
    </row>
    <row r="228" spans="1:12" ht="14.25">
      <c r="A228" s="562"/>
      <c r="B228" s="562"/>
      <c r="C228" s="562"/>
      <c r="D228" s="562"/>
      <c r="E228" s="562"/>
      <c r="F228" s="562"/>
      <c r="G228" s="562"/>
      <c r="H228" s="562"/>
      <c r="I228" s="562"/>
      <c r="J228" s="562"/>
      <c r="K228" s="562"/>
      <c r="L228" s="562"/>
    </row>
    <row r="229" spans="1:12" ht="14.25">
      <c r="A229" s="562"/>
      <c r="B229" s="562"/>
      <c r="C229" s="562"/>
      <c r="D229" s="562"/>
      <c r="E229" s="562"/>
      <c r="F229" s="562"/>
      <c r="G229" s="562"/>
      <c r="H229" s="562"/>
      <c r="I229" s="562"/>
      <c r="J229" s="562"/>
      <c r="K229" s="562"/>
      <c r="L229" s="562"/>
    </row>
    <row r="230" spans="1:12" ht="14.25">
      <c r="A230" s="562"/>
      <c r="B230" s="562"/>
      <c r="C230" s="562"/>
      <c r="D230" s="562"/>
      <c r="E230" s="562"/>
      <c r="F230" s="562"/>
      <c r="G230" s="562"/>
      <c r="H230" s="562"/>
      <c r="I230" s="562"/>
      <c r="J230" s="562"/>
      <c r="K230" s="562"/>
      <c r="L230" s="562"/>
    </row>
    <row r="231" spans="1:12" ht="14.25">
      <c r="A231" s="562"/>
      <c r="B231" s="562"/>
      <c r="C231" s="562"/>
      <c r="D231" s="562"/>
      <c r="E231" s="562"/>
      <c r="F231" s="562"/>
      <c r="G231" s="562"/>
      <c r="H231" s="562"/>
      <c r="I231" s="562"/>
      <c r="J231" s="562"/>
      <c r="K231" s="562"/>
      <c r="L231" s="562"/>
    </row>
    <row r="232" spans="1:12" ht="14.25">
      <c r="A232" s="562"/>
      <c r="B232" s="562"/>
      <c r="C232" s="562"/>
      <c r="D232" s="562"/>
      <c r="E232" s="562"/>
      <c r="F232" s="562"/>
      <c r="G232" s="562"/>
      <c r="H232" s="562"/>
      <c r="I232" s="562"/>
      <c r="J232" s="562"/>
      <c r="K232" s="562"/>
      <c r="L232" s="562"/>
    </row>
    <row r="233" spans="1:12" ht="14.25">
      <c r="A233" s="562"/>
      <c r="B233" s="562"/>
      <c r="C233" s="562"/>
      <c r="D233" s="562"/>
      <c r="E233" s="562"/>
      <c r="F233" s="562"/>
      <c r="G233" s="562"/>
      <c r="H233" s="562"/>
      <c r="I233" s="562"/>
      <c r="J233" s="562"/>
      <c r="K233" s="562"/>
      <c r="L233" s="562"/>
    </row>
    <row r="234" spans="1:12" ht="14.25">
      <c r="A234" s="562"/>
      <c r="B234" s="562"/>
      <c r="C234" s="562"/>
      <c r="D234" s="562"/>
      <c r="E234" s="562"/>
      <c r="F234" s="562"/>
      <c r="G234" s="562"/>
      <c r="H234" s="562"/>
      <c r="I234" s="562"/>
      <c r="J234" s="562"/>
      <c r="K234" s="562"/>
      <c r="L234" s="562"/>
    </row>
    <row r="235" spans="1:12" ht="14.25">
      <c r="A235" s="562"/>
      <c r="B235" s="562"/>
      <c r="C235" s="562"/>
      <c r="D235" s="562"/>
      <c r="E235" s="562"/>
      <c r="F235" s="562"/>
      <c r="G235" s="562"/>
      <c r="H235" s="562"/>
      <c r="I235" s="562"/>
      <c r="J235" s="562"/>
      <c r="K235" s="562"/>
      <c r="L235" s="562"/>
    </row>
    <row r="236" spans="1:12" ht="14.25">
      <c r="A236" s="562"/>
      <c r="B236" s="562"/>
      <c r="C236" s="562"/>
      <c r="D236" s="562"/>
      <c r="E236" s="562"/>
      <c r="F236" s="562"/>
      <c r="G236" s="562"/>
      <c r="H236" s="562"/>
      <c r="I236" s="562"/>
      <c r="J236" s="562"/>
      <c r="K236" s="562"/>
      <c r="L236" s="562"/>
    </row>
    <row r="237" spans="1:12" ht="14.25">
      <c r="A237" s="562"/>
      <c r="B237" s="562"/>
      <c r="C237" s="562"/>
      <c r="D237" s="562"/>
      <c r="E237" s="562"/>
      <c r="F237" s="562"/>
      <c r="G237" s="562"/>
      <c r="H237" s="562"/>
      <c r="I237" s="562"/>
      <c r="J237" s="562"/>
      <c r="K237" s="562"/>
      <c r="L237" s="562"/>
    </row>
    <row r="238" spans="1:12" ht="14.25">
      <c r="A238" s="562"/>
      <c r="B238" s="562"/>
      <c r="C238" s="562"/>
      <c r="D238" s="562"/>
      <c r="E238" s="562"/>
      <c r="F238" s="562"/>
      <c r="G238" s="562"/>
      <c r="H238" s="562"/>
      <c r="I238" s="562"/>
      <c r="J238" s="562"/>
      <c r="K238" s="562"/>
      <c r="L238" s="562"/>
    </row>
    <row r="239" spans="1:12" ht="14.25">
      <c r="A239" s="562"/>
      <c r="B239" s="562"/>
      <c r="C239" s="562"/>
      <c r="D239" s="562"/>
      <c r="E239" s="562"/>
      <c r="F239" s="562"/>
      <c r="G239" s="562"/>
      <c r="H239" s="562"/>
      <c r="I239" s="562"/>
      <c r="J239" s="562"/>
      <c r="K239" s="562"/>
      <c r="L239" s="562"/>
    </row>
    <row r="240" spans="1:12" ht="14.25">
      <c r="A240" s="562"/>
      <c r="B240" s="562"/>
      <c r="C240" s="562"/>
      <c r="D240" s="562"/>
      <c r="E240" s="562"/>
      <c r="F240" s="562"/>
      <c r="G240" s="562"/>
      <c r="H240" s="562"/>
      <c r="I240" s="562"/>
      <c r="J240" s="562"/>
      <c r="K240" s="562"/>
      <c r="L240" s="562"/>
    </row>
    <row r="241" spans="1:12" ht="14.25">
      <c r="A241" s="562"/>
      <c r="B241" s="562"/>
      <c r="C241" s="562"/>
      <c r="D241" s="562"/>
      <c r="E241" s="562"/>
      <c r="F241" s="562"/>
      <c r="G241" s="562"/>
      <c r="H241" s="562"/>
      <c r="I241" s="562"/>
      <c r="J241" s="562"/>
      <c r="K241" s="562"/>
      <c r="L241" s="562"/>
    </row>
    <row r="242" spans="1:12" ht="14.25">
      <c r="A242" s="562"/>
      <c r="B242" s="562"/>
      <c r="C242" s="562"/>
      <c r="D242" s="562"/>
      <c r="E242" s="562"/>
      <c r="F242" s="562"/>
      <c r="G242" s="562"/>
      <c r="H242" s="562"/>
      <c r="I242" s="562"/>
      <c r="J242" s="562"/>
      <c r="K242" s="562"/>
      <c r="L242" s="562"/>
    </row>
    <row r="243" spans="1:12" ht="14.25">
      <c r="A243" s="562"/>
      <c r="B243" s="562"/>
      <c r="C243" s="562"/>
      <c r="D243" s="562"/>
      <c r="E243" s="562"/>
      <c r="F243" s="562"/>
      <c r="G243" s="562"/>
      <c r="H243" s="562"/>
      <c r="I243" s="562"/>
      <c r="J243" s="562"/>
      <c r="K243" s="562"/>
      <c r="L243" s="562"/>
    </row>
    <row r="244" spans="1:12" ht="14.25">
      <c r="A244" s="562"/>
      <c r="B244" s="562"/>
      <c r="C244" s="562"/>
      <c r="D244" s="562"/>
      <c r="E244" s="562"/>
      <c r="F244" s="562"/>
      <c r="G244" s="562"/>
      <c r="H244" s="562"/>
      <c r="I244" s="562"/>
      <c r="J244" s="562"/>
      <c r="K244" s="562"/>
      <c r="L244" s="562"/>
    </row>
    <row r="245" spans="1:12" ht="14.25">
      <c r="A245" s="562"/>
      <c r="B245" s="562"/>
      <c r="C245" s="562"/>
      <c r="D245" s="562"/>
      <c r="E245" s="562"/>
      <c r="F245" s="562"/>
      <c r="G245" s="562"/>
      <c r="H245" s="562"/>
      <c r="I245" s="562"/>
      <c r="J245" s="562"/>
      <c r="K245" s="562"/>
      <c r="L245" s="562"/>
    </row>
    <row r="246" spans="1:12" ht="14.25">
      <c r="A246" s="562"/>
      <c r="B246" s="562"/>
      <c r="C246" s="562"/>
      <c r="D246" s="562"/>
      <c r="E246" s="562"/>
      <c r="F246" s="562"/>
      <c r="G246" s="562"/>
      <c r="H246" s="562"/>
      <c r="I246" s="562"/>
      <c r="J246" s="562"/>
      <c r="K246" s="562"/>
      <c r="L246" s="562"/>
    </row>
    <row r="247" spans="1:12" ht="14.25">
      <c r="A247" s="562"/>
      <c r="B247" s="562"/>
      <c r="C247" s="562"/>
      <c r="D247" s="562"/>
      <c r="E247" s="562"/>
      <c r="F247" s="562"/>
      <c r="G247" s="562"/>
      <c r="H247" s="562"/>
      <c r="I247" s="562"/>
      <c r="J247" s="562"/>
      <c r="K247" s="562"/>
      <c r="L247" s="562"/>
    </row>
    <row r="248" spans="1:12" ht="14.25">
      <c r="A248" s="562"/>
      <c r="B248" s="562"/>
      <c r="C248" s="562"/>
      <c r="D248" s="562"/>
      <c r="E248" s="562"/>
      <c r="F248" s="562"/>
      <c r="G248" s="562"/>
      <c r="H248" s="562"/>
      <c r="I248" s="562"/>
      <c r="J248" s="562"/>
      <c r="K248" s="562"/>
      <c r="L248" s="562"/>
    </row>
    <row r="249" spans="1:12" ht="14.25">
      <c r="A249" s="562"/>
      <c r="B249" s="562"/>
      <c r="C249" s="562"/>
      <c r="D249" s="562"/>
      <c r="E249" s="562"/>
      <c r="F249" s="562"/>
      <c r="G249" s="562"/>
      <c r="H249" s="562"/>
      <c r="I249" s="562"/>
      <c r="J249" s="562"/>
      <c r="K249" s="562"/>
      <c r="L249" s="562"/>
    </row>
    <row r="250" spans="1:12" ht="14.25">
      <c r="A250" s="562"/>
      <c r="B250" s="562"/>
      <c r="C250" s="562"/>
      <c r="D250" s="562"/>
      <c r="E250" s="562"/>
      <c r="F250" s="562"/>
      <c r="G250" s="562"/>
      <c r="H250" s="562"/>
      <c r="I250" s="562"/>
      <c r="J250" s="562"/>
      <c r="K250" s="562"/>
      <c r="L250" s="562"/>
    </row>
    <row r="251" spans="1:12" ht="14.25">
      <c r="A251" s="562"/>
      <c r="B251" s="562"/>
      <c r="C251" s="562"/>
      <c r="D251" s="562"/>
      <c r="E251" s="562"/>
      <c r="F251" s="562"/>
      <c r="G251" s="562"/>
      <c r="H251" s="562"/>
      <c r="I251" s="562"/>
      <c r="J251" s="562"/>
      <c r="K251" s="562"/>
      <c r="L251" s="562"/>
    </row>
    <row r="252" spans="1:12" ht="14.25">
      <c r="A252" s="562"/>
      <c r="B252" s="562"/>
      <c r="C252" s="562"/>
      <c r="D252" s="562"/>
      <c r="E252" s="562"/>
      <c r="F252" s="562"/>
      <c r="G252" s="562"/>
      <c r="H252" s="562"/>
      <c r="I252" s="562"/>
      <c r="J252" s="562"/>
      <c r="K252" s="562"/>
      <c r="L252" s="562"/>
    </row>
    <row r="253" spans="1:12" ht="14.25">
      <c r="A253" s="562"/>
      <c r="B253" s="562"/>
      <c r="C253" s="562"/>
      <c r="D253" s="562"/>
      <c r="E253" s="562"/>
      <c r="F253" s="562"/>
      <c r="G253" s="562"/>
      <c r="H253" s="562"/>
      <c r="I253" s="562"/>
      <c r="J253" s="562"/>
      <c r="K253" s="562"/>
      <c r="L253" s="562"/>
    </row>
    <row r="254" spans="1:12" ht="14.25">
      <c r="A254" s="562"/>
      <c r="B254" s="562"/>
      <c r="C254" s="562"/>
      <c r="D254" s="562"/>
      <c r="E254" s="562"/>
      <c r="F254" s="562"/>
      <c r="G254" s="562"/>
      <c r="H254" s="562"/>
      <c r="I254" s="562"/>
      <c r="J254" s="562"/>
      <c r="K254" s="562"/>
      <c r="L254" s="562"/>
    </row>
    <row r="255" spans="1:12" ht="14.25">
      <c r="A255" s="562"/>
      <c r="B255" s="562"/>
      <c r="C255" s="562"/>
      <c r="D255" s="562"/>
      <c r="E255" s="562"/>
      <c r="F255" s="562"/>
      <c r="G255" s="562"/>
      <c r="H255" s="562"/>
      <c r="I255" s="562"/>
      <c r="J255" s="562"/>
      <c r="K255" s="562"/>
      <c r="L255" s="562"/>
    </row>
    <row r="256" spans="1:12" ht="14.25">
      <c r="A256" s="562"/>
      <c r="B256" s="562"/>
      <c r="C256" s="562"/>
      <c r="D256" s="562"/>
      <c r="E256" s="562"/>
      <c r="F256" s="562"/>
      <c r="G256" s="562"/>
      <c r="H256" s="562"/>
      <c r="I256" s="562"/>
      <c r="J256" s="562"/>
      <c r="K256" s="562"/>
      <c r="L256" s="562"/>
    </row>
    <row r="257" spans="1:12" ht="14.25">
      <c r="A257" s="562"/>
      <c r="B257" s="562"/>
      <c r="C257" s="562"/>
      <c r="D257" s="562"/>
      <c r="E257" s="562"/>
      <c r="F257" s="562"/>
      <c r="G257" s="562"/>
      <c r="H257" s="562"/>
      <c r="I257" s="562"/>
      <c r="J257" s="562"/>
      <c r="K257" s="562"/>
      <c r="L257" s="562"/>
    </row>
    <row r="258" spans="1:12" ht="14.25">
      <c r="A258" s="562"/>
      <c r="B258" s="562"/>
      <c r="C258" s="562"/>
      <c r="D258" s="562"/>
      <c r="E258" s="562"/>
      <c r="F258" s="562"/>
      <c r="G258" s="562"/>
      <c r="H258" s="562"/>
      <c r="I258" s="562"/>
      <c r="J258" s="562"/>
      <c r="K258" s="562"/>
      <c r="L258" s="562"/>
    </row>
    <row r="259" spans="1:12" ht="14.25">
      <c r="A259" s="562"/>
      <c r="B259" s="562"/>
      <c r="C259" s="562"/>
      <c r="D259" s="562"/>
      <c r="E259" s="562"/>
      <c r="F259" s="562"/>
      <c r="G259" s="562"/>
      <c r="H259" s="562"/>
      <c r="I259" s="562"/>
      <c r="J259" s="562"/>
      <c r="K259" s="562"/>
      <c r="L259" s="562"/>
    </row>
    <row r="260" spans="1:12" ht="14.25">
      <c r="A260" s="562"/>
      <c r="B260" s="562"/>
      <c r="C260" s="562"/>
      <c r="D260" s="562"/>
      <c r="E260" s="562"/>
      <c r="F260" s="562"/>
      <c r="G260" s="562"/>
      <c r="H260" s="562"/>
      <c r="I260" s="562"/>
      <c r="J260" s="562"/>
      <c r="K260" s="562"/>
      <c r="L260" s="562"/>
    </row>
    <row r="261" spans="1:12" ht="14.25">
      <c r="A261" s="562"/>
      <c r="B261" s="562"/>
      <c r="C261" s="562"/>
      <c r="D261" s="562"/>
      <c r="E261" s="562"/>
      <c r="F261" s="562"/>
      <c r="G261" s="562"/>
      <c r="H261" s="562"/>
      <c r="I261" s="562"/>
      <c r="J261" s="562"/>
      <c r="K261" s="562"/>
      <c r="L261" s="562"/>
    </row>
    <row r="262" spans="1:12" ht="14.25">
      <c r="A262" s="562"/>
      <c r="B262" s="562"/>
      <c r="C262" s="562"/>
      <c r="D262" s="562"/>
      <c r="E262" s="562"/>
      <c r="F262" s="562"/>
      <c r="G262" s="562"/>
      <c r="H262" s="562"/>
      <c r="I262" s="562"/>
      <c r="J262" s="562"/>
      <c r="K262" s="562"/>
      <c r="L262" s="562"/>
    </row>
    <row r="263" spans="1:12" ht="14.25">
      <c r="A263" s="562"/>
      <c r="B263" s="562"/>
      <c r="C263" s="562"/>
      <c r="D263" s="562"/>
      <c r="E263" s="562"/>
      <c r="F263" s="562"/>
      <c r="G263" s="562"/>
      <c r="H263" s="562"/>
      <c r="I263" s="562"/>
      <c r="J263" s="562"/>
      <c r="K263" s="562"/>
      <c r="L263" s="562"/>
    </row>
    <row r="264" spans="1:12" ht="14.25">
      <c r="A264" s="562"/>
      <c r="B264" s="562"/>
      <c r="C264" s="562"/>
      <c r="D264" s="562"/>
      <c r="E264" s="562"/>
      <c r="F264" s="562"/>
      <c r="G264" s="562"/>
      <c r="H264" s="562"/>
      <c r="I264" s="562"/>
      <c r="J264" s="562"/>
      <c r="K264" s="562"/>
      <c r="L264" s="562"/>
    </row>
    <row r="265" spans="1:12" ht="14.25">
      <c r="A265" s="562"/>
      <c r="B265" s="562"/>
      <c r="C265" s="562"/>
      <c r="D265" s="562"/>
      <c r="E265" s="562"/>
      <c r="F265" s="562"/>
      <c r="G265" s="562"/>
      <c r="H265" s="562"/>
      <c r="I265" s="562"/>
      <c r="J265" s="562"/>
      <c r="K265" s="562"/>
      <c r="L265" s="562"/>
    </row>
    <row r="266" spans="1:12" ht="14.25">
      <c r="A266" s="562"/>
      <c r="B266" s="562"/>
      <c r="C266" s="562"/>
      <c r="D266" s="562"/>
      <c r="E266" s="562"/>
      <c r="F266" s="562"/>
      <c r="G266" s="562"/>
      <c r="H266" s="562"/>
      <c r="I266" s="562"/>
      <c r="J266" s="562"/>
      <c r="K266" s="562"/>
      <c r="L266" s="562"/>
    </row>
    <row r="267" spans="1:12" ht="14.25">
      <c r="A267" s="562"/>
      <c r="B267" s="562"/>
      <c r="C267" s="562"/>
      <c r="D267" s="562"/>
      <c r="E267" s="562"/>
      <c r="F267" s="562"/>
      <c r="G267" s="562"/>
      <c r="H267" s="562"/>
      <c r="I267" s="562"/>
      <c r="J267" s="562"/>
      <c r="K267" s="562"/>
      <c r="L267" s="562"/>
    </row>
    <row r="268" spans="1:12" ht="14.25">
      <c r="A268" s="562"/>
      <c r="B268" s="562"/>
      <c r="C268" s="562"/>
      <c r="D268" s="562"/>
      <c r="E268" s="562"/>
      <c r="F268" s="562"/>
      <c r="G268" s="562"/>
      <c r="H268" s="562"/>
      <c r="I268" s="562"/>
      <c r="J268" s="562"/>
      <c r="K268" s="562"/>
      <c r="L268" s="562"/>
    </row>
    <row r="269" spans="1:12" ht="14.25">
      <c r="A269" s="562"/>
      <c r="B269" s="562"/>
      <c r="C269" s="562"/>
      <c r="D269" s="562"/>
      <c r="E269" s="562"/>
      <c r="F269" s="562"/>
      <c r="G269" s="562"/>
      <c r="H269" s="562"/>
      <c r="I269" s="562"/>
      <c r="J269" s="562"/>
      <c r="K269" s="562"/>
      <c r="L269" s="562"/>
    </row>
    <row r="270" spans="1:12" ht="14.25">
      <c r="A270" s="562"/>
      <c r="B270" s="562"/>
      <c r="C270" s="562"/>
      <c r="D270" s="562"/>
      <c r="E270" s="562"/>
      <c r="F270" s="562"/>
      <c r="G270" s="562"/>
      <c r="H270" s="562"/>
      <c r="I270" s="562"/>
      <c r="J270" s="562"/>
      <c r="K270" s="562"/>
      <c r="L270" s="562"/>
    </row>
    <row r="271" spans="1:12" ht="14.25">
      <c r="A271" s="562"/>
      <c r="B271" s="562"/>
      <c r="C271" s="562"/>
      <c r="D271" s="562"/>
      <c r="E271" s="562"/>
      <c r="F271" s="562"/>
      <c r="G271" s="562"/>
      <c r="H271" s="562"/>
      <c r="I271" s="562"/>
      <c r="J271" s="562"/>
      <c r="K271" s="562"/>
      <c r="L271" s="562"/>
    </row>
    <row r="272" spans="1:12" ht="14.25">
      <c r="A272" s="562"/>
      <c r="B272" s="562"/>
      <c r="C272" s="562"/>
      <c r="D272" s="562"/>
      <c r="E272" s="562"/>
      <c r="F272" s="562"/>
      <c r="G272" s="562"/>
      <c r="H272" s="562"/>
      <c r="I272" s="562"/>
      <c r="J272" s="562"/>
      <c r="K272" s="562"/>
      <c r="L272" s="562"/>
    </row>
    <row r="273" spans="1:12" ht="14.25">
      <c r="A273" s="562"/>
      <c r="B273" s="562"/>
      <c r="C273" s="562"/>
      <c r="D273" s="562"/>
      <c r="E273" s="562"/>
      <c r="F273" s="562"/>
      <c r="G273" s="562"/>
      <c r="H273" s="562"/>
      <c r="I273" s="562"/>
      <c r="J273" s="562"/>
      <c r="K273" s="562"/>
      <c r="L273" s="562"/>
    </row>
    <row r="274" spans="1:12" ht="14.25">
      <c r="A274" s="562"/>
      <c r="B274" s="562"/>
      <c r="C274" s="562"/>
      <c r="D274" s="562"/>
      <c r="E274" s="562"/>
      <c r="F274" s="562"/>
      <c r="G274" s="562"/>
      <c r="H274" s="562"/>
      <c r="I274" s="562"/>
      <c r="J274" s="562"/>
      <c r="K274" s="562"/>
      <c r="L274" s="562"/>
    </row>
    <row r="275" spans="1:12" ht="14.25">
      <c r="A275" s="562"/>
      <c r="B275" s="562"/>
      <c r="C275" s="562"/>
      <c r="D275" s="562"/>
      <c r="E275" s="562"/>
      <c r="F275" s="562"/>
      <c r="G275" s="562"/>
      <c r="H275" s="562"/>
      <c r="I275" s="562"/>
      <c r="J275" s="562"/>
      <c r="K275" s="562"/>
      <c r="L275" s="562"/>
    </row>
    <row r="276" spans="1:12" ht="14.25">
      <c r="A276" s="562"/>
      <c r="B276" s="562"/>
      <c r="C276" s="562"/>
      <c r="D276" s="562"/>
      <c r="E276" s="562"/>
      <c r="F276" s="562"/>
      <c r="G276" s="562"/>
      <c r="H276" s="562"/>
      <c r="I276" s="562"/>
      <c r="J276" s="562"/>
      <c r="K276" s="562"/>
      <c r="L276" s="562"/>
    </row>
    <row r="277" spans="1:12" ht="14.25">
      <c r="A277" s="562"/>
      <c r="B277" s="562"/>
      <c r="C277" s="562"/>
      <c r="D277" s="562"/>
      <c r="E277" s="562"/>
      <c r="F277" s="562"/>
      <c r="G277" s="562"/>
      <c r="H277" s="562"/>
      <c r="I277" s="562"/>
      <c r="J277" s="562"/>
      <c r="K277" s="562"/>
      <c r="L277" s="562"/>
    </row>
    <row r="278" spans="1:12" ht="14.25">
      <c r="A278" s="562"/>
      <c r="B278" s="562"/>
      <c r="C278" s="562"/>
      <c r="D278" s="562"/>
      <c r="E278" s="562"/>
      <c r="F278" s="562"/>
      <c r="G278" s="562"/>
      <c r="H278" s="562"/>
      <c r="I278" s="562"/>
      <c r="J278" s="562"/>
      <c r="K278" s="562"/>
      <c r="L278" s="562"/>
    </row>
    <row r="279" spans="1:12" ht="14.25">
      <c r="A279" s="562"/>
      <c r="B279" s="562"/>
      <c r="C279" s="562"/>
      <c r="D279" s="562"/>
      <c r="E279" s="562"/>
      <c r="F279" s="562"/>
      <c r="G279" s="562"/>
      <c r="H279" s="562"/>
      <c r="I279" s="562"/>
      <c r="J279" s="562"/>
      <c r="K279" s="562"/>
      <c r="L279" s="562"/>
    </row>
    <row r="280" spans="1:12" ht="14.25">
      <c r="A280" s="562"/>
      <c r="B280" s="562"/>
      <c r="C280" s="562"/>
      <c r="D280" s="562"/>
      <c r="E280" s="562"/>
      <c r="F280" s="562"/>
      <c r="G280" s="562"/>
      <c r="H280" s="562"/>
      <c r="I280" s="562"/>
      <c r="J280" s="562"/>
      <c r="K280" s="562"/>
      <c r="L280" s="562"/>
    </row>
    <row r="281" spans="1:12" ht="14.25">
      <c r="A281" s="562"/>
      <c r="B281" s="562"/>
      <c r="C281" s="562"/>
      <c r="D281" s="562"/>
      <c r="E281" s="562"/>
      <c r="F281" s="562"/>
      <c r="G281" s="562"/>
      <c r="H281" s="562"/>
      <c r="I281" s="562"/>
      <c r="J281" s="562"/>
      <c r="K281" s="562"/>
      <c r="L281" s="562"/>
    </row>
    <row r="282" spans="1:12" ht="14.25">
      <c r="A282" s="562"/>
      <c r="B282" s="562"/>
      <c r="C282" s="562"/>
      <c r="D282" s="562"/>
      <c r="E282" s="562"/>
      <c r="F282" s="562"/>
      <c r="G282" s="562"/>
      <c r="H282" s="562"/>
      <c r="I282" s="562"/>
      <c r="J282" s="562"/>
      <c r="K282" s="562"/>
      <c r="L282" s="562"/>
    </row>
    <row r="283" spans="1:12" ht="14.25">
      <c r="A283" s="562"/>
      <c r="B283" s="562"/>
      <c r="C283" s="562"/>
      <c r="D283" s="562"/>
      <c r="E283" s="562"/>
      <c r="F283" s="562"/>
      <c r="G283" s="562"/>
      <c r="H283" s="562"/>
      <c r="I283" s="562"/>
      <c r="J283" s="562"/>
      <c r="K283" s="562"/>
      <c r="L283" s="562"/>
    </row>
    <row r="284" spans="1:12" ht="14.25">
      <c r="A284" s="562"/>
      <c r="B284" s="562"/>
      <c r="C284" s="562"/>
      <c r="D284" s="562"/>
      <c r="E284" s="562"/>
      <c r="F284" s="562"/>
      <c r="G284" s="562"/>
      <c r="H284" s="562"/>
      <c r="I284" s="562"/>
      <c r="J284" s="562"/>
      <c r="K284" s="562"/>
      <c r="L284" s="562"/>
    </row>
    <row r="285" spans="1:12" ht="14.25">
      <c r="A285" s="562"/>
      <c r="B285" s="562"/>
      <c r="C285" s="562"/>
      <c r="D285" s="562"/>
      <c r="E285" s="562"/>
      <c r="F285" s="562"/>
      <c r="G285" s="562"/>
      <c r="H285" s="562"/>
      <c r="I285" s="562"/>
      <c r="J285" s="562"/>
      <c r="K285" s="562"/>
      <c r="L285" s="562"/>
    </row>
    <row r="286" spans="1:12" ht="14.25">
      <c r="A286" s="562"/>
      <c r="B286" s="562"/>
      <c r="C286" s="562"/>
      <c r="D286" s="562"/>
      <c r="E286" s="562"/>
      <c r="F286" s="562"/>
      <c r="G286" s="562"/>
      <c r="H286" s="562"/>
      <c r="I286" s="562"/>
      <c r="J286" s="562"/>
      <c r="K286" s="562"/>
      <c r="L286" s="562"/>
    </row>
    <row r="287" spans="1:12" ht="14.25">
      <c r="A287" s="562"/>
      <c r="B287" s="562"/>
      <c r="C287" s="562"/>
      <c r="D287" s="562"/>
      <c r="E287" s="562"/>
      <c r="F287" s="562"/>
      <c r="G287" s="562"/>
      <c r="H287" s="562"/>
      <c r="I287" s="562"/>
      <c r="J287" s="562"/>
      <c r="K287" s="562"/>
      <c r="L287" s="562"/>
    </row>
    <row r="288" spans="1:12" ht="14.25">
      <c r="A288" s="562"/>
      <c r="B288" s="562"/>
      <c r="C288" s="562"/>
      <c r="D288" s="562"/>
      <c r="E288" s="562"/>
      <c r="F288" s="562"/>
      <c r="G288" s="562"/>
      <c r="H288" s="562"/>
      <c r="I288" s="562"/>
      <c r="J288" s="562"/>
      <c r="K288" s="562"/>
      <c r="L288" s="562"/>
    </row>
    <row r="289" spans="1:12" ht="14.25">
      <c r="A289" s="562"/>
      <c r="B289" s="562"/>
      <c r="C289" s="562"/>
      <c r="D289" s="562"/>
      <c r="E289" s="562"/>
      <c r="F289" s="562"/>
      <c r="G289" s="562"/>
      <c r="H289" s="562"/>
      <c r="I289" s="562"/>
      <c r="J289" s="562"/>
      <c r="K289" s="562"/>
      <c r="L289" s="562"/>
    </row>
    <row r="290" spans="1:12" ht="14.25">
      <c r="A290" s="562"/>
      <c r="B290" s="562"/>
      <c r="C290" s="562"/>
      <c r="D290" s="562"/>
      <c r="E290" s="562"/>
      <c r="F290" s="562"/>
      <c r="G290" s="562"/>
      <c r="H290" s="562"/>
      <c r="I290" s="562"/>
      <c r="J290" s="562"/>
      <c r="K290" s="562"/>
      <c r="L290" s="562"/>
    </row>
    <row r="291" spans="1:12" ht="14.25">
      <c r="A291" s="562"/>
      <c r="B291" s="562"/>
      <c r="C291" s="562"/>
      <c r="D291" s="562"/>
      <c r="E291" s="562"/>
      <c r="F291" s="562"/>
      <c r="G291" s="562"/>
      <c r="H291" s="562"/>
      <c r="I291" s="562"/>
      <c r="J291" s="562"/>
      <c r="K291" s="562"/>
      <c r="L291" s="562"/>
    </row>
    <row r="292" spans="1:12" ht="14.25">
      <c r="A292" s="562"/>
      <c r="B292" s="562"/>
      <c r="C292" s="562"/>
      <c r="D292" s="562"/>
      <c r="E292" s="562"/>
      <c r="F292" s="562"/>
      <c r="G292" s="562"/>
      <c r="H292" s="562"/>
      <c r="I292" s="562"/>
      <c r="J292" s="562"/>
      <c r="K292" s="562"/>
      <c r="L292" s="562"/>
    </row>
    <row r="293" spans="1:12" ht="14.25">
      <c r="A293" s="562"/>
      <c r="B293" s="562"/>
      <c r="C293" s="562"/>
      <c r="D293" s="562"/>
      <c r="E293" s="562"/>
      <c r="F293" s="562"/>
      <c r="G293" s="562"/>
      <c r="H293" s="562"/>
      <c r="I293" s="562"/>
      <c r="J293" s="562"/>
      <c r="K293" s="562"/>
      <c r="L293" s="562"/>
    </row>
    <row r="294" spans="1:12" ht="14.25">
      <c r="A294" s="562"/>
      <c r="B294" s="562"/>
      <c r="C294" s="562"/>
      <c r="D294" s="562"/>
      <c r="E294" s="562"/>
      <c r="F294" s="562"/>
      <c r="G294" s="562"/>
      <c r="H294" s="562"/>
      <c r="I294" s="562"/>
      <c r="J294" s="562"/>
      <c r="K294" s="562"/>
      <c r="L294" s="562"/>
    </row>
    <row r="295" spans="1:12" ht="14.25">
      <c r="A295" s="562"/>
      <c r="B295" s="562"/>
      <c r="C295" s="562"/>
      <c r="D295" s="562"/>
      <c r="E295" s="562"/>
      <c r="F295" s="562"/>
      <c r="G295" s="562"/>
      <c r="H295" s="562"/>
      <c r="I295" s="562"/>
      <c r="J295" s="562"/>
      <c r="K295" s="562"/>
      <c r="L295" s="562"/>
    </row>
    <row r="296" spans="1:12" ht="14.25">
      <c r="A296" s="562"/>
      <c r="B296" s="562"/>
      <c r="C296" s="562"/>
      <c r="D296" s="562"/>
      <c r="E296" s="562"/>
      <c r="F296" s="562"/>
      <c r="G296" s="562"/>
      <c r="H296" s="562"/>
      <c r="I296" s="562"/>
      <c r="J296" s="562"/>
      <c r="K296" s="562"/>
      <c r="L296" s="562"/>
    </row>
    <row r="297" spans="1:12" ht="14.25">
      <c r="A297" s="562"/>
      <c r="B297" s="562"/>
      <c r="C297" s="562"/>
      <c r="D297" s="562"/>
      <c r="E297" s="562"/>
      <c r="F297" s="562"/>
      <c r="G297" s="562"/>
      <c r="H297" s="562"/>
      <c r="I297" s="562"/>
      <c r="J297" s="562"/>
      <c r="K297" s="562"/>
      <c r="L297" s="562"/>
    </row>
    <row r="298" spans="1:12" ht="14.25">
      <c r="A298" s="562"/>
      <c r="B298" s="562"/>
      <c r="C298" s="562"/>
      <c r="D298" s="562"/>
      <c r="E298" s="562"/>
      <c r="F298" s="562"/>
      <c r="G298" s="562"/>
      <c r="H298" s="562"/>
      <c r="I298" s="562"/>
      <c r="J298" s="562"/>
      <c r="K298" s="562"/>
      <c r="L298" s="562"/>
    </row>
    <row r="299" spans="1:12" ht="14.25">
      <c r="A299" s="562"/>
      <c r="B299" s="562"/>
      <c r="C299" s="562"/>
      <c r="D299" s="562"/>
      <c r="E299" s="562"/>
      <c r="F299" s="562"/>
      <c r="G299" s="562"/>
      <c r="H299" s="562"/>
      <c r="I299" s="562"/>
      <c r="J299" s="562"/>
      <c r="K299" s="562"/>
      <c r="L299" s="562"/>
    </row>
    <row r="300" spans="1:12" ht="14.25">
      <c r="A300" s="562"/>
      <c r="B300" s="562"/>
      <c r="C300" s="562"/>
      <c r="D300" s="562"/>
      <c r="E300" s="562"/>
      <c r="F300" s="562"/>
      <c r="G300" s="562"/>
      <c r="H300" s="562"/>
      <c r="I300" s="562"/>
      <c r="J300" s="562"/>
      <c r="K300" s="562"/>
      <c r="L300" s="562"/>
    </row>
    <row r="301" spans="1:12" ht="14.25">
      <c r="A301" s="562"/>
      <c r="B301" s="562"/>
      <c r="C301" s="562"/>
      <c r="D301" s="562"/>
      <c r="E301" s="562"/>
      <c r="F301" s="562"/>
      <c r="G301" s="562"/>
      <c r="H301" s="562"/>
      <c r="I301" s="562"/>
      <c r="J301" s="562"/>
      <c r="K301" s="562"/>
      <c r="L301" s="562"/>
    </row>
    <row r="302" spans="1:12" ht="14.25">
      <c r="A302" s="562"/>
      <c r="B302" s="562"/>
      <c r="C302" s="562"/>
      <c r="D302" s="562"/>
      <c r="E302" s="562"/>
      <c r="F302" s="562"/>
      <c r="G302" s="562"/>
      <c r="H302" s="562"/>
      <c r="I302" s="562"/>
      <c r="J302" s="562"/>
      <c r="K302" s="562"/>
      <c r="L302" s="562"/>
    </row>
    <row r="303" spans="1:12" ht="14.25">
      <c r="A303" s="562"/>
      <c r="B303" s="562"/>
      <c r="C303" s="562"/>
      <c r="D303" s="562"/>
      <c r="E303" s="562"/>
      <c r="F303" s="562"/>
      <c r="G303" s="562"/>
      <c r="H303" s="562"/>
      <c r="I303" s="562"/>
      <c r="J303" s="562"/>
      <c r="K303" s="562"/>
      <c r="L303" s="562"/>
    </row>
    <row r="304" spans="1:12" ht="14.25">
      <c r="A304" s="562"/>
      <c r="B304" s="562"/>
      <c r="C304" s="562"/>
      <c r="D304" s="562"/>
      <c r="E304" s="562"/>
      <c r="F304" s="562"/>
      <c r="G304" s="562"/>
      <c r="H304" s="562"/>
      <c r="I304" s="562"/>
      <c r="J304" s="562"/>
      <c r="K304" s="562"/>
      <c r="L304" s="562"/>
    </row>
    <row r="305" spans="1:12" ht="14.25">
      <c r="A305" s="562"/>
      <c r="B305" s="562"/>
      <c r="C305" s="562"/>
      <c r="D305" s="562"/>
      <c r="E305" s="562"/>
      <c r="F305" s="562"/>
      <c r="G305" s="562"/>
      <c r="H305" s="562"/>
      <c r="I305" s="562"/>
      <c r="J305" s="562"/>
      <c r="K305" s="562"/>
      <c r="L305" s="562"/>
    </row>
    <row r="306" spans="1:12" ht="14.25">
      <c r="A306" s="562"/>
      <c r="B306" s="562"/>
      <c r="C306" s="562"/>
      <c r="D306" s="562"/>
      <c r="E306" s="562"/>
      <c r="F306" s="562"/>
      <c r="G306" s="562"/>
      <c r="H306" s="562"/>
      <c r="I306" s="562"/>
      <c r="J306" s="562"/>
      <c r="K306" s="562"/>
      <c r="L306" s="562"/>
    </row>
    <row r="307" spans="1:12" ht="14.25">
      <c r="A307" s="562"/>
      <c r="B307" s="562"/>
      <c r="C307" s="562"/>
      <c r="D307" s="562"/>
      <c r="E307" s="562"/>
      <c r="F307" s="562"/>
      <c r="G307" s="562"/>
      <c r="H307" s="562"/>
      <c r="I307" s="562"/>
      <c r="J307" s="562"/>
      <c r="K307" s="562"/>
      <c r="L307" s="562"/>
    </row>
    <row r="308" spans="1:12" ht="14.25">
      <c r="A308" s="562"/>
      <c r="B308" s="562"/>
      <c r="C308" s="562"/>
      <c r="D308" s="562"/>
      <c r="E308" s="562"/>
      <c r="F308" s="562"/>
      <c r="G308" s="562"/>
      <c r="H308" s="562"/>
      <c r="I308" s="562"/>
      <c r="J308" s="562"/>
      <c r="K308" s="562"/>
      <c r="L308" s="562"/>
    </row>
    <row r="309" spans="1:12" ht="14.25">
      <c r="A309" s="562"/>
      <c r="B309" s="562"/>
      <c r="C309" s="562"/>
      <c r="D309" s="562"/>
      <c r="E309" s="562"/>
      <c r="F309" s="562"/>
      <c r="G309" s="562"/>
      <c r="H309" s="562"/>
      <c r="I309" s="562"/>
      <c r="J309" s="562"/>
      <c r="K309" s="562"/>
      <c r="L309" s="562"/>
    </row>
    <row r="310" spans="1:12" ht="14.25">
      <c r="A310" s="562"/>
      <c r="B310" s="562"/>
      <c r="C310" s="562"/>
      <c r="D310" s="562"/>
      <c r="E310" s="562"/>
      <c r="F310" s="562"/>
      <c r="G310" s="562"/>
      <c r="H310" s="562"/>
      <c r="I310" s="562"/>
      <c r="J310" s="562"/>
      <c r="K310" s="562"/>
      <c r="L310" s="562"/>
    </row>
    <row r="311" spans="1:12" ht="14.25">
      <c r="A311" s="562"/>
      <c r="B311" s="562"/>
      <c r="C311" s="562"/>
      <c r="D311" s="562"/>
      <c r="E311" s="562"/>
      <c r="F311" s="562"/>
      <c r="G311" s="562"/>
      <c r="H311" s="562"/>
      <c r="I311" s="562"/>
      <c r="J311" s="562"/>
      <c r="K311" s="562"/>
      <c r="L311" s="562"/>
    </row>
    <row r="312" spans="1:12" ht="14.25">
      <c r="A312" s="562"/>
      <c r="B312" s="562"/>
      <c r="C312" s="562"/>
      <c r="D312" s="562"/>
      <c r="E312" s="562"/>
      <c r="F312" s="562"/>
      <c r="G312" s="562"/>
      <c r="H312" s="562"/>
      <c r="I312" s="562"/>
      <c r="J312" s="562"/>
      <c r="K312" s="562"/>
      <c r="L312" s="562"/>
    </row>
    <row r="313" spans="1:12" ht="14.25">
      <c r="A313" s="562"/>
      <c r="B313" s="562"/>
      <c r="C313" s="562"/>
      <c r="D313" s="562"/>
      <c r="E313" s="562"/>
      <c r="F313" s="562"/>
      <c r="G313" s="562"/>
      <c r="H313" s="562"/>
      <c r="I313" s="562"/>
      <c r="J313" s="562"/>
      <c r="K313" s="562"/>
      <c r="L313" s="562"/>
    </row>
    <row r="314" spans="1:12" ht="14.25">
      <c r="A314" s="562"/>
      <c r="B314" s="562"/>
      <c r="C314" s="562"/>
      <c r="D314" s="562"/>
      <c r="E314" s="562"/>
      <c r="F314" s="562"/>
      <c r="G314" s="562"/>
      <c r="H314" s="562"/>
      <c r="I314" s="562"/>
      <c r="J314" s="562"/>
      <c r="K314" s="562"/>
      <c r="L314" s="562"/>
    </row>
    <row r="315" spans="1:12" ht="14.25">
      <c r="A315" s="562"/>
      <c r="B315" s="562"/>
      <c r="C315" s="562"/>
      <c r="D315" s="562"/>
      <c r="E315" s="562"/>
      <c r="F315" s="562"/>
      <c r="G315" s="562"/>
      <c r="H315" s="562"/>
      <c r="I315" s="562"/>
      <c r="J315" s="562"/>
      <c r="K315" s="562"/>
      <c r="L315" s="562"/>
    </row>
    <row r="316" spans="1:12" ht="14.25">
      <c r="A316" s="562"/>
      <c r="B316" s="562"/>
      <c r="C316" s="562"/>
      <c r="D316" s="562"/>
      <c r="E316" s="562"/>
      <c r="F316" s="562"/>
      <c r="G316" s="562"/>
      <c r="H316" s="562"/>
      <c r="I316" s="562"/>
      <c r="J316" s="562"/>
      <c r="K316" s="562"/>
      <c r="L316" s="562"/>
    </row>
    <row r="317" spans="1:12" ht="14.25">
      <c r="A317" s="562"/>
      <c r="B317" s="562"/>
      <c r="C317" s="562"/>
      <c r="D317" s="562"/>
      <c r="E317" s="562"/>
      <c r="F317" s="562"/>
      <c r="G317" s="562"/>
      <c r="H317" s="562"/>
      <c r="I317" s="562"/>
      <c r="J317" s="562"/>
      <c r="K317" s="562"/>
      <c r="L317" s="562"/>
    </row>
    <row r="318" spans="1:12" ht="14.25">
      <c r="A318" s="562"/>
      <c r="B318" s="562"/>
      <c r="C318" s="562"/>
      <c r="D318" s="562"/>
      <c r="E318" s="562"/>
      <c r="F318" s="562"/>
      <c r="G318" s="562"/>
      <c r="H318" s="562"/>
      <c r="I318" s="562"/>
      <c r="J318" s="562"/>
      <c r="K318" s="562"/>
      <c r="L318" s="562"/>
    </row>
    <row r="319" spans="1:12" ht="14.25">
      <c r="A319" s="562"/>
      <c r="B319" s="562"/>
      <c r="C319" s="562"/>
      <c r="D319" s="562"/>
      <c r="E319" s="562"/>
      <c r="F319" s="562"/>
      <c r="G319" s="562"/>
      <c r="H319" s="562"/>
      <c r="I319" s="562"/>
      <c r="J319" s="562"/>
      <c r="K319" s="562"/>
      <c r="L319" s="562"/>
    </row>
    <row r="320" spans="1:12" ht="14.25">
      <c r="A320" s="562"/>
      <c r="B320" s="562"/>
      <c r="C320" s="562"/>
      <c r="D320" s="562"/>
      <c r="E320" s="562"/>
      <c r="F320" s="562"/>
      <c r="G320" s="562"/>
      <c r="H320" s="562"/>
      <c r="I320" s="562"/>
      <c r="J320" s="562"/>
      <c r="K320" s="562"/>
      <c r="L320" s="562"/>
    </row>
    <row r="321" spans="1:12" ht="14.25">
      <c r="A321" s="562"/>
      <c r="B321" s="562"/>
      <c r="C321" s="562"/>
      <c r="D321" s="562"/>
      <c r="E321" s="562"/>
      <c r="F321" s="562"/>
      <c r="G321" s="562"/>
      <c r="H321" s="562"/>
      <c r="I321" s="562"/>
      <c r="J321" s="562"/>
      <c r="K321" s="562"/>
      <c r="L321" s="562"/>
    </row>
    <row r="322" spans="1:12" ht="14.25">
      <c r="A322" s="562"/>
      <c r="B322" s="562"/>
      <c r="C322" s="562"/>
      <c r="D322" s="562"/>
      <c r="E322" s="562"/>
      <c r="F322" s="562"/>
      <c r="G322" s="562"/>
      <c r="H322" s="562"/>
      <c r="I322" s="562"/>
      <c r="J322" s="562"/>
      <c r="K322" s="562"/>
      <c r="L322" s="562"/>
    </row>
    <row r="323" spans="1:12" ht="14.25">
      <c r="A323" s="562"/>
      <c r="B323" s="562"/>
      <c r="C323" s="562"/>
      <c r="D323" s="562"/>
      <c r="E323" s="562"/>
      <c r="F323" s="562"/>
      <c r="G323" s="562"/>
      <c r="H323" s="562"/>
      <c r="I323" s="562"/>
      <c r="J323" s="562"/>
      <c r="K323" s="562"/>
      <c r="L323" s="562"/>
    </row>
    <row r="324" spans="1:12" ht="14.25">
      <c r="A324" s="562"/>
      <c r="B324" s="562"/>
      <c r="C324" s="562"/>
      <c r="D324" s="562"/>
      <c r="E324" s="562"/>
      <c r="F324" s="562"/>
      <c r="G324" s="562"/>
      <c r="H324" s="562"/>
      <c r="I324" s="562"/>
      <c r="J324" s="562"/>
      <c r="K324" s="562"/>
      <c r="L324" s="562"/>
    </row>
    <row r="325" spans="1:12" ht="14.25">
      <c r="A325" s="562"/>
      <c r="B325" s="562"/>
      <c r="C325" s="562"/>
      <c r="D325" s="562"/>
      <c r="E325" s="562"/>
      <c r="F325" s="562"/>
      <c r="G325" s="562"/>
      <c r="H325" s="562"/>
      <c r="I325" s="562"/>
      <c r="J325" s="562"/>
      <c r="K325" s="562"/>
      <c r="L325" s="562"/>
    </row>
    <row r="326" spans="1:12" ht="14.25">
      <c r="A326" s="562"/>
      <c r="B326" s="562"/>
      <c r="C326" s="562"/>
      <c r="D326" s="562"/>
      <c r="E326" s="562"/>
      <c r="F326" s="562"/>
      <c r="G326" s="562"/>
      <c r="H326" s="562"/>
      <c r="I326" s="562"/>
      <c r="J326" s="562"/>
      <c r="K326" s="562"/>
      <c r="L326" s="562"/>
    </row>
    <row r="327" spans="1:12" ht="14.25">
      <c r="A327" s="562"/>
      <c r="B327" s="562"/>
      <c r="C327" s="562"/>
      <c r="D327" s="562"/>
      <c r="E327" s="562"/>
      <c r="F327" s="562"/>
      <c r="G327" s="562"/>
      <c r="H327" s="562"/>
      <c r="I327" s="562"/>
      <c r="J327" s="562"/>
      <c r="K327" s="562"/>
      <c r="L327" s="562"/>
    </row>
    <row r="328" spans="1:12" ht="14.25">
      <c r="A328" s="562"/>
      <c r="B328" s="562"/>
      <c r="C328" s="562"/>
      <c r="D328" s="562"/>
      <c r="E328" s="562"/>
      <c r="F328" s="562"/>
      <c r="G328" s="562"/>
      <c r="H328" s="562"/>
      <c r="I328" s="562"/>
      <c r="J328" s="562"/>
      <c r="K328" s="562"/>
      <c r="L328" s="562"/>
    </row>
    <row r="329" spans="1:12" ht="14.25">
      <c r="A329" s="562"/>
      <c r="B329" s="562"/>
      <c r="C329" s="562"/>
      <c r="D329" s="562"/>
      <c r="E329" s="562"/>
      <c r="F329" s="562"/>
      <c r="G329" s="562"/>
      <c r="H329" s="562"/>
      <c r="I329" s="562"/>
      <c r="J329" s="562"/>
      <c r="K329" s="562"/>
      <c r="L329" s="562"/>
    </row>
    <row r="330" spans="1:12" ht="14.25">
      <c r="A330" s="562"/>
      <c r="B330" s="562"/>
      <c r="C330" s="562"/>
      <c r="D330" s="562"/>
      <c r="E330" s="562"/>
      <c r="F330" s="562"/>
      <c r="G330" s="562"/>
      <c r="H330" s="562"/>
      <c r="I330" s="562"/>
      <c r="J330" s="562"/>
      <c r="K330" s="562"/>
      <c r="L330" s="562"/>
    </row>
    <row r="331" spans="1:12" ht="14.25">
      <c r="A331" s="562"/>
      <c r="B331" s="562"/>
      <c r="C331" s="562"/>
      <c r="D331" s="562"/>
      <c r="E331" s="562"/>
      <c r="F331" s="562"/>
      <c r="G331" s="562"/>
      <c r="H331" s="562"/>
      <c r="I331" s="562"/>
      <c r="J331" s="562"/>
      <c r="K331" s="562"/>
      <c r="L331" s="562"/>
    </row>
    <row r="332" spans="1:12" ht="14.25">
      <c r="A332" s="562"/>
      <c r="B332" s="562"/>
      <c r="C332" s="562"/>
      <c r="D332" s="562"/>
      <c r="E332" s="562"/>
      <c r="F332" s="562"/>
      <c r="G332" s="562"/>
      <c r="H332" s="562"/>
      <c r="I332" s="562"/>
      <c r="J332" s="562"/>
      <c r="K332" s="562"/>
      <c r="L332" s="562"/>
    </row>
    <row r="333" spans="1:12" ht="14.25">
      <c r="A333" s="562"/>
      <c r="B333" s="562"/>
      <c r="C333" s="562"/>
      <c r="D333" s="562"/>
      <c r="E333" s="562"/>
      <c r="F333" s="562"/>
      <c r="G333" s="562"/>
      <c r="H333" s="562"/>
      <c r="I333" s="562"/>
      <c r="J333" s="562"/>
      <c r="K333" s="562"/>
      <c r="L333" s="562"/>
    </row>
    <row r="334" spans="1:12" ht="14.25">
      <c r="A334" s="562"/>
      <c r="B334" s="562"/>
      <c r="C334" s="562"/>
      <c r="D334" s="562"/>
      <c r="E334" s="562"/>
      <c r="F334" s="562"/>
      <c r="G334" s="562"/>
      <c r="H334" s="562"/>
      <c r="I334" s="562"/>
      <c r="J334" s="562"/>
      <c r="K334" s="562"/>
      <c r="L334" s="562"/>
    </row>
    <row r="335" spans="1:12" ht="14.25">
      <c r="A335" s="562"/>
      <c r="B335" s="562"/>
      <c r="C335" s="562"/>
      <c r="D335" s="562"/>
      <c r="E335" s="562"/>
      <c r="F335" s="562"/>
      <c r="G335" s="562"/>
      <c r="H335" s="562"/>
      <c r="I335" s="562"/>
      <c r="J335" s="562"/>
      <c r="K335" s="562"/>
      <c r="L335" s="562"/>
    </row>
    <row r="336" spans="1:12" ht="14.25">
      <c r="A336" s="562"/>
      <c r="B336" s="562"/>
      <c r="C336" s="562"/>
      <c r="D336" s="562"/>
      <c r="E336" s="562"/>
      <c r="F336" s="562"/>
      <c r="G336" s="562"/>
      <c r="H336" s="562"/>
      <c r="I336" s="562"/>
      <c r="J336" s="562"/>
      <c r="K336" s="562"/>
      <c r="L336" s="562"/>
    </row>
    <row r="337" spans="1:12" ht="14.25">
      <c r="A337" s="562"/>
      <c r="B337" s="562"/>
      <c r="C337" s="562"/>
      <c r="D337" s="562"/>
      <c r="E337" s="562"/>
      <c r="F337" s="562"/>
      <c r="G337" s="562"/>
      <c r="H337" s="562"/>
      <c r="I337" s="562"/>
      <c r="J337" s="562"/>
      <c r="K337" s="562"/>
      <c r="L337" s="562"/>
    </row>
    <row r="338" spans="1:12" ht="14.25">
      <c r="A338" s="562"/>
      <c r="B338" s="562"/>
      <c r="C338" s="562"/>
      <c r="D338" s="562"/>
      <c r="E338" s="562"/>
      <c r="F338" s="562"/>
      <c r="G338" s="562"/>
      <c r="H338" s="562"/>
      <c r="I338" s="562"/>
      <c r="J338" s="562"/>
      <c r="K338" s="562"/>
      <c r="L338" s="562"/>
    </row>
    <row r="339" spans="1:12" ht="14.25">
      <c r="A339" s="562"/>
      <c r="B339" s="562"/>
      <c r="C339" s="562"/>
      <c r="D339" s="562"/>
      <c r="E339" s="562"/>
      <c r="F339" s="562"/>
      <c r="G339" s="562"/>
      <c r="H339" s="562"/>
      <c r="I339" s="562"/>
      <c r="J339" s="562"/>
      <c r="K339" s="562"/>
      <c r="L339" s="562"/>
    </row>
    <row r="340" spans="1:12" ht="14.25">
      <c r="A340" s="562"/>
      <c r="B340" s="562"/>
      <c r="C340" s="562"/>
      <c r="D340" s="562"/>
      <c r="E340" s="562"/>
      <c r="F340" s="562"/>
      <c r="G340" s="562"/>
      <c r="H340" s="562"/>
      <c r="I340" s="562"/>
      <c r="J340" s="562"/>
      <c r="K340" s="562"/>
      <c r="L340" s="562"/>
    </row>
    <row r="341" spans="1:12" ht="14.25">
      <c r="A341" s="562"/>
      <c r="B341" s="562"/>
      <c r="C341" s="562"/>
      <c r="D341" s="562"/>
      <c r="E341" s="562"/>
      <c r="F341" s="562"/>
      <c r="G341" s="562"/>
      <c r="H341" s="562"/>
      <c r="I341" s="562"/>
      <c r="J341" s="562"/>
      <c r="K341" s="562"/>
      <c r="L341" s="562"/>
    </row>
    <row r="342" spans="1:12" ht="14.25">
      <c r="A342" s="562"/>
      <c r="B342" s="562"/>
      <c r="C342" s="562"/>
      <c r="D342" s="562"/>
      <c r="E342" s="562"/>
      <c r="F342" s="562"/>
      <c r="G342" s="562"/>
      <c r="H342" s="562"/>
      <c r="I342" s="562"/>
      <c r="J342" s="562"/>
      <c r="K342" s="562"/>
      <c r="L342" s="562"/>
    </row>
    <row r="343" spans="1:12" ht="14.25">
      <c r="A343" s="562"/>
      <c r="B343" s="562"/>
      <c r="C343" s="562"/>
      <c r="D343" s="562"/>
      <c r="E343" s="562"/>
      <c r="F343" s="562"/>
      <c r="G343" s="562"/>
      <c r="H343" s="562"/>
      <c r="I343" s="562"/>
      <c r="J343" s="562"/>
      <c r="K343" s="562"/>
      <c r="L343" s="562"/>
    </row>
    <row r="344" spans="1:12" ht="14.25">
      <c r="A344" s="562"/>
      <c r="B344" s="562"/>
      <c r="C344" s="562"/>
      <c r="D344" s="562"/>
      <c r="E344" s="562"/>
      <c r="F344" s="562"/>
      <c r="G344" s="562"/>
      <c r="H344" s="562"/>
      <c r="I344" s="562"/>
      <c r="J344" s="562"/>
      <c r="K344" s="562"/>
      <c r="L344" s="562"/>
    </row>
    <row r="345" spans="1:12" ht="14.25">
      <c r="A345" s="562"/>
      <c r="B345" s="562"/>
      <c r="C345" s="562"/>
      <c r="D345" s="562"/>
      <c r="E345" s="562"/>
      <c r="F345" s="562"/>
      <c r="G345" s="562"/>
      <c r="H345" s="562"/>
      <c r="I345" s="562"/>
      <c r="J345" s="562"/>
      <c r="K345" s="562"/>
      <c r="L345" s="562"/>
    </row>
    <row r="346" spans="1:12" ht="14.25">
      <c r="A346" s="562"/>
      <c r="B346" s="562"/>
      <c r="C346" s="562"/>
      <c r="D346" s="562"/>
      <c r="E346" s="562"/>
      <c r="F346" s="562"/>
      <c r="G346" s="562"/>
      <c r="H346" s="562"/>
      <c r="I346" s="562"/>
      <c r="J346" s="562"/>
      <c r="K346" s="562"/>
      <c r="L346" s="562"/>
    </row>
    <row r="347" spans="1:12" ht="14.25">
      <c r="A347" s="562"/>
      <c r="B347" s="562"/>
      <c r="C347" s="562"/>
      <c r="D347" s="562"/>
      <c r="E347" s="562"/>
      <c r="F347" s="562"/>
      <c r="G347" s="562"/>
      <c r="H347" s="562"/>
      <c r="I347" s="562"/>
      <c r="J347" s="562"/>
      <c r="K347" s="562"/>
      <c r="L347" s="562"/>
    </row>
    <row r="348" spans="1:12" ht="14.25">
      <c r="A348" s="562"/>
      <c r="B348" s="562"/>
      <c r="C348" s="562"/>
      <c r="D348" s="562"/>
      <c r="E348" s="562"/>
      <c r="F348" s="562"/>
      <c r="G348" s="562"/>
      <c r="H348" s="562"/>
      <c r="I348" s="562"/>
      <c r="J348" s="562"/>
      <c r="K348" s="562"/>
      <c r="L348" s="562"/>
    </row>
    <row r="349" spans="1:12" ht="14.25">
      <c r="A349" s="562"/>
      <c r="B349" s="562"/>
      <c r="C349" s="562"/>
      <c r="D349" s="562"/>
      <c r="E349" s="562"/>
      <c r="F349" s="562"/>
      <c r="G349" s="562"/>
      <c r="H349" s="562"/>
      <c r="I349" s="562"/>
      <c r="J349" s="562"/>
      <c r="K349" s="562"/>
      <c r="L349" s="562"/>
    </row>
    <row r="350" spans="1:12" ht="14.25">
      <c r="A350" s="562"/>
      <c r="B350" s="562"/>
      <c r="C350" s="562"/>
      <c r="D350" s="562"/>
      <c r="E350" s="562"/>
      <c r="F350" s="562"/>
      <c r="G350" s="562"/>
      <c r="H350" s="562"/>
      <c r="I350" s="562"/>
      <c r="J350" s="562"/>
      <c r="K350" s="562"/>
      <c r="L350" s="562"/>
    </row>
    <row r="351" spans="1:12" ht="14.25">
      <c r="A351" s="562"/>
      <c r="B351" s="562"/>
      <c r="C351" s="562"/>
      <c r="D351" s="562"/>
      <c r="E351" s="562"/>
      <c r="F351" s="562"/>
      <c r="G351" s="562"/>
      <c r="H351" s="562"/>
      <c r="I351" s="562"/>
      <c r="J351" s="562"/>
      <c r="K351" s="562"/>
      <c r="L351" s="562"/>
    </row>
    <row r="352" spans="1:12" ht="14.25">
      <c r="A352" s="562"/>
      <c r="B352" s="562"/>
      <c r="C352" s="562"/>
      <c r="D352" s="562"/>
      <c r="E352" s="562"/>
      <c r="F352" s="562"/>
      <c r="G352" s="562"/>
      <c r="H352" s="562"/>
      <c r="I352" s="562"/>
      <c r="J352" s="562"/>
      <c r="K352" s="562"/>
      <c r="L352" s="562"/>
    </row>
    <row r="353" spans="1:12" ht="14.25">
      <c r="A353" s="562"/>
      <c r="B353" s="562"/>
      <c r="C353" s="562"/>
      <c r="D353" s="562"/>
      <c r="E353" s="562"/>
      <c r="F353" s="562"/>
      <c r="G353" s="562"/>
      <c r="H353" s="562"/>
      <c r="I353" s="562"/>
      <c r="J353" s="562"/>
      <c r="K353" s="562"/>
      <c r="L353" s="562"/>
    </row>
    <row r="354" spans="1:12" ht="14.25">
      <c r="A354" s="562"/>
      <c r="B354" s="562"/>
      <c r="C354" s="562"/>
      <c r="D354" s="562"/>
      <c r="E354" s="562"/>
      <c r="F354" s="562"/>
      <c r="G354" s="562"/>
      <c r="H354" s="562"/>
      <c r="I354" s="562"/>
      <c r="J354" s="562"/>
      <c r="K354" s="562"/>
      <c r="L354" s="562"/>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4" t="s">
        <v>727</v>
      </c>
    </row>
    <row r="3" ht="31.5">
      <c r="A3" s="575" t="s">
        <v>728</v>
      </c>
    </row>
    <row r="4" ht="15.75">
      <c r="A4" s="576" t="s">
        <v>729</v>
      </c>
    </row>
    <row r="7" ht="31.5">
      <c r="A7" s="575" t="s">
        <v>730</v>
      </c>
    </row>
    <row r="8" ht="15.75">
      <c r="A8" s="576" t="s">
        <v>731</v>
      </c>
    </row>
    <row r="11" ht="15.75">
      <c r="A11" s="1" t="s">
        <v>732</v>
      </c>
    </row>
    <row r="12" ht="15.75">
      <c r="A12" s="576" t="s">
        <v>733</v>
      </c>
    </row>
    <row r="15" ht="15.75">
      <c r="A15" s="1" t="s">
        <v>734</v>
      </c>
    </row>
    <row r="16" ht="15.75">
      <c r="A16" s="576" t="s">
        <v>735</v>
      </c>
    </row>
    <row r="19" ht="15.75">
      <c r="A19" s="1" t="s">
        <v>736</v>
      </c>
    </row>
    <row r="20" ht="15.75">
      <c r="A20" s="576" t="s">
        <v>737</v>
      </c>
    </row>
    <row r="23" ht="15.75">
      <c r="A23" s="1" t="s">
        <v>738</v>
      </c>
    </row>
    <row r="24" ht="15.75">
      <c r="A24" s="576" t="s">
        <v>739</v>
      </c>
    </row>
    <row r="27" ht="15.75">
      <c r="A27" s="1" t="s">
        <v>740</v>
      </c>
    </row>
    <row r="28" ht="15.75">
      <c r="A28" s="576" t="s">
        <v>741</v>
      </c>
    </row>
    <row r="31" ht="15.75">
      <c r="A31" s="1" t="s">
        <v>742</v>
      </c>
    </row>
    <row r="32" ht="15.75">
      <c r="A32" s="576" t="s">
        <v>743</v>
      </c>
    </row>
    <row r="35" ht="15.75">
      <c r="A35" s="1" t="s">
        <v>744</v>
      </c>
    </row>
    <row r="36" ht="15.75">
      <c r="A36" s="576" t="s">
        <v>745</v>
      </c>
    </row>
    <row r="39" ht="15.75">
      <c r="A39" s="1" t="s">
        <v>746</v>
      </c>
    </row>
    <row r="40" ht="15.75">
      <c r="A40" s="576"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46">
      <selection activeCell="K59" sqref="K59"/>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Blue Rapids</v>
      </c>
      <c r="B1" s="128"/>
      <c r="C1" s="128"/>
      <c r="D1" s="128"/>
      <c r="E1" s="129">
        <f>inputPrYr!C5</f>
        <v>2014</v>
      </c>
    </row>
    <row r="2" spans="1:5" ht="15">
      <c r="A2" s="128"/>
      <c r="B2" s="128"/>
      <c r="C2" s="128"/>
      <c r="D2" s="128"/>
      <c r="E2" s="128"/>
    </row>
    <row r="3" spans="1:5" ht="15.75">
      <c r="A3" s="814" t="s">
        <v>22</v>
      </c>
      <c r="B3" s="815"/>
      <c r="C3" s="815"/>
      <c r="D3" s="815"/>
      <c r="E3" s="815"/>
    </row>
    <row r="4" spans="1:5" ht="15.75">
      <c r="A4" s="75"/>
      <c r="B4" s="75"/>
      <c r="C4" s="75"/>
      <c r="D4" s="75"/>
      <c r="E4" s="75"/>
    </row>
    <row r="5" spans="1:5" ht="15.75">
      <c r="A5" s="75"/>
      <c r="B5" s="75"/>
      <c r="C5" s="75"/>
      <c r="D5" s="75"/>
      <c r="E5" s="75"/>
    </row>
    <row r="6" spans="1:5" ht="15.75">
      <c r="A6" s="78" t="s">
        <v>135</v>
      </c>
      <c r="B6" s="79"/>
      <c r="C6" s="64"/>
      <c r="D6" s="64"/>
      <c r="E6" s="88"/>
    </row>
    <row r="7" spans="1:8" ht="15.75">
      <c r="A7" s="130" t="str">
        <f>CONCATENATE("Total Assessed Valuation for ",E1-1,"")</f>
        <v>Total Assessed Valuation for 2013</v>
      </c>
      <c r="B7" s="115"/>
      <c r="C7" s="115"/>
      <c r="D7" s="115"/>
      <c r="E7" s="87">
        <v>3155579</v>
      </c>
      <c r="F7" s="775"/>
      <c r="G7" s="773"/>
      <c r="H7" s="774"/>
    </row>
    <row r="8" spans="1:8" ht="15.75">
      <c r="A8" s="130" t="str">
        <f>CONCATENATE("New Improvements for ",E1-1,"")</f>
        <v>New Improvements for 2013</v>
      </c>
      <c r="B8" s="115"/>
      <c r="C8" s="115"/>
      <c r="D8" s="115"/>
      <c r="E8" s="123">
        <v>83093</v>
      </c>
      <c r="F8" s="775"/>
      <c r="G8" s="773"/>
      <c r="H8" s="774"/>
    </row>
    <row r="9" spans="1:8" ht="15.75">
      <c r="A9" s="130" t="str">
        <f>CONCATENATE("Personal Property excluding oil, gas, and mobile homes  - ",E1-1,"")</f>
        <v>Personal Property excluding oil, gas, and mobile homes  - 2013</v>
      </c>
      <c r="B9" s="115"/>
      <c r="C9" s="115"/>
      <c r="D9" s="115"/>
      <c r="E9" s="123">
        <v>110511</v>
      </c>
      <c r="F9" s="775"/>
      <c r="G9" s="773"/>
      <c r="H9" s="774"/>
    </row>
    <row r="10" spans="1:8" ht="15.75">
      <c r="A10" s="132" t="s">
        <v>281</v>
      </c>
      <c r="B10" s="115"/>
      <c r="C10" s="115"/>
      <c r="D10" s="115"/>
      <c r="E10" s="108"/>
      <c r="F10" s="773"/>
      <c r="G10" s="773"/>
      <c r="H10" s="773"/>
    </row>
    <row r="11" spans="1:8" ht="15.75">
      <c r="A11" s="130" t="s">
        <v>271</v>
      </c>
      <c r="B11" s="115"/>
      <c r="C11" s="115"/>
      <c r="D11" s="115"/>
      <c r="E11" s="123"/>
      <c r="F11" s="773"/>
      <c r="G11" s="773"/>
      <c r="H11" s="773"/>
    </row>
    <row r="12" spans="1:8" ht="15.75">
      <c r="A12" s="130" t="s">
        <v>272</v>
      </c>
      <c r="B12" s="115"/>
      <c r="C12" s="115"/>
      <c r="D12" s="115"/>
      <c r="E12" s="123"/>
      <c r="F12" s="773"/>
      <c r="G12" s="773"/>
      <c r="H12" s="773"/>
    </row>
    <row r="13" spans="1:8" ht="15.75">
      <c r="A13" s="130" t="s">
        <v>273</v>
      </c>
      <c r="B13" s="115"/>
      <c r="C13" s="115"/>
      <c r="D13" s="115"/>
      <c r="E13" s="123"/>
      <c r="F13" s="773"/>
      <c r="G13" s="773"/>
      <c r="H13" s="773"/>
    </row>
    <row r="14" spans="1:8" ht="15.75">
      <c r="A14" s="130" t="str">
        <f>CONCATENATE("Property that has changed in use for ",E1-1,"")</f>
        <v>Property that has changed in use for 2013</v>
      </c>
      <c r="B14" s="115"/>
      <c r="C14" s="115"/>
      <c r="D14" s="115"/>
      <c r="E14" s="123">
        <v>1921</v>
      </c>
      <c r="F14" s="775"/>
      <c r="G14" s="773"/>
      <c r="H14" s="774"/>
    </row>
    <row r="15" spans="1:8" ht="15.75">
      <c r="A15" s="130" t="str">
        <f>CONCATENATE("Personal Property  excluding oil, gas, and mobile homes- ",E1-2,"")</f>
        <v>Personal Property  excluding oil, gas, and mobile homes- 2012</v>
      </c>
      <c r="B15" s="115"/>
      <c r="C15" s="115"/>
      <c r="D15" s="115"/>
      <c r="E15" s="123">
        <v>140978</v>
      </c>
      <c r="F15" s="775"/>
      <c r="G15" s="773"/>
      <c r="H15" s="774"/>
    </row>
    <row r="16" spans="1:8" ht="15.75">
      <c r="A16" s="130" t="str">
        <f>CONCATENATE("Gross earnings (intangible) tax estimate for ",E1,"")</f>
        <v>Gross earnings (intangible) tax estimate for 2014</v>
      </c>
      <c r="B16" s="115"/>
      <c r="C16" s="115"/>
      <c r="D16" s="116"/>
      <c r="E16" s="87">
        <v>7398</v>
      </c>
      <c r="F16" s="775"/>
      <c r="G16" s="773"/>
      <c r="H16" s="774"/>
    </row>
    <row r="17" spans="1:8" ht="15.75">
      <c r="A17" s="130" t="s">
        <v>47</v>
      </c>
      <c r="B17" s="115"/>
      <c r="C17" s="115"/>
      <c r="D17" s="115"/>
      <c r="E17" s="123">
        <v>17893</v>
      </c>
      <c r="F17" s="775"/>
      <c r="G17" s="773"/>
      <c r="H17" s="774"/>
    </row>
    <row r="18" spans="1:6" ht="15.75">
      <c r="A18" s="99"/>
      <c r="B18" s="96"/>
      <c r="C18" s="96"/>
      <c r="D18" s="96"/>
      <c r="E18" s="101"/>
      <c r="F18" s="773"/>
    </row>
    <row r="19" spans="1:6" ht="15.75">
      <c r="A19" s="99" t="str">
        <f>CONCATENATE("Actual Tax Rates for the ",E1-1," Budget:")</f>
        <v>Actual Tax Rates for the 2013 Budget:</v>
      </c>
      <c r="B19" s="96"/>
      <c r="C19" s="96"/>
      <c r="D19" s="96"/>
      <c r="E19" s="101"/>
      <c r="F19" s="773"/>
    </row>
    <row r="20" spans="1:6" ht="15.75">
      <c r="A20" s="821" t="s">
        <v>150</v>
      </c>
      <c r="B20" s="822"/>
      <c r="C20" s="128"/>
      <c r="D20" s="133" t="s">
        <v>197</v>
      </c>
      <c r="E20" s="101"/>
      <c r="F20" s="773"/>
    </row>
    <row r="21" spans="1:6" ht="15.75">
      <c r="A21" s="91" t="str">
        <f>inputPrYr!B17</f>
        <v>General</v>
      </c>
      <c r="B21" s="92"/>
      <c r="C21" s="96"/>
      <c r="D21" s="110">
        <v>75.431</v>
      </c>
      <c r="E21" s="101"/>
      <c r="F21" s="775"/>
    </row>
    <row r="22" spans="1:6" ht="15.75">
      <c r="A22" s="91" t="str">
        <f>inputPrYr!B18</f>
        <v>Bond &amp; Interest</v>
      </c>
      <c r="B22" s="115"/>
      <c r="C22" s="96"/>
      <c r="D22" s="110">
        <v>5.764</v>
      </c>
      <c r="E22" s="101"/>
      <c r="F22" s="775"/>
    </row>
    <row r="23" spans="1:6" ht="15.75">
      <c r="A23" s="130" t="str">
        <f>inputPrYr!B21</f>
        <v>Library</v>
      </c>
      <c r="B23" s="115"/>
      <c r="C23" s="96"/>
      <c r="D23" s="110">
        <v>5.572</v>
      </c>
      <c r="E23" s="101"/>
      <c r="F23" s="775"/>
    </row>
    <row r="24" spans="1:6" ht="15.75">
      <c r="A24" s="130">
        <f>inputPrYr!B22</f>
        <v>0</v>
      </c>
      <c r="B24" s="115"/>
      <c r="C24" s="96"/>
      <c r="D24" s="110"/>
      <c r="E24" s="101"/>
      <c r="F24" s="773"/>
    </row>
    <row r="25" spans="1:6" ht="15.75">
      <c r="A25" s="130">
        <f>inputPrYr!B22</f>
        <v>0</v>
      </c>
      <c r="B25" s="115"/>
      <c r="C25" s="96"/>
      <c r="D25" s="110"/>
      <c r="E25" s="101"/>
      <c r="F25" s="773"/>
    </row>
    <row r="26" spans="1:6" ht="15.75">
      <c r="A26" s="130">
        <f>inputPrYr!B23</f>
        <v>0</v>
      </c>
      <c r="B26" s="134"/>
      <c r="C26" s="96"/>
      <c r="D26" s="110"/>
      <c r="E26" s="101"/>
      <c r="F26" s="773"/>
    </row>
    <row r="27" spans="1:6" ht="15.75">
      <c r="A27" s="130">
        <f>inputPrYr!B24</f>
        <v>0</v>
      </c>
      <c r="B27" s="134"/>
      <c r="C27" s="96"/>
      <c r="D27" s="110"/>
      <c r="E27" s="101"/>
      <c r="F27" s="773"/>
    </row>
    <row r="28" spans="1:6" ht="15.75">
      <c r="A28" s="135"/>
      <c r="B28" s="86" t="s">
        <v>134</v>
      </c>
      <c r="C28" s="136"/>
      <c r="D28" s="111">
        <f>SUM(D21:D27)</f>
        <v>86.767</v>
      </c>
      <c r="E28" s="135"/>
      <c r="F28" s="773"/>
    </row>
    <row r="29" spans="1:6" ht="15">
      <c r="A29" s="135"/>
      <c r="B29" s="135"/>
      <c r="C29" s="135"/>
      <c r="D29" s="135"/>
      <c r="E29" s="135"/>
      <c r="F29" s="773"/>
    </row>
    <row r="30" spans="1:8" ht="15.75">
      <c r="A30" s="92" t="str">
        <f>CONCATENATE("Final Assessed Valuation from the November 1, ",E1-2," Abstract")</f>
        <v>Final Assessed Valuation from the November 1, 2012 Abstract</v>
      </c>
      <c r="B30" s="137"/>
      <c r="C30" s="137"/>
      <c r="D30" s="137"/>
      <c r="E30" s="123">
        <v>3045202</v>
      </c>
      <c r="F30" s="775"/>
      <c r="H30" s="774"/>
    </row>
    <row r="31" spans="1:6" ht="15">
      <c r="A31" s="135"/>
      <c r="B31" s="135"/>
      <c r="C31" s="135"/>
      <c r="D31" s="135"/>
      <c r="E31" s="135"/>
      <c r="F31" s="773"/>
    </row>
    <row r="32" spans="1:6" ht="15.75">
      <c r="A32" s="138" t="s">
        <v>282</v>
      </c>
      <c r="B32" s="77"/>
      <c r="C32" s="77"/>
      <c r="D32" s="139"/>
      <c r="E32" s="88"/>
      <c r="F32" s="773"/>
    </row>
    <row r="33" spans="1:8" ht="15.75">
      <c r="A33" s="91" t="s">
        <v>136</v>
      </c>
      <c r="B33" s="92"/>
      <c r="C33" s="92"/>
      <c r="D33" s="140"/>
      <c r="E33" s="87">
        <v>50397</v>
      </c>
      <c r="F33" s="775"/>
      <c r="H33" s="774"/>
    </row>
    <row r="34" spans="1:8" ht="15.75">
      <c r="A34" s="130" t="s">
        <v>137</v>
      </c>
      <c r="B34" s="115"/>
      <c r="C34" s="115"/>
      <c r="D34" s="141"/>
      <c r="E34" s="87">
        <v>1375</v>
      </c>
      <c r="F34" s="775"/>
      <c r="G34" s="773"/>
      <c r="H34" s="774"/>
    </row>
    <row r="35" spans="1:8" ht="15.75">
      <c r="A35" s="130" t="s">
        <v>224</v>
      </c>
      <c r="B35" s="115"/>
      <c r="C35" s="115"/>
      <c r="D35" s="141"/>
      <c r="E35" s="87">
        <v>853</v>
      </c>
      <c r="F35" s="775"/>
      <c r="G35" s="773"/>
      <c r="H35" s="774"/>
    </row>
    <row r="36" spans="1:8" ht="15.75">
      <c r="A36" s="130" t="s">
        <v>120</v>
      </c>
      <c r="B36" s="115"/>
      <c r="C36" s="115"/>
      <c r="D36" s="141"/>
      <c r="E36" s="87"/>
      <c r="F36" s="775"/>
      <c r="G36" s="773"/>
      <c r="H36" s="774"/>
    </row>
    <row r="37" spans="1:8" ht="15.75">
      <c r="A37" s="130" t="s">
        <v>122</v>
      </c>
      <c r="B37" s="115"/>
      <c r="C37" s="115"/>
      <c r="D37" s="141"/>
      <c r="E37" s="87"/>
      <c r="F37" s="775"/>
      <c r="G37" s="773"/>
      <c r="H37" s="774"/>
    </row>
    <row r="38" spans="1:8" ht="15.75">
      <c r="A38" s="64" t="s">
        <v>260</v>
      </c>
      <c r="B38" s="64"/>
      <c r="C38" s="64"/>
      <c r="D38" s="64"/>
      <c r="E38" s="64"/>
      <c r="F38" s="775"/>
      <c r="G38" s="775"/>
      <c r="H38" s="774"/>
    </row>
    <row r="39" spans="1:8" ht="15.75">
      <c r="A39" s="66" t="s">
        <v>157</v>
      </c>
      <c r="B39" s="73"/>
      <c r="C39" s="73"/>
      <c r="D39" s="64"/>
      <c r="E39" s="64"/>
      <c r="F39" s="775"/>
      <c r="G39" s="775"/>
      <c r="H39" s="774"/>
    </row>
    <row r="40" spans="1:8" ht="15.75">
      <c r="A40" s="91" t="str">
        <f>CONCATENATE("Actual Delinquency for ",E1-3," Tax - (rate .01213 = 1.213%, key in 1.2)")</f>
        <v>Actual Delinquency for 2011 Tax - (rate .01213 = 1.213%, key in 1.2)</v>
      </c>
      <c r="B40" s="92"/>
      <c r="C40" s="92"/>
      <c r="D40" s="103"/>
      <c r="E40" s="662">
        <v>0</v>
      </c>
      <c r="F40" s="775"/>
      <c r="G40" s="775"/>
      <c r="H40" s="774"/>
    </row>
    <row r="41" spans="1:8" ht="15.75">
      <c r="A41" s="130" t="s">
        <v>833</v>
      </c>
      <c r="B41" s="130"/>
      <c r="C41" s="115"/>
      <c r="D41" s="116"/>
      <c r="E41" s="663"/>
      <c r="F41" s="775"/>
      <c r="G41" s="775"/>
      <c r="H41" s="773"/>
    </row>
    <row r="42" spans="1:8" ht="15.75">
      <c r="A42" s="142" t="s">
        <v>9</v>
      </c>
      <c r="B42" s="142"/>
      <c r="C42" s="143"/>
      <c r="D42" s="143"/>
      <c r="E42" s="144"/>
      <c r="F42" s="775"/>
      <c r="G42" s="775"/>
      <c r="H42" s="773"/>
    </row>
    <row r="43" spans="1:8" ht="15.75">
      <c r="A43" s="64"/>
      <c r="B43" s="64"/>
      <c r="C43" s="64"/>
      <c r="D43" s="64"/>
      <c r="E43" s="64"/>
      <c r="F43" s="775"/>
      <c r="G43" s="775"/>
      <c r="H43" s="773"/>
    </row>
    <row r="44" spans="1:8" ht="15.75">
      <c r="A44" s="145" t="s">
        <v>46</v>
      </c>
      <c r="B44" s="146"/>
      <c r="C44" s="147"/>
      <c r="D44" s="147"/>
      <c r="E44" s="147"/>
      <c r="F44" s="775"/>
      <c r="G44" s="775"/>
      <c r="H44" s="773"/>
    </row>
    <row r="45" spans="1:8" ht="15.75">
      <c r="A45" s="148" t="str">
        <f>CONCATENATE("",E1," State Distribution for Kansas Gas Tax")</f>
        <v>2014 State Distribution for Kansas Gas Tax</v>
      </c>
      <c r="B45" s="149"/>
      <c r="C45" s="149"/>
      <c r="D45" s="150"/>
      <c r="E45" s="123">
        <v>26230</v>
      </c>
      <c r="F45" s="775"/>
      <c r="G45" s="775"/>
      <c r="H45" s="773"/>
    </row>
    <row r="46" spans="1:8" ht="15.75">
      <c r="A46" s="151" t="str">
        <f>CONCATENATE("",E1," County Transfers for Gas***")</f>
        <v>2014 County Transfers for Gas***</v>
      </c>
      <c r="B46" s="152"/>
      <c r="C46" s="152"/>
      <c r="D46" s="153"/>
      <c r="E46" s="123"/>
      <c r="F46" s="775"/>
      <c r="G46" s="775"/>
      <c r="H46" s="773"/>
    </row>
    <row r="47" spans="1:8" ht="15.75">
      <c r="A47" s="151" t="str">
        <f>CONCATENATE("Adjusted ",E1-1," State Distribution for Kansas Gas Tax")</f>
        <v>Adjusted 2013 State Distribution for Kansas Gas Tax</v>
      </c>
      <c r="B47" s="152"/>
      <c r="C47" s="152"/>
      <c r="D47" s="153"/>
      <c r="E47" s="123">
        <v>25320</v>
      </c>
      <c r="F47" s="775"/>
      <c r="G47" s="775"/>
      <c r="H47" s="773"/>
    </row>
    <row r="48" spans="1:8" ht="15.75">
      <c r="A48" s="151" t="str">
        <f>CONCATENATE("Adjusted ",E1-1," County Transfers for Gas***")</f>
        <v>Adjusted 2013 County Transfers for Gas***</v>
      </c>
      <c r="B48" s="152"/>
      <c r="C48" s="152"/>
      <c r="D48" s="153"/>
      <c r="E48" s="123"/>
      <c r="F48" s="775"/>
      <c r="G48" s="775"/>
      <c r="H48" s="773"/>
    </row>
    <row r="49" spans="1:8" ht="18" customHeight="1">
      <c r="A49" s="823" t="s">
        <v>15</v>
      </c>
      <c r="B49" s="824"/>
      <c r="C49" s="824"/>
      <c r="D49" s="824"/>
      <c r="E49" s="824"/>
      <c r="F49" s="775"/>
      <c r="G49" s="775"/>
      <c r="H49" s="773"/>
    </row>
    <row r="50" spans="1:11" ht="15">
      <c r="A50" s="154" t="s">
        <v>16</v>
      </c>
      <c r="B50" s="154"/>
      <c r="C50" s="154"/>
      <c r="D50" s="154"/>
      <c r="E50" s="154"/>
      <c r="F50" s="775"/>
      <c r="G50" s="775"/>
      <c r="H50" s="773"/>
      <c r="I50" s="773"/>
      <c r="J50" s="773"/>
      <c r="K50" s="773"/>
    </row>
    <row r="51" spans="1:11" ht="15">
      <c r="A51" s="128"/>
      <c r="B51" s="128"/>
      <c r="C51" s="128"/>
      <c r="D51" s="128"/>
      <c r="E51" s="128"/>
      <c r="F51" s="775"/>
      <c r="G51" s="775"/>
      <c r="H51" s="773"/>
      <c r="I51" s="773"/>
      <c r="J51" s="773"/>
      <c r="K51" s="773"/>
    </row>
    <row r="52" spans="1:11" ht="15.75">
      <c r="A52" s="825" t="str">
        <f>CONCATENATE("From the ",E1-2," Budget Certificate Page")</f>
        <v>From the 2012 Budget Certificate Page</v>
      </c>
      <c r="B52" s="826"/>
      <c r="C52" s="128"/>
      <c r="D52" s="128"/>
      <c r="E52" s="128"/>
      <c r="F52" s="775"/>
      <c r="G52" s="775"/>
      <c r="H52" s="773"/>
      <c r="I52" s="773"/>
      <c r="J52" s="773"/>
      <c r="K52" s="773"/>
    </row>
    <row r="53" spans="1:13" ht="15.75">
      <c r="A53" s="155"/>
      <c r="B53" s="155" t="str">
        <f>CONCATENATE("",E1-2," Expenditure Amounts")</f>
        <v>2012 Expenditure Amounts</v>
      </c>
      <c r="C53" s="819" t="str">
        <f>CONCATENATE("Note: If the ",E1-2," budget was amended, then the")</f>
        <v>Note: If the 2012 budget was amended, then the</v>
      </c>
      <c r="D53" s="820"/>
      <c r="E53" s="820"/>
      <c r="F53" s="792"/>
      <c r="G53" s="792"/>
      <c r="H53" s="792"/>
      <c r="I53" s="792"/>
      <c r="J53" s="792"/>
      <c r="K53" s="792"/>
      <c r="L53" s="792"/>
      <c r="M53" s="792"/>
    </row>
    <row r="54" spans="1:13" ht="15.75">
      <c r="A54" s="156" t="s">
        <v>52</v>
      </c>
      <c r="B54" s="156" t="s">
        <v>51</v>
      </c>
      <c r="C54" s="157" t="s">
        <v>49</v>
      </c>
      <c r="D54" s="158"/>
      <c r="E54" s="158"/>
      <c r="F54" s="784"/>
      <c r="G54" s="784"/>
      <c r="H54" s="784"/>
      <c r="I54" s="784"/>
      <c r="J54" s="784"/>
      <c r="K54" s="784"/>
      <c r="L54" s="792"/>
      <c r="M54" s="792"/>
    </row>
    <row r="55" spans="1:13" ht="15.75">
      <c r="A55" s="159" t="str">
        <f>inputPrYr!B17</f>
        <v>General</v>
      </c>
      <c r="B55" s="123">
        <v>741269</v>
      </c>
      <c r="C55" s="157" t="s">
        <v>50</v>
      </c>
      <c r="D55" s="158"/>
      <c r="E55" s="158"/>
      <c r="F55" s="784"/>
      <c r="G55" s="784"/>
      <c r="H55" s="784"/>
      <c r="I55" s="784"/>
      <c r="J55" s="784"/>
      <c r="K55" s="784"/>
      <c r="L55" s="792"/>
      <c r="M55" s="792"/>
    </row>
    <row r="56" spans="1:13" ht="15.75">
      <c r="A56" s="159" t="str">
        <f>inputPrYr!B18</f>
        <v>Bond &amp; Interest</v>
      </c>
      <c r="B56" s="123">
        <v>30575</v>
      </c>
      <c r="C56" s="157"/>
      <c r="D56" s="158"/>
      <c r="E56" s="158"/>
      <c r="F56" s="784"/>
      <c r="G56" s="784"/>
      <c r="H56" s="784"/>
      <c r="I56" s="784"/>
      <c r="J56" s="784"/>
      <c r="K56" s="784"/>
      <c r="L56" s="792"/>
      <c r="M56" s="792"/>
    </row>
    <row r="57" spans="1:13" ht="15.75">
      <c r="A57" s="159" t="str">
        <f>inputPrYr!B21</f>
        <v>Library</v>
      </c>
      <c r="B57" s="123">
        <v>10850</v>
      </c>
      <c r="C57" s="128"/>
      <c r="D57" s="128"/>
      <c r="E57" s="128"/>
      <c r="F57" s="784"/>
      <c r="G57" s="784"/>
      <c r="H57" s="784"/>
      <c r="I57" s="784"/>
      <c r="J57" s="784"/>
      <c r="K57" s="784"/>
      <c r="L57" s="792"/>
      <c r="M57" s="792"/>
    </row>
    <row r="58" spans="1:13" ht="15.75">
      <c r="A58" s="159" t="str">
        <f>inputPrYr!B28</f>
        <v>Special Highway</v>
      </c>
      <c r="B58" s="123">
        <v>28940</v>
      </c>
      <c r="C58" s="128"/>
      <c r="D58" s="128"/>
      <c r="E58" s="128"/>
      <c r="F58" s="784"/>
      <c r="G58" s="784"/>
      <c r="H58" s="784"/>
      <c r="I58" s="784"/>
      <c r="J58" s="784"/>
      <c r="K58" s="784"/>
      <c r="L58" s="792"/>
      <c r="M58" s="792"/>
    </row>
    <row r="59" spans="1:13" ht="15.75">
      <c r="A59" s="159" t="str">
        <f>inputPrYr!B29</f>
        <v>Water/Sewer/Refuse</v>
      </c>
      <c r="B59" s="123">
        <v>555191</v>
      </c>
      <c r="C59" s="128"/>
      <c r="D59" s="128"/>
      <c r="E59" s="128"/>
      <c r="F59" s="784"/>
      <c r="G59" s="784"/>
      <c r="H59" s="784"/>
      <c r="I59" s="784"/>
      <c r="J59" s="784"/>
      <c r="K59" s="784"/>
      <c r="L59" s="792"/>
      <c r="M59" s="792"/>
    </row>
    <row r="60" spans="1:13" ht="15.75">
      <c r="A60" s="159" t="str">
        <f>inputPrYr!B30</f>
        <v>Capital Improvement</v>
      </c>
      <c r="B60" s="123">
        <v>132569</v>
      </c>
      <c r="C60" s="128"/>
      <c r="D60" s="128"/>
      <c r="E60" s="128"/>
      <c r="F60" s="784"/>
      <c r="G60" s="784"/>
      <c r="H60" s="784"/>
      <c r="I60" s="784"/>
      <c r="J60" s="784"/>
      <c r="K60" s="784"/>
      <c r="L60" s="792"/>
      <c r="M60" s="792"/>
    </row>
    <row r="61" spans="1:13" ht="15.75">
      <c r="A61" s="159" t="str">
        <f>inputPrYr!B31</f>
        <v>Utility System Reserve</v>
      </c>
      <c r="B61" s="123">
        <v>163741</v>
      </c>
      <c r="C61" s="128"/>
      <c r="D61" s="128"/>
      <c r="E61" s="128"/>
      <c r="F61" s="772"/>
      <c r="G61" s="792"/>
      <c r="H61" s="792"/>
      <c r="I61" s="792"/>
      <c r="J61" s="792"/>
      <c r="K61" s="792"/>
      <c r="L61" s="792"/>
      <c r="M61" s="792"/>
    </row>
    <row r="62" spans="1:13" ht="15.75">
      <c r="A62" s="159" t="str">
        <f>inputPrYr!B35</f>
        <v>Housing Grant Fund</v>
      </c>
      <c r="B62" s="123">
        <v>0</v>
      </c>
      <c r="C62" s="128"/>
      <c r="D62" s="128"/>
      <c r="E62" s="128"/>
      <c r="F62" s="772"/>
      <c r="G62" s="792"/>
      <c r="H62" s="792"/>
      <c r="I62" s="792"/>
      <c r="J62" s="792"/>
      <c r="K62" s="792"/>
      <c r="L62" s="792"/>
      <c r="M62" s="792"/>
    </row>
    <row r="63" spans="1:13" ht="15.75">
      <c r="A63" s="159" t="str">
        <f>inputPrYr!B36</f>
        <v>Spec. Law Enf. Trust Fund</v>
      </c>
      <c r="B63" s="123">
        <v>2165</v>
      </c>
      <c r="C63" s="128"/>
      <c r="D63" s="128"/>
      <c r="E63" s="128"/>
      <c r="F63" s="804"/>
      <c r="G63" s="792"/>
      <c r="H63" s="792"/>
      <c r="I63" s="792"/>
      <c r="J63" s="792"/>
      <c r="K63" s="792"/>
      <c r="L63" s="792"/>
      <c r="M63" s="792"/>
    </row>
    <row r="64" spans="1:5" ht="15.75">
      <c r="A64" s="159" t="str">
        <f>inputPrYr!B39</f>
        <v>Storm Sewer Capital Project Fund</v>
      </c>
      <c r="B64" s="123">
        <v>0</v>
      </c>
      <c r="C64" s="128"/>
      <c r="D64" s="128"/>
      <c r="E64" s="128"/>
    </row>
    <row r="65" spans="1:5" ht="15.75">
      <c r="A65" s="159" t="str">
        <f>inputPrYr!B40</f>
        <v>Pool Improvement Fund</v>
      </c>
      <c r="B65" s="123">
        <v>0</v>
      </c>
      <c r="C65" s="128"/>
      <c r="D65" s="128"/>
      <c r="E65" s="128"/>
    </row>
    <row r="66" spans="1:5" ht="15.75">
      <c r="A66" s="159">
        <f>inputPrYr!B41</f>
        <v>0</v>
      </c>
      <c r="B66" s="123"/>
      <c r="C66" s="128"/>
      <c r="D66" s="128"/>
      <c r="E66" s="128"/>
    </row>
    <row r="67" spans="1:5" ht="15.75">
      <c r="A67" s="159">
        <f>inputPrYr!B42</f>
        <v>0</v>
      </c>
      <c r="B67" s="123"/>
      <c r="C67" s="128"/>
      <c r="D67" s="128"/>
      <c r="E67" s="128"/>
    </row>
    <row r="68" spans="1:5" ht="15.75">
      <c r="A68" s="159">
        <f>inputPrYr!B43</f>
        <v>0</v>
      </c>
      <c r="B68" s="123"/>
      <c r="C68" s="128"/>
      <c r="D68" s="128"/>
      <c r="E68" s="128"/>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8" r:id="rId1"/>
</worksheet>
</file>

<file path=xl/worksheets/sheet30.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19" t="s">
        <v>984</v>
      </c>
    </row>
    <row r="2" ht="15.75">
      <c r="A2" s="51" t="s">
        <v>985</v>
      </c>
    </row>
    <row r="4" ht="15.75">
      <c r="A4" s="619" t="s">
        <v>981</v>
      </c>
    </row>
    <row r="5" ht="15.75">
      <c r="A5" s="51" t="s">
        <v>982</v>
      </c>
    </row>
    <row r="7" ht="15.75">
      <c r="A7" s="619" t="s">
        <v>979</v>
      </c>
    </row>
    <row r="8" ht="15.75">
      <c r="A8" s="738" t="s">
        <v>980</v>
      </c>
    </row>
    <row r="10" ht="15.75">
      <c r="A10" s="619" t="s">
        <v>976</v>
      </c>
    </row>
    <row r="11" ht="15.75">
      <c r="A11" s="51" t="s">
        <v>977</v>
      </c>
    </row>
    <row r="13" ht="15.75">
      <c r="A13" s="619" t="s">
        <v>973</v>
      </c>
    </row>
    <row r="14" ht="15.75">
      <c r="A14" s="51" t="s">
        <v>974</v>
      </c>
    </row>
    <row r="15" ht="15.75">
      <c r="A15" s="51" t="s">
        <v>975</v>
      </c>
    </row>
    <row r="17" ht="15.75">
      <c r="A17" s="619" t="s">
        <v>971</v>
      </c>
    </row>
    <row r="18" ht="15.75">
      <c r="A18" s="743" t="s">
        <v>972</v>
      </c>
    </row>
    <row r="20" ht="15.75">
      <c r="A20" s="619" t="s">
        <v>895</v>
      </c>
    </row>
    <row r="21" ht="15.75">
      <c r="A21" s="738" t="s">
        <v>915</v>
      </c>
    </row>
    <row r="22" ht="15.75">
      <c r="A22" s="51" t="s">
        <v>916</v>
      </c>
    </row>
    <row r="23" ht="15.75">
      <c r="A23" s="51" t="s">
        <v>917</v>
      </c>
    </row>
    <row r="24" ht="15.75">
      <c r="A24" s="51" t="s">
        <v>918</v>
      </c>
    </row>
    <row r="25" ht="15.75">
      <c r="A25" s="51" t="s">
        <v>919</v>
      </c>
    </row>
    <row r="26" ht="15.75">
      <c r="A26" s="51" t="s">
        <v>920</v>
      </c>
    </row>
    <row r="27" ht="15.75">
      <c r="A27" s="51" t="s">
        <v>921</v>
      </c>
    </row>
    <row r="28" ht="15.75">
      <c r="A28" s="51" t="s">
        <v>922</v>
      </c>
    </row>
    <row r="29" ht="15.75">
      <c r="A29" s="51" t="s">
        <v>923</v>
      </c>
    </row>
    <row r="30" ht="15.75">
      <c r="A30" s="51" t="s">
        <v>924</v>
      </c>
    </row>
    <row r="31" ht="15.75">
      <c r="A31" s="51" t="s">
        <v>925</v>
      </c>
    </row>
    <row r="32" ht="15.75">
      <c r="A32" s="51" t="s">
        <v>926</v>
      </c>
    </row>
    <row r="33" ht="15.75">
      <c r="A33" s="51" t="s">
        <v>927</v>
      </c>
    </row>
    <row r="34" ht="15.75">
      <c r="A34" s="51" t="s">
        <v>928</v>
      </c>
    </row>
    <row r="35" ht="15.75">
      <c r="A35" s="51" t="s">
        <v>929</v>
      </c>
    </row>
    <row r="36" ht="15.75">
      <c r="A36" s="51" t="s">
        <v>930</v>
      </c>
    </row>
    <row r="37" ht="48.75" customHeight="1">
      <c r="A37" s="53" t="s">
        <v>931</v>
      </c>
    </row>
    <row r="38" ht="15.75">
      <c r="A38" s="52" t="s">
        <v>932</v>
      </c>
    </row>
    <row r="39" ht="36" customHeight="1">
      <c r="A39" s="53" t="s">
        <v>933</v>
      </c>
    </row>
    <row r="40" ht="15.75">
      <c r="A40" s="51" t="s">
        <v>934</v>
      </c>
    </row>
    <row r="41" ht="15.75">
      <c r="A41" s="51" t="s">
        <v>935</v>
      </c>
    </row>
    <row r="42" ht="15.75">
      <c r="A42" s="51" t="s">
        <v>936</v>
      </c>
    </row>
    <row r="43" ht="15.75">
      <c r="A43" s="51" t="s">
        <v>937</v>
      </c>
    </row>
    <row r="44" ht="15.75">
      <c r="A44" s="51" t="s">
        <v>938</v>
      </c>
    </row>
    <row r="45" ht="15.75">
      <c r="A45" s="51" t="s">
        <v>939</v>
      </c>
    </row>
    <row r="46" ht="15.75">
      <c r="A46" s="51" t="s">
        <v>940</v>
      </c>
    </row>
    <row r="47" ht="15.75">
      <c r="A47" s="51" t="s">
        <v>941</v>
      </c>
    </row>
    <row r="48" ht="15.75">
      <c r="A48" s="51" t="s">
        <v>942</v>
      </c>
    </row>
    <row r="49" ht="15.75">
      <c r="A49" s="51" t="s">
        <v>947</v>
      </c>
    </row>
    <row r="50" ht="15.75">
      <c r="A50" s="51" t="s">
        <v>951</v>
      </c>
    </row>
    <row r="51" ht="15.75">
      <c r="A51" s="51" t="s">
        <v>953</v>
      </c>
    </row>
    <row r="52" ht="15.75">
      <c r="A52" s="51" t="s">
        <v>952</v>
      </c>
    </row>
    <row r="53" ht="15.75">
      <c r="A53" s="51" t="s">
        <v>954</v>
      </c>
    </row>
    <row r="54" ht="15.75">
      <c r="A54" s="51" t="s">
        <v>960</v>
      </c>
    </row>
    <row r="55" ht="15.75">
      <c r="A55" s="51" t="s">
        <v>961</v>
      </c>
    </row>
    <row r="57" ht="15.75">
      <c r="A57" s="619" t="s">
        <v>802</v>
      </c>
    </row>
    <row r="58" ht="15.75">
      <c r="A58" s="51" t="s">
        <v>803</v>
      </c>
    </row>
    <row r="60" ht="15.75">
      <c r="A60" s="619" t="s">
        <v>799</v>
      </c>
    </row>
    <row r="61" ht="15.75">
      <c r="A61" s="51" t="s">
        <v>800</v>
      </c>
    </row>
    <row r="62" ht="15.75">
      <c r="A62" s="51" t="s">
        <v>801</v>
      </c>
    </row>
    <row r="64" ht="15.75">
      <c r="A64" s="619" t="s">
        <v>797</v>
      </c>
    </row>
    <row r="65" ht="15.75">
      <c r="A65" s="51" t="s">
        <v>798</v>
      </c>
    </row>
    <row r="67" ht="15.75">
      <c r="A67" s="619" t="s">
        <v>795</v>
      </c>
    </row>
    <row r="68" ht="15.75">
      <c r="A68" s="51" t="s">
        <v>796</v>
      </c>
    </row>
    <row r="70" ht="15.75">
      <c r="A70" s="619" t="s">
        <v>792</v>
      </c>
    </row>
    <row r="71" ht="15.75">
      <c r="A71" s="489" t="s">
        <v>793</v>
      </c>
    </row>
    <row r="72" ht="15.75">
      <c r="A72" s="489" t="s">
        <v>794</v>
      </c>
    </row>
    <row r="74" ht="15.75">
      <c r="A74" s="395" t="s">
        <v>788</v>
      </c>
    </row>
    <row r="75" ht="15.75">
      <c r="A75" s="51" t="s">
        <v>789</v>
      </c>
    </row>
    <row r="76" ht="15.75">
      <c r="A76" s="51" t="s">
        <v>790</v>
      </c>
    </row>
    <row r="77" ht="15.75">
      <c r="A77" s="51" t="s">
        <v>791</v>
      </c>
    </row>
    <row r="79" ht="15.75">
      <c r="A79" s="395" t="s">
        <v>655</v>
      </c>
    </row>
    <row r="80" ht="15.75">
      <c r="A80" s="489" t="s">
        <v>659</v>
      </c>
    </row>
    <row r="81" ht="15.75">
      <c r="A81" s="489" t="s">
        <v>660</v>
      </c>
    </row>
    <row r="82" ht="31.5">
      <c r="A82" s="488" t="s">
        <v>785</v>
      </c>
    </row>
    <row r="83" ht="15.75">
      <c r="A83" s="489" t="s">
        <v>751</v>
      </c>
    </row>
    <row r="84" ht="15.75">
      <c r="A84" s="489" t="s">
        <v>752</v>
      </c>
    </row>
    <row r="85" ht="15.75">
      <c r="A85" s="489" t="s">
        <v>753</v>
      </c>
    </row>
    <row r="86" ht="15.75">
      <c r="A86" s="489" t="s">
        <v>754</v>
      </c>
    </row>
    <row r="87" ht="15.75">
      <c r="A87" s="489" t="s">
        <v>755</v>
      </c>
    </row>
    <row r="88" ht="15.75">
      <c r="A88" s="489" t="s">
        <v>756</v>
      </c>
    </row>
    <row r="89" ht="15.75">
      <c r="A89" s="489" t="s">
        <v>757</v>
      </c>
    </row>
    <row r="90" ht="15.75">
      <c r="A90" s="489" t="s">
        <v>758</v>
      </c>
    </row>
    <row r="91" ht="15.75">
      <c r="A91" s="489" t="s">
        <v>759</v>
      </c>
    </row>
    <row r="92" ht="15.75">
      <c r="A92" s="489" t="s">
        <v>760</v>
      </c>
    </row>
    <row r="93" ht="15.75">
      <c r="A93" s="489" t="s">
        <v>761</v>
      </c>
    </row>
    <row r="94" ht="15.75">
      <c r="A94" s="489" t="s">
        <v>762</v>
      </c>
    </row>
    <row r="95" ht="15.75">
      <c r="A95" s="489" t="s">
        <v>763</v>
      </c>
    </row>
    <row r="96" ht="15.75">
      <c r="A96" s="489" t="s">
        <v>764</v>
      </c>
    </row>
    <row r="97" ht="15.75">
      <c r="A97" s="489" t="s">
        <v>765</v>
      </c>
    </row>
    <row r="98" ht="15.75">
      <c r="A98" s="489" t="s">
        <v>766</v>
      </c>
    </row>
    <row r="99" ht="15.75">
      <c r="A99" s="489" t="s">
        <v>767</v>
      </c>
    </row>
    <row r="100" ht="15.75">
      <c r="A100" s="489" t="s">
        <v>768</v>
      </c>
    </row>
    <row r="101" ht="15.75">
      <c r="A101" s="489" t="s">
        <v>769</v>
      </c>
    </row>
    <row r="102" ht="15.75">
      <c r="A102" s="489" t="s">
        <v>770</v>
      </c>
    </row>
    <row r="103" ht="15.75">
      <c r="A103" s="489" t="s">
        <v>771</v>
      </c>
    </row>
    <row r="104" ht="15.75">
      <c r="A104" s="489" t="s">
        <v>772</v>
      </c>
    </row>
    <row r="105" ht="15.75">
      <c r="A105" s="489" t="s">
        <v>773</v>
      </c>
    </row>
    <row r="106" ht="15.75">
      <c r="A106" s="489" t="s">
        <v>774</v>
      </c>
    </row>
    <row r="107" ht="15.75">
      <c r="A107" s="489" t="s">
        <v>775</v>
      </c>
    </row>
    <row r="109" ht="15.75">
      <c r="A109" s="395" t="s">
        <v>637</v>
      </c>
    </row>
    <row r="110" ht="15.75">
      <c r="A110" s="51" t="s">
        <v>638</v>
      </c>
    </row>
    <row r="111" ht="15.75">
      <c r="A111" s="51" t="s">
        <v>639</v>
      </c>
    </row>
    <row r="112" ht="15.75">
      <c r="A112" s="51" t="s">
        <v>640</v>
      </c>
    </row>
    <row r="114" ht="15.75">
      <c r="A114" s="395" t="s">
        <v>626</v>
      </c>
    </row>
    <row r="115" ht="15.75">
      <c r="A115" s="51" t="s">
        <v>627</v>
      </c>
    </row>
    <row r="116" ht="15.75">
      <c r="A116" s="51" t="s">
        <v>628</v>
      </c>
    </row>
    <row r="118" ht="15.75">
      <c r="A118" s="395" t="s">
        <v>619</v>
      </c>
    </row>
    <row r="119" ht="15.75">
      <c r="A119" s="394" t="s">
        <v>620</v>
      </c>
    </row>
    <row r="120" ht="15.75">
      <c r="A120" s="394" t="s">
        <v>621</v>
      </c>
    </row>
    <row r="121" ht="15.75">
      <c r="A121" s="394" t="s">
        <v>622</v>
      </c>
    </row>
    <row r="122" ht="15.75">
      <c r="A122" s="51" t="s">
        <v>624</v>
      </c>
    </row>
    <row r="124" ht="15.75">
      <c r="A124" s="328" t="s">
        <v>344</v>
      </c>
    </row>
    <row r="125" ht="15.75">
      <c r="A125" s="358" t="s">
        <v>367</v>
      </c>
    </row>
    <row r="126" ht="21.75" customHeight="1">
      <c r="A126" s="51" t="s">
        <v>368</v>
      </c>
    </row>
    <row r="127" ht="15.75">
      <c r="A127" s="51" t="s">
        <v>369</v>
      </c>
    </row>
    <row r="128" ht="31.5">
      <c r="A128" s="53" t="s">
        <v>370</v>
      </c>
    </row>
    <row r="129" ht="15.75">
      <c r="A129" s="51" t="s">
        <v>371</v>
      </c>
    </row>
    <row r="130" ht="15.75">
      <c r="A130" s="51" t="s">
        <v>372</v>
      </c>
    </row>
    <row r="131" ht="15.75">
      <c r="A131" s="51" t="s">
        <v>373</v>
      </c>
    </row>
    <row r="132" ht="15.75">
      <c r="A132" s="51" t="s">
        <v>374</v>
      </c>
    </row>
    <row r="133" ht="15.75">
      <c r="A133" s="51" t="s">
        <v>392</v>
      </c>
    </row>
    <row r="135" ht="15.75">
      <c r="A135" s="328" t="s">
        <v>332</v>
      </c>
    </row>
    <row r="136" ht="15.75">
      <c r="A136" s="51" t="s">
        <v>333</v>
      </c>
    </row>
    <row r="137" ht="15.75">
      <c r="A137" s="51" t="s">
        <v>334</v>
      </c>
    </row>
    <row r="138" ht="15.75">
      <c r="A138" s="51" t="s">
        <v>335</v>
      </c>
    </row>
    <row r="139" ht="15.75">
      <c r="A139" s="51" t="s">
        <v>336</v>
      </c>
    </row>
    <row r="141" ht="15.75">
      <c r="A141" s="328" t="s">
        <v>330</v>
      </c>
    </row>
    <row r="142" ht="15.75">
      <c r="A142" s="51" t="s">
        <v>331</v>
      </c>
    </row>
    <row r="144" ht="15.75">
      <c r="A144" s="328" t="s">
        <v>328</v>
      </c>
    </row>
    <row r="145" ht="15.75">
      <c r="A145" s="51" t="s">
        <v>329</v>
      </c>
    </row>
    <row r="147" ht="15.75">
      <c r="A147" s="328" t="s">
        <v>324</v>
      </c>
    </row>
    <row r="148" ht="15.75">
      <c r="A148" s="51" t="s">
        <v>325</v>
      </c>
    </row>
    <row r="149" ht="15.75">
      <c r="A149" s="51" t="s">
        <v>326</v>
      </c>
    </row>
    <row r="150" ht="15.75">
      <c r="A150" s="51" t="s">
        <v>327</v>
      </c>
    </row>
    <row r="152" ht="15.75">
      <c r="A152" s="328" t="s">
        <v>105</v>
      </c>
    </row>
    <row r="153" ht="15.75">
      <c r="A153" s="51" t="s">
        <v>108</v>
      </c>
    </row>
    <row r="154" ht="32.25" customHeight="1">
      <c r="A154" s="51" t="s">
        <v>106</v>
      </c>
    </row>
    <row r="155" ht="36" customHeight="1">
      <c r="A155" s="51" t="s">
        <v>109</v>
      </c>
    </row>
    <row r="156" ht="35.25" customHeight="1">
      <c r="A156" s="51" t="s">
        <v>107</v>
      </c>
    </row>
    <row r="157" ht="18" customHeight="1">
      <c r="A157" s="51" t="s">
        <v>113</v>
      </c>
    </row>
    <row r="158" ht="36" customHeight="1">
      <c r="A158" s="51" t="s">
        <v>114</v>
      </c>
    </row>
    <row r="159" ht="31.5">
      <c r="A159" s="53" t="s">
        <v>661</v>
      </c>
    </row>
    <row r="160" ht="33.75" customHeight="1">
      <c r="A160" s="53" t="s">
        <v>110</v>
      </c>
    </row>
    <row r="161" ht="18.75" customHeight="1">
      <c r="A161" s="53" t="s">
        <v>111</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28" t="s">
        <v>94</v>
      </c>
    </row>
    <row r="174" ht="15.75">
      <c r="A174" s="51" t="s">
        <v>103</v>
      </c>
    </row>
    <row r="175" ht="15.75">
      <c r="A175" s="51" t="s">
        <v>95</v>
      </c>
    </row>
    <row r="176" ht="15.75">
      <c r="A176" s="51" t="s">
        <v>96</v>
      </c>
    </row>
    <row r="177" ht="15.75">
      <c r="A177" s="51" t="s">
        <v>662</v>
      </c>
    </row>
    <row r="178" ht="18" customHeight="1">
      <c r="A178" s="328" t="s">
        <v>91</v>
      </c>
    </row>
    <row r="179" ht="51" customHeight="1">
      <c r="A179" s="53" t="s">
        <v>92</v>
      </c>
    </row>
    <row r="180" ht="15.75">
      <c r="A180" s="51" t="s">
        <v>93</v>
      </c>
    </row>
    <row r="183" ht="15.75">
      <c r="A183" s="328" t="s">
        <v>320</v>
      </c>
    </row>
    <row r="184" ht="47.25">
      <c r="A184" s="53" t="s">
        <v>663</v>
      </c>
    </row>
    <row r="185" ht="15.75">
      <c r="A185" s="51" t="s">
        <v>115</v>
      </c>
    </row>
    <row r="186" ht="15.75">
      <c r="A186" s="51" t="s">
        <v>321</v>
      </c>
    </row>
    <row r="187" ht="15.75">
      <c r="A187" s="51" t="s">
        <v>41</v>
      </c>
    </row>
    <row r="188" ht="15.75">
      <c r="A188" s="51" t="s">
        <v>322</v>
      </c>
    </row>
    <row r="189" ht="15.75">
      <c r="A189" s="51" t="s">
        <v>323</v>
      </c>
    </row>
    <row r="190" ht="15.75">
      <c r="A190" s="51" t="s">
        <v>0</v>
      </c>
    </row>
    <row r="191" ht="15.75">
      <c r="A191" s="51" t="s">
        <v>1</v>
      </c>
    </row>
    <row r="192" ht="15.75">
      <c r="A192" s="51" t="s">
        <v>2</v>
      </c>
    </row>
    <row r="193" ht="31.5">
      <c r="A193" s="53" t="s">
        <v>10</v>
      </c>
    </row>
    <row r="194" ht="31.5">
      <c r="A194" s="53" t="s">
        <v>123</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7">
      <selection activeCell="G12" sqref="G12"/>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Blue Rapids</v>
      </c>
      <c r="C1" s="201"/>
      <c r="D1" s="64"/>
      <c r="E1" s="161">
        <f>inputPrYr!$C$5</f>
        <v>2014</v>
      </c>
    </row>
    <row r="2" spans="2:5" ht="15.75">
      <c r="B2" s="64"/>
      <c r="C2" s="64"/>
      <c r="D2" s="64"/>
      <c r="E2" s="218"/>
    </row>
    <row r="3" spans="2:5" ht="15.75">
      <c r="B3" s="81" t="s">
        <v>221</v>
      </c>
      <c r="C3" s="81"/>
      <c r="D3" s="276"/>
      <c r="E3" s="163"/>
    </row>
    <row r="4" spans="2:5" ht="15.75">
      <c r="B4" s="69" t="s">
        <v>164</v>
      </c>
      <c r="C4" s="713" t="s">
        <v>828</v>
      </c>
      <c r="D4" s="714" t="s">
        <v>829</v>
      </c>
      <c r="E4" s="174" t="s">
        <v>830</v>
      </c>
    </row>
    <row r="5" spans="2:5" ht="15.75">
      <c r="B5" s="449">
        <f>(inputPrYr!B4)</f>
        <v>0</v>
      </c>
      <c r="C5" s="331" t="str">
        <f>CONCATENATE("Actual for ",$E$1-2,"")</f>
        <v>Actual for 2012</v>
      </c>
      <c r="D5" s="412" t="str">
        <f>CONCATENATE("Estimate for ",$E$1-1,"")</f>
        <v>Estimate for 2013</v>
      </c>
      <c r="E5" s="229" t="str">
        <f>CONCATENATE("Year for ",$E$1,"")</f>
        <v>Year for 2014</v>
      </c>
    </row>
    <row r="6" spans="2:5" ht="15.75">
      <c r="B6" s="178" t="s">
        <v>278</v>
      </c>
      <c r="C6" s="444"/>
      <c r="D6" s="443">
        <f>C34</f>
        <v>0</v>
      </c>
      <c r="E6" s="189">
        <f>D34</f>
        <v>16969</v>
      </c>
    </row>
    <row r="7" spans="2:5" ht="15.75">
      <c r="B7" s="178" t="s">
        <v>280</v>
      </c>
      <c r="C7" s="190"/>
      <c r="D7" s="443"/>
      <c r="E7" s="189"/>
    </row>
    <row r="8" spans="2:5" ht="15.75">
      <c r="B8" s="178" t="s">
        <v>165</v>
      </c>
      <c r="C8" s="440"/>
      <c r="D8" s="443">
        <f>IF(inputPrYr!H16&gt;0,inputPrYr!G21,inputPrYr!E21)</f>
        <v>16969</v>
      </c>
      <c r="E8" s="343" t="s">
        <v>152</v>
      </c>
    </row>
    <row r="9" spans="2:5" ht="15.75">
      <c r="B9" s="178" t="s">
        <v>166</v>
      </c>
      <c r="C9" s="440"/>
      <c r="D9" s="445"/>
      <c r="E9" s="87"/>
    </row>
    <row r="10" spans="2:5" ht="15.75">
      <c r="B10" s="178" t="s">
        <v>167</v>
      </c>
      <c r="C10" s="440"/>
      <c r="D10" s="445"/>
      <c r="E10" s="189">
        <f>Mvalloc!D12</f>
        <v>0</v>
      </c>
    </row>
    <row r="11" spans="2:5" ht="15.75">
      <c r="B11" s="178" t="s">
        <v>168</v>
      </c>
      <c r="C11" s="440"/>
      <c r="D11" s="445"/>
      <c r="E11" s="189">
        <f>Mvalloc!E12</f>
        <v>0</v>
      </c>
    </row>
    <row r="12" spans="2:5" ht="15.75">
      <c r="B12" s="191" t="s">
        <v>217</v>
      </c>
      <c r="C12" s="440"/>
      <c r="D12" s="445"/>
      <c r="E12" s="189">
        <f>Mvalloc!F12</f>
        <v>0</v>
      </c>
    </row>
    <row r="13" spans="2:5" ht="15.75">
      <c r="B13" s="345"/>
      <c r="C13" s="440"/>
      <c r="D13" s="445"/>
      <c r="E13" s="349"/>
    </row>
    <row r="14" spans="2:5" ht="15.75">
      <c r="B14" s="345"/>
      <c r="C14" s="440"/>
      <c r="D14" s="445"/>
      <c r="E14" s="87"/>
    </row>
    <row r="15" spans="2:5" ht="15.75">
      <c r="B15" s="345"/>
      <c r="C15" s="440"/>
      <c r="D15" s="445"/>
      <c r="E15" s="87"/>
    </row>
    <row r="16" spans="2:5" ht="15.75">
      <c r="B16" s="345"/>
      <c r="C16" s="440"/>
      <c r="D16" s="445"/>
      <c r="E16" s="87"/>
    </row>
    <row r="17" spans="2:5" ht="15.75">
      <c r="B17" s="335" t="s">
        <v>170</v>
      </c>
      <c r="C17" s="440"/>
      <c r="D17" s="445"/>
      <c r="E17" s="87"/>
    </row>
    <row r="18" spans="2:5" ht="15.75">
      <c r="B18" s="178" t="s">
        <v>256</v>
      </c>
      <c r="C18" s="440"/>
      <c r="D18" s="445"/>
      <c r="E18" s="87"/>
    </row>
    <row r="19" spans="2:5" ht="15.75">
      <c r="B19" s="178" t="s">
        <v>646</v>
      </c>
      <c r="C19" s="441">
        <f>IF(C20*0.1&lt;C18,"Exceed 10% Rule","")</f>
      </c>
      <c r="D19" s="451">
        <f>IF(D20*0.1&lt;D18,"Exceed 10% Rule","")</f>
      </c>
      <c r="E19" s="336">
        <f>IF(E20*0.1+E40&lt;E18,"Exceed 10% Rule","")</f>
      </c>
    </row>
    <row r="20" spans="2:5" ht="15.75">
      <c r="B20" s="287" t="s">
        <v>171</v>
      </c>
      <c r="C20" s="446">
        <f>SUM(C8:C18)</f>
        <v>0</v>
      </c>
      <c r="D20" s="446">
        <f>SUM(D8:D18)</f>
        <v>16969</v>
      </c>
      <c r="E20" s="346">
        <f>SUM(E8:E18)</f>
        <v>0</v>
      </c>
    </row>
    <row r="21" spans="2:5" ht="15.75">
      <c r="B21" s="287" t="s">
        <v>172</v>
      </c>
      <c r="C21" s="446">
        <f>C6+C20</f>
        <v>0</v>
      </c>
      <c r="D21" s="446">
        <f>D6+D20</f>
        <v>16969</v>
      </c>
      <c r="E21" s="346">
        <f>E6+E20</f>
        <v>16969</v>
      </c>
    </row>
    <row r="22" spans="2:5" ht="15.75">
      <c r="B22" s="178" t="s">
        <v>173</v>
      </c>
      <c r="C22" s="178"/>
      <c r="D22" s="443"/>
      <c r="E22" s="189"/>
    </row>
    <row r="23" spans="2:5" ht="15.75">
      <c r="B23" s="345"/>
      <c r="C23" s="440"/>
      <c r="D23" s="445"/>
      <c r="E23" s="87"/>
    </row>
    <row r="24" spans="2:10" ht="15.75">
      <c r="B24" s="345"/>
      <c r="C24" s="440"/>
      <c r="D24" s="445"/>
      <c r="E24" s="87"/>
      <c r="G24" s="856" t="str">
        <f>CONCATENATE("Desired Carryover Into ",E1+1,"")</f>
        <v>Desired Carryover Into 2015</v>
      </c>
      <c r="H24" s="857"/>
      <c r="I24" s="857"/>
      <c r="J24" s="858"/>
    </row>
    <row r="25" spans="2:10" ht="15.75">
      <c r="B25" s="345"/>
      <c r="C25" s="440"/>
      <c r="D25" s="445"/>
      <c r="E25" s="87"/>
      <c r="G25" s="563"/>
      <c r="H25" s="461"/>
      <c r="I25" s="477"/>
      <c r="J25" s="564"/>
    </row>
    <row r="26" spans="2:10" ht="15.75">
      <c r="B26" s="345"/>
      <c r="C26" s="440"/>
      <c r="D26" s="445"/>
      <c r="E26" s="87"/>
      <c r="G26" s="483" t="s">
        <v>654</v>
      </c>
      <c r="H26" s="477"/>
      <c r="I26" s="477"/>
      <c r="J26" s="471">
        <v>0</v>
      </c>
    </row>
    <row r="27" spans="2:10" ht="15.75">
      <c r="B27" s="345"/>
      <c r="C27" s="440"/>
      <c r="D27" s="445"/>
      <c r="E27" s="87"/>
      <c r="G27" s="563" t="s">
        <v>653</v>
      </c>
      <c r="H27" s="461"/>
      <c r="I27" s="461"/>
      <c r="J27" s="694">
        <f>IF(J26=0,"",ROUND((J26+E40-G39)/inputOth!E7*1000,3)-G44)</f>
      </c>
    </row>
    <row r="28" spans="2:10" ht="15.75">
      <c r="B28" s="345"/>
      <c r="C28" s="440"/>
      <c r="D28" s="445"/>
      <c r="E28" s="87"/>
      <c r="G28" s="660" t="str">
        <f>CONCATENATE("",E1," Tot Exp/Non-Appr Must Be:")</f>
        <v>2014 Tot Exp/Non-Appr Must Be:</v>
      </c>
      <c r="H28" s="657"/>
      <c r="I28" s="658"/>
      <c r="J28" s="654">
        <f>IF(J26&gt;0,IF(E37&lt;E21,IF(J26=G39,E38,((J26-G39)*(1-D39))+E21),E38+(J26-G39)),0)</f>
        <v>0</v>
      </c>
    </row>
    <row r="29" spans="2:10" ht="15.75">
      <c r="B29" s="345"/>
      <c r="C29" s="440"/>
      <c r="D29" s="445"/>
      <c r="E29" s="87"/>
      <c r="G29" s="692" t="s">
        <v>832</v>
      </c>
      <c r="H29" s="697"/>
      <c r="I29" s="697"/>
      <c r="J29" s="661">
        <f>IF(J26&gt;0,J28-E38,0)</f>
        <v>0</v>
      </c>
    </row>
    <row r="30" spans="2:10" ht="15.75">
      <c r="B30" s="341" t="s">
        <v>53</v>
      </c>
      <c r="C30" s="440"/>
      <c r="D30" s="445"/>
      <c r="E30" s="189">
        <f>Nhood!E10</f>
      </c>
      <c r="J30" s="2"/>
    </row>
    <row r="31" spans="2:10" ht="15.75">
      <c r="B31" s="341" t="s">
        <v>256</v>
      </c>
      <c r="C31" s="440"/>
      <c r="D31" s="445"/>
      <c r="E31" s="87"/>
      <c r="G31" s="856" t="str">
        <f>CONCATENATE("Projected Carryover Into ",E1+1,"")</f>
        <v>Projected Carryover Into 2015</v>
      </c>
      <c r="H31" s="874"/>
      <c r="I31" s="874"/>
      <c r="J31" s="873"/>
    </row>
    <row r="32" spans="2:10" ht="15.75">
      <c r="B32" s="341" t="s">
        <v>651</v>
      </c>
      <c r="C32" s="411">
        <f>IF(C33*0.1&lt;C31,"Exceed 10% Rule","")</f>
      </c>
      <c r="D32" s="423">
        <f>IF(D33*0.1&lt;D31,"Exceed 10% Rule","")</f>
      </c>
      <c r="E32" s="286">
        <f>IF(E33*0.1&lt;E31,"Exceed 10% Rule","")</f>
      </c>
      <c r="G32" s="563"/>
      <c r="H32" s="477"/>
      <c r="I32" s="477"/>
      <c r="J32" s="709"/>
    </row>
    <row r="33" spans="2:10" ht="15.75">
      <c r="B33" s="287" t="s">
        <v>174</v>
      </c>
      <c r="C33" s="442">
        <f>SUM(C23:C31)</f>
        <v>0</v>
      </c>
      <c r="D33" s="442">
        <f>SUM(D23:D31)</f>
        <v>0</v>
      </c>
      <c r="E33" s="338">
        <f>SUM(E23:E31)</f>
        <v>0</v>
      </c>
      <c r="G33" s="474">
        <f>D34</f>
        <v>16969</v>
      </c>
      <c r="H33" s="475" t="str">
        <f>CONCATENATE("",E1-1," Ending Cash Balance (est.)")</f>
        <v>2013 Ending Cash Balance (est.)</v>
      </c>
      <c r="I33" s="476"/>
      <c r="J33" s="709"/>
    </row>
    <row r="34" spans="2:10" ht="15.75">
      <c r="B34" s="178" t="s">
        <v>279</v>
      </c>
      <c r="C34" s="447">
        <f>C21-C33</f>
        <v>0</v>
      </c>
      <c r="D34" s="447">
        <f>D21-D33</f>
        <v>16969</v>
      </c>
      <c r="E34" s="343" t="s">
        <v>152</v>
      </c>
      <c r="G34" s="474">
        <f>E20</f>
        <v>0</v>
      </c>
      <c r="H34" s="477" t="str">
        <f>CONCATENATE("",E1," Non-AV Receipts (est.)")</f>
        <v>2014 Non-AV Receipts (est.)</v>
      </c>
      <c r="I34" s="476"/>
      <c r="J34" s="709"/>
    </row>
    <row r="35" spans="2:11" ht="15.75">
      <c r="B35" s="210" t="str">
        <f>CONCATENATE("",E1-2,"/",E1-1," Budget Authority Amount:")</f>
        <v>2012/2013 Budget Authority Amount:</v>
      </c>
      <c r="C35" s="459">
        <f>inputOth!B58</f>
        <v>28940</v>
      </c>
      <c r="D35" s="221">
        <f>inputPrYr!D21</f>
        <v>19094</v>
      </c>
      <c r="E35" s="343" t="s">
        <v>152</v>
      </c>
      <c r="F35" s="292"/>
      <c r="G35" s="478">
        <f>IF(E39&gt;0,E38,E40)</f>
        <v>0</v>
      </c>
      <c r="H35" s="477" t="str">
        <f>CONCATENATE("",E1," Ad Valorem Tax (est.)")</f>
        <v>2014 Ad Valorem Tax (est.)</v>
      </c>
      <c r="I35" s="476"/>
      <c r="J35" s="736"/>
      <c r="K35" s="699">
        <f>IF(G35=E40,"","Note: Does not include Delinquent Taxes")</f>
      </c>
    </row>
    <row r="36" spans="2:10" ht="15.75">
      <c r="B36" s="210"/>
      <c r="C36" s="865" t="s">
        <v>647</v>
      </c>
      <c r="D36" s="866"/>
      <c r="E36" s="87"/>
      <c r="F36" s="292">
        <f>IF(E33/0.95-E33&lt;E36,"Exceeds 5%","")</f>
      </c>
      <c r="G36" s="474">
        <f>SUM(G33:G35)</f>
        <v>16969</v>
      </c>
      <c r="H36" s="477" t="str">
        <f>CONCATENATE("Total ",E1," Resources Available")</f>
        <v>Total 2014 Resources Available</v>
      </c>
      <c r="I36" s="476"/>
      <c r="J36" s="709"/>
    </row>
    <row r="37" spans="2:10" ht="15.75">
      <c r="B37" s="452" t="str">
        <f>CONCATENATE(C94,"     ",D94)</f>
        <v>     </v>
      </c>
      <c r="C37" s="867" t="s">
        <v>648</v>
      </c>
      <c r="D37" s="868"/>
      <c r="E37" s="189">
        <f>E33+E36</f>
        <v>0</v>
      </c>
      <c r="G37" s="479"/>
      <c r="H37" s="477"/>
      <c r="I37" s="477"/>
      <c r="J37" s="709"/>
    </row>
    <row r="38" spans="2:10" ht="15.75">
      <c r="B38" s="452" t="str">
        <f>CONCATENATE(C95,"     ",D95)</f>
        <v>     </v>
      </c>
      <c r="C38" s="293"/>
      <c r="D38" s="218" t="s">
        <v>175</v>
      </c>
      <c r="E38" s="94">
        <f>IF(E37-E21&gt;0,E37-E21,0)</f>
        <v>0</v>
      </c>
      <c r="G38" s="478">
        <f>ROUND(C33*0.05+C33,0)</f>
        <v>0</v>
      </c>
      <c r="H38" s="477" t="str">
        <f>CONCATENATE("Less ",E1-2," Expenditures + 5%")</f>
        <v>Less 2012 Expenditures + 5%</v>
      </c>
      <c r="I38" s="476"/>
      <c r="J38" s="709"/>
    </row>
    <row r="39" spans="2:10" ht="15.75">
      <c r="B39" s="218"/>
      <c r="C39" s="439" t="s">
        <v>649</v>
      </c>
      <c r="D39" s="703">
        <f>inputOth!E41</f>
        <v>0</v>
      </c>
      <c r="E39" s="189">
        <f>ROUND(IF(D39&gt;0,(E38*D39),0),0)</f>
        <v>0</v>
      </c>
      <c r="G39" s="695">
        <f>G36-G38</f>
        <v>16969</v>
      </c>
      <c r="H39" s="696" t="str">
        <f>CONCATENATE("Projected ",E1+1," carryover (est.)")</f>
        <v>Projected 2015 carryover (est.)</v>
      </c>
      <c r="I39" s="481"/>
      <c r="J39" s="735"/>
    </row>
    <row r="40" spans="2:10" ht="16.5" thickBot="1">
      <c r="B40" s="64"/>
      <c r="C40" s="859" t="str">
        <f>CONCATENATE("Amount of  ",E1-1," Ad Valorem Tax")</f>
        <v>Amount of  2013 Ad Valorem Tax</v>
      </c>
      <c r="D40" s="860"/>
      <c r="E40" s="710">
        <f>E38+E39</f>
        <v>0</v>
      </c>
      <c r="G40" s="2"/>
      <c r="H40" s="2"/>
      <c r="I40" s="2"/>
      <c r="J40" s="2"/>
    </row>
    <row r="41" spans="2:10" ht="16.5" thickTop="1">
      <c r="B41" s="64"/>
      <c r="C41" s="859"/>
      <c r="D41" s="860"/>
      <c r="E41" s="64"/>
      <c r="G41" s="869" t="s">
        <v>949</v>
      </c>
      <c r="H41" s="870"/>
      <c r="I41" s="870"/>
      <c r="J41" s="871"/>
    </row>
    <row r="42" spans="2:10" ht="15.75">
      <c r="B42" s="64"/>
      <c r="C42" s="629"/>
      <c r="D42" s="64"/>
      <c r="E42" s="64"/>
      <c r="G42" s="705"/>
      <c r="H42" s="475"/>
      <c r="I42" s="655"/>
      <c r="J42" s="656"/>
    </row>
    <row r="43" spans="2:10" ht="15.75">
      <c r="B43" s="69" t="s">
        <v>164</v>
      </c>
      <c r="C43" s="69"/>
      <c r="D43" s="276"/>
      <c r="E43" s="276"/>
      <c r="G43" s="707" t="str">
        <f>summ!H19</f>
        <v>  </v>
      </c>
      <c r="H43" s="475" t="str">
        <f>CONCATENATE("",E1," Fund Mill Rate")</f>
        <v>2014 Fund Mill Rate</v>
      </c>
      <c r="I43" s="655"/>
      <c r="J43" s="656"/>
    </row>
    <row r="44" spans="2:10" ht="15.75">
      <c r="B44" s="64"/>
      <c r="C44" s="713" t="s">
        <v>828</v>
      </c>
      <c r="D44" s="714" t="s">
        <v>829</v>
      </c>
      <c r="E44" s="174" t="s">
        <v>830</v>
      </c>
      <c r="G44" s="706" t="str">
        <f>summ!E19</f>
        <v>  </v>
      </c>
      <c r="H44" s="475" t="str">
        <f>CONCATENATE("",E1-1," Fund Mill Rate")</f>
        <v>2013 Fund Mill Rate</v>
      </c>
      <c r="I44" s="655"/>
      <c r="J44" s="656"/>
    </row>
    <row r="45" spans="2:10" ht="15.75">
      <c r="B45" s="450">
        <f>(inputPrYr!B22)</f>
        <v>0</v>
      </c>
      <c r="C45" s="331" t="str">
        <f>CONCATENATE("Actual for ",$E$1-2,"")</f>
        <v>Actual for 2012</v>
      </c>
      <c r="D45" s="412" t="str">
        <f>CONCATENATE("Estimate for ",$E$1-1,"")</f>
        <v>Estimate for 2013</v>
      </c>
      <c r="E45" s="229" t="str">
        <f>CONCATENATE("Year for ",$E$1,"")</f>
        <v>Year for 2014</v>
      </c>
      <c r="G45" s="708">
        <f>summ!H32</f>
        <v>87.277</v>
      </c>
      <c r="H45" s="475" t="str">
        <f>CONCATENATE("Total ",E1," Mill Rate")</f>
        <v>Total 2014 Mill Rate</v>
      </c>
      <c r="I45" s="655"/>
      <c r="J45" s="656"/>
    </row>
    <row r="46" spans="2:10" ht="15.75">
      <c r="B46" s="178" t="s">
        <v>278</v>
      </c>
      <c r="C46" s="440"/>
      <c r="D46" s="443">
        <f>C74</f>
        <v>0</v>
      </c>
      <c r="E46" s="189">
        <f>D74</f>
        <v>0</v>
      </c>
      <c r="G46" s="706">
        <f>summ!E32</f>
        <v>86.767</v>
      </c>
      <c r="H46" s="643" t="str">
        <f>CONCATENATE("Total ",E1-1," Mill Rate")</f>
        <v>Total 2013 Mill Rate</v>
      </c>
      <c r="I46" s="644"/>
      <c r="J46" s="645"/>
    </row>
    <row r="47" spans="2:5" ht="15.75">
      <c r="B47" s="278" t="s">
        <v>280</v>
      </c>
      <c r="C47" s="178"/>
      <c r="D47" s="443"/>
      <c r="E47" s="189"/>
    </row>
    <row r="48" spans="2:9" ht="15.75">
      <c r="B48" s="178" t="s">
        <v>165</v>
      </c>
      <c r="C48" s="440"/>
      <c r="D48" s="443">
        <f>IF(inputPrYr!H16&gt;0,inputPrYr!G22,inputPrYr!E22)</f>
        <v>0</v>
      </c>
      <c r="E48" s="343" t="s">
        <v>152</v>
      </c>
      <c r="G48" s="755" t="s">
        <v>978</v>
      </c>
      <c r="H48" s="754"/>
      <c r="I48" s="753" t="str">
        <f>cert!E38</f>
        <v>Yes</v>
      </c>
    </row>
    <row r="49" spans="2:5" ht="15.75">
      <c r="B49" s="178" t="s">
        <v>166</v>
      </c>
      <c r="C49" s="440"/>
      <c r="D49" s="445"/>
      <c r="E49" s="87"/>
    </row>
    <row r="50" spans="2:5" ht="15.75">
      <c r="B50" s="178" t="s">
        <v>167</v>
      </c>
      <c r="C50" s="440"/>
      <c r="D50" s="445"/>
      <c r="E50" s="189" t="str">
        <f>Mvalloc!D13</f>
        <v>  </v>
      </c>
    </row>
    <row r="51" spans="2:5" ht="15.75">
      <c r="B51" s="178" t="s">
        <v>168</v>
      </c>
      <c r="C51" s="440"/>
      <c r="D51" s="445"/>
      <c r="E51" s="189" t="str">
        <f>Mvalloc!E13</f>
        <v>  </v>
      </c>
    </row>
    <row r="52" spans="2:5" ht="15.75">
      <c r="B52" s="191" t="s">
        <v>217</v>
      </c>
      <c r="C52" s="440"/>
      <c r="D52" s="445"/>
      <c r="E52" s="189" t="str">
        <f>Mvalloc!F13</f>
        <v>  </v>
      </c>
    </row>
    <row r="53" spans="2:5" ht="15.75">
      <c r="B53" s="345"/>
      <c r="C53" s="440"/>
      <c r="D53" s="445"/>
      <c r="E53" s="349"/>
    </row>
    <row r="54" spans="2:5" ht="15.75">
      <c r="B54" s="345"/>
      <c r="C54" s="440"/>
      <c r="D54" s="445"/>
      <c r="E54" s="349"/>
    </row>
    <row r="55" spans="2:5" ht="15.75">
      <c r="B55" s="345"/>
      <c r="C55" s="440"/>
      <c r="D55" s="445"/>
      <c r="E55" s="87"/>
    </row>
    <row r="56" spans="2:5" ht="15.75">
      <c r="B56" s="345"/>
      <c r="C56" s="440"/>
      <c r="D56" s="445"/>
      <c r="E56" s="87"/>
    </row>
    <row r="57" spans="2:5" ht="15.75">
      <c r="B57" s="335" t="s">
        <v>170</v>
      </c>
      <c r="C57" s="440"/>
      <c r="D57" s="445"/>
      <c r="E57" s="87"/>
    </row>
    <row r="58" spans="2:5" ht="15.75">
      <c r="B58" s="178" t="s">
        <v>256</v>
      </c>
      <c r="C58" s="440"/>
      <c r="D58" s="445"/>
      <c r="E58" s="87"/>
    </row>
    <row r="59" spans="2:5" ht="15.75">
      <c r="B59" s="178" t="s">
        <v>646</v>
      </c>
      <c r="C59" s="441">
        <f>IF(C60*0.1&lt;C58,"Exceed 10% Rule","")</f>
      </c>
      <c r="D59" s="451">
        <f>IF(D60*0.1&lt;D58,"Exceed 10% Rule","")</f>
      </c>
      <c r="E59" s="336">
        <f>IF(E60*0.1+E79&lt;E58,"Exceed 10% Rule","")</f>
      </c>
    </row>
    <row r="60" spans="2:5" ht="15.75">
      <c r="B60" s="287" t="s">
        <v>171</v>
      </c>
      <c r="C60" s="442">
        <f>SUM(C48:C58)</f>
        <v>0</v>
      </c>
      <c r="D60" s="442">
        <f>SUM(D48:D58)</f>
        <v>0</v>
      </c>
      <c r="E60" s="338">
        <f>SUM(E48:E58)</f>
        <v>0</v>
      </c>
    </row>
    <row r="61" spans="2:5" ht="15.75">
      <c r="B61" s="287" t="s">
        <v>172</v>
      </c>
      <c r="C61" s="442">
        <f>C46+C60</f>
        <v>0</v>
      </c>
      <c r="D61" s="442">
        <f>D46+D60</f>
        <v>0</v>
      </c>
      <c r="E61" s="338">
        <f>E46+E60</f>
        <v>0</v>
      </c>
    </row>
    <row r="62" spans="2:5" ht="15.75">
      <c r="B62" s="178" t="s">
        <v>173</v>
      </c>
      <c r="C62" s="178"/>
      <c r="D62" s="443"/>
      <c r="E62" s="189"/>
    </row>
    <row r="63" spans="2:5" ht="15.75">
      <c r="B63" s="345"/>
      <c r="C63" s="440"/>
      <c r="D63" s="445"/>
      <c r="E63" s="87"/>
    </row>
    <row r="64" spans="2:10" ht="15.75">
      <c r="B64" s="345"/>
      <c r="C64" s="440"/>
      <c r="D64" s="445"/>
      <c r="E64" s="87"/>
      <c r="G64" s="856" t="str">
        <f>CONCATENATE("Desired Carryover Into ",E1+1,"")</f>
        <v>Desired Carryover Into 2015</v>
      </c>
      <c r="H64" s="857"/>
      <c r="I64" s="857"/>
      <c r="J64" s="858"/>
    </row>
    <row r="65" spans="2:10" ht="15.75">
      <c r="B65" s="345"/>
      <c r="C65" s="440"/>
      <c r="D65" s="445"/>
      <c r="E65" s="87"/>
      <c r="G65" s="563"/>
      <c r="H65" s="461"/>
      <c r="I65" s="477"/>
      <c r="J65" s="564"/>
    </row>
    <row r="66" spans="2:10" ht="15.75">
      <c r="B66" s="345"/>
      <c r="C66" s="440"/>
      <c r="D66" s="445"/>
      <c r="E66" s="87"/>
      <c r="G66" s="483" t="s">
        <v>654</v>
      </c>
      <c r="H66" s="477"/>
      <c r="I66" s="477"/>
      <c r="J66" s="471">
        <v>0</v>
      </c>
    </row>
    <row r="67" spans="2:10" ht="15.75">
      <c r="B67" s="345"/>
      <c r="C67" s="440"/>
      <c r="D67" s="445"/>
      <c r="E67" s="87"/>
      <c r="G67" s="563" t="s">
        <v>653</v>
      </c>
      <c r="H67" s="461"/>
      <c r="I67" s="461"/>
      <c r="J67" s="694">
        <f>IF(J66=0,"",ROUND((J66+E80-G79)/inputOth!E7*1000,3)-G84)</f>
      </c>
    </row>
    <row r="68" spans="2:10" ht="15.75">
      <c r="B68" s="345"/>
      <c r="C68" s="440"/>
      <c r="D68" s="445"/>
      <c r="E68" s="87"/>
      <c r="G68" s="660" t="str">
        <f>CONCATENATE("",E1," Tot Exp/Non-Appr Must Be:")</f>
        <v>2014 Tot Exp/Non-Appr Must Be:</v>
      </c>
      <c r="H68" s="657"/>
      <c r="I68" s="658"/>
      <c r="J68" s="654">
        <f>IF(J66&gt;0,IF(E77&lt;E61,IF(J66=G79,E77,((J66-G79)*(1-D79))+E61),E77+(J66-G79)),0)</f>
        <v>0</v>
      </c>
    </row>
    <row r="69" spans="2:10" ht="15.75">
      <c r="B69" s="345"/>
      <c r="C69" s="440"/>
      <c r="D69" s="445"/>
      <c r="E69" s="87"/>
      <c r="G69" s="692" t="s">
        <v>832</v>
      </c>
      <c r="H69" s="697"/>
      <c r="I69" s="697"/>
      <c r="J69" s="661">
        <f>IF(J66&gt;0,J68-E77,0)</f>
        <v>0</v>
      </c>
    </row>
    <row r="70" spans="2:10" ht="15.75">
      <c r="B70" s="191" t="s">
        <v>53</v>
      </c>
      <c r="C70" s="440"/>
      <c r="D70" s="445"/>
      <c r="E70" s="189">
        <f>Nhood!E11</f>
      </c>
      <c r="J70" s="2"/>
    </row>
    <row r="71" spans="2:10" ht="15.75">
      <c r="B71" s="191" t="s">
        <v>256</v>
      </c>
      <c r="C71" s="440"/>
      <c r="D71" s="445"/>
      <c r="E71" s="87"/>
      <c r="G71" s="856" t="str">
        <f>CONCATENATE("Projected Carryover Into ",E1+1,"")</f>
        <v>Projected Carryover Into 2015</v>
      </c>
      <c r="H71" s="872"/>
      <c r="I71" s="872"/>
      <c r="J71" s="873"/>
    </row>
    <row r="72" spans="2:10" ht="15.75">
      <c r="B72" s="191" t="s">
        <v>645</v>
      </c>
      <c r="C72" s="441">
        <f>IF(C73*0.1&lt;C71,"Exceed 10% Rule","")</f>
      </c>
      <c r="D72" s="451">
        <f>IF(D73*0.1&lt;D71,"Exceed 10% Rule","")</f>
      </c>
      <c r="E72" s="336">
        <f>IF(E73*0.1&lt;E71,"Exceed 10% Rule","")</f>
      </c>
      <c r="G72" s="472"/>
      <c r="H72" s="461"/>
      <c r="I72" s="461"/>
      <c r="J72" s="168"/>
    </row>
    <row r="73" spans="2:10" ht="15.75">
      <c r="B73" s="287" t="s">
        <v>174</v>
      </c>
      <c r="C73" s="442">
        <f>SUM(C63:C71)</f>
        <v>0</v>
      </c>
      <c r="D73" s="442">
        <f>SUM(D63:D71)</f>
        <v>0</v>
      </c>
      <c r="E73" s="338">
        <f>SUM(E63:E71)</f>
        <v>0</v>
      </c>
      <c r="G73" s="474">
        <f>D74</f>
        <v>0</v>
      </c>
      <c r="H73" s="475" t="str">
        <f>CONCATENATE("",E1-1," Ending Cash Balance (est.)")</f>
        <v>2013 Ending Cash Balance (est.)</v>
      </c>
      <c r="I73" s="476"/>
      <c r="J73" s="168"/>
    </row>
    <row r="74" spans="2:10" ht="15.75">
      <c r="B74" s="178" t="s">
        <v>279</v>
      </c>
      <c r="C74" s="447">
        <f>C61-C73</f>
        <v>0</v>
      </c>
      <c r="D74" s="447">
        <f>D61-D73</f>
        <v>0</v>
      </c>
      <c r="E74" s="343" t="s">
        <v>152</v>
      </c>
      <c r="G74" s="474">
        <f>E60</f>
        <v>0</v>
      </c>
      <c r="H74" s="477" t="str">
        <f>CONCATENATE("",E1," Non-AV Receipts (est.)")</f>
        <v>2014 Non-AV Receipts (est.)</v>
      </c>
      <c r="I74" s="476"/>
      <c r="J74" s="168"/>
    </row>
    <row r="75" spans="2:11" ht="15.75">
      <c r="B75" s="210" t="str">
        <f>CONCATENATE("",E1-2,"/",E1-1," Budget Authority Amount:")</f>
        <v>2012/2013 Budget Authority Amount:</v>
      </c>
      <c r="C75" s="221">
        <f>inputOth!B59</f>
        <v>555191</v>
      </c>
      <c r="D75" s="221">
        <f>inputPrYr!D22</f>
        <v>0</v>
      </c>
      <c r="E75" s="343" t="s">
        <v>152</v>
      </c>
      <c r="F75" s="292"/>
      <c r="G75" s="478">
        <f>IF(D79&gt;0,E78,E80)</f>
        <v>0</v>
      </c>
      <c r="H75" s="477" t="str">
        <f>CONCATENATE("",E1," Ad Valorem Tax (est.)")</f>
        <v>2014 Ad Valorem Tax (est.)</v>
      </c>
      <c r="I75" s="476"/>
      <c r="J75" s="168"/>
      <c r="K75" s="699">
        <f>IF(G75=E80,"","Note: Does not include Delinquent Taxes")</f>
      </c>
    </row>
    <row r="76" spans="2:10" ht="15.75">
      <c r="B76" s="210"/>
      <c r="C76" s="865" t="s">
        <v>647</v>
      </c>
      <c r="D76" s="866"/>
      <c r="E76" s="87"/>
      <c r="F76" s="292">
        <f>IF(E73/0.95-E73&lt;E76,"Exceeds 5%","")</f>
      </c>
      <c r="G76" s="565">
        <f>SUM(G73:G75)</f>
        <v>0</v>
      </c>
      <c r="H76" s="477" t="str">
        <f>CONCATENATE("Total ",E1," Resources Available")</f>
        <v>Total 2014 Resources Available</v>
      </c>
      <c r="I76" s="473"/>
      <c r="J76" s="168"/>
    </row>
    <row r="77" spans="2:10" ht="15.75">
      <c r="B77" s="452" t="str">
        <f>CONCATENATE(C96,"     ",D96)</f>
        <v>     </v>
      </c>
      <c r="C77" s="867" t="s">
        <v>648</v>
      </c>
      <c r="D77" s="868"/>
      <c r="E77" s="189">
        <f>E73+E76</f>
        <v>0</v>
      </c>
      <c r="G77" s="568"/>
      <c r="H77" s="566"/>
      <c r="I77" s="461"/>
      <c r="J77" s="168"/>
    </row>
    <row r="78" spans="2:10" ht="15.75">
      <c r="B78" s="452" t="str">
        <f>CONCATENATE(C97,"     ",D97)</f>
        <v>     </v>
      </c>
      <c r="C78" s="293"/>
      <c r="D78" s="218" t="s">
        <v>175</v>
      </c>
      <c r="E78" s="94">
        <f>IF(E77-E61&gt;0,E77-E61,0)</f>
        <v>0</v>
      </c>
      <c r="G78" s="567">
        <f>ROUND(C73*0.05+C73,0)</f>
        <v>0</v>
      </c>
      <c r="H78" s="566" t="str">
        <f>CONCATENATE("Less ",E1-2," Expenditures + 5%")</f>
        <v>Less 2012 Expenditures + 5%</v>
      </c>
      <c r="I78" s="473"/>
      <c r="J78" s="168"/>
    </row>
    <row r="79" spans="2:10" ht="15.75">
      <c r="B79" s="218"/>
      <c r="C79" s="439" t="s">
        <v>649</v>
      </c>
      <c r="D79" s="703">
        <f>inputOth!E41</f>
        <v>0</v>
      </c>
      <c r="E79" s="189">
        <f>ROUND(IF(D79&gt;0,(E78*D79),0),0)</f>
        <v>0</v>
      </c>
      <c r="G79" s="577">
        <f>G76-G78</f>
        <v>0</v>
      </c>
      <c r="H79" s="578" t="str">
        <f>CONCATENATE("Projected ",E1+1," carryover (est.)")</f>
        <v>Projected 2015 carryover (est.)</v>
      </c>
      <c r="I79" s="482"/>
      <c r="J79" s="735"/>
    </row>
    <row r="80" spans="2:9" ht="16.5" thickBot="1">
      <c r="B80" s="64"/>
      <c r="C80" s="859" t="str">
        <f>CONCATENATE("Amount of  ",E1-1," Ad Valorem Tax")</f>
        <v>Amount of  2013 Ad Valorem Tax</v>
      </c>
      <c r="D80" s="860"/>
      <c r="E80" s="710">
        <f>E78+E79</f>
        <v>0</v>
      </c>
      <c r="G80" s="2"/>
      <c r="H80" s="2"/>
      <c r="I80" s="2"/>
    </row>
    <row r="81" spans="2:10" ht="16.5" thickTop="1">
      <c r="B81" s="64"/>
      <c r="C81" s="859"/>
      <c r="D81" s="860"/>
      <c r="E81" s="64"/>
      <c r="G81" s="869" t="s">
        <v>949</v>
      </c>
      <c r="H81" s="870"/>
      <c r="I81" s="870"/>
      <c r="J81" s="871"/>
    </row>
    <row r="82" spans="2:10" ht="15.75">
      <c r="B82" s="64"/>
      <c r="C82" s="629"/>
      <c r="D82" s="64"/>
      <c r="E82" s="64"/>
      <c r="G82" s="705"/>
      <c r="H82" s="475"/>
      <c r="I82" s="655"/>
      <c r="J82" s="656"/>
    </row>
    <row r="83" spans="2:10" ht="15.75">
      <c r="B83" s="218" t="s">
        <v>177</v>
      </c>
      <c r="C83" s="344"/>
      <c r="D83" s="118"/>
      <c r="E83" s="64"/>
      <c r="G83" s="707" t="str">
        <f>summ!H20</f>
        <v>  </v>
      </c>
      <c r="H83" s="475" t="str">
        <f>CONCATENATE("",E1," Fund Mill Rate")</f>
        <v>2014 Fund Mill Rate</v>
      </c>
      <c r="I83" s="655"/>
      <c r="J83" s="656"/>
    </row>
    <row r="84" spans="7:10" ht="15.75">
      <c r="G84" s="706" t="str">
        <f>summ!E20</f>
        <v>  </v>
      </c>
      <c r="H84" s="475" t="str">
        <f>CONCATENATE("",E1-1," Fund Mill Rate")</f>
        <v>2013 Fund Mill Rate</v>
      </c>
      <c r="I84" s="655"/>
      <c r="J84" s="656"/>
    </row>
    <row r="85" spans="2:10" ht="15.75">
      <c r="B85" s="126"/>
      <c r="C85" s="126"/>
      <c r="G85" s="708">
        <f>summ!H32</f>
        <v>87.277</v>
      </c>
      <c r="H85" s="475" t="str">
        <f>CONCATENATE("Total ",E1," Mill Rate")</f>
        <v>Total 2014 Mill Rate</v>
      </c>
      <c r="I85" s="655"/>
      <c r="J85" s="656"/>
    </row>
    <row r="86" spans="7:10" ht="15.75">
      <c r="G86" s="706">
        <f>summ!E32</f>
        <v>86.767</v>
      </c>
      <c r="H86" s="643" t="str">
        <f>CONCATENATE("Total ",E1-1," Mill Rate")</f>
        <v>Total 2013 Mill Rate</v>
      </c>
      <c r="I86" s="644"/>
      <c r="J86" s="645"/>
    </row>
    <row r="88" spans="7:9" ht="15.75">
      <c r="G88" s="758" t="s">
        <v>978</v>
      </c>
      <c r="H88" s="757"/>
      <c r="I88" s="756" t="str">
        <f>cert!E38</f>
        <v>Yes</v>
      </c>
    </row>
    <row r="94" spans="3:4" ht="15.75" hidden="1">
      <c r="C94" s="460">
        <f>IF(C33&gt;C35,"See Tab A","")</f>
      </c>
      <c r="D94" s="460">
        <f>IF(D33&gt;D35,"See Tab C","")</f>
      </c>
    </row>
    <row r="95" spans="3:4" ht="15.75" hidden="1">
      <c r="C95" s="460">
        <f>IF(C34&lt;0,"See Tab B","")</f>
      </c>
      <c r="D95" s="460">
        <f>IF(D34&lt;0,"See Tab D","")</f>
      </c>
    </row>
    <row r="96" spans="3:4" ht="15.75" hidden="1">
      <c r="C96" s="453">
        <f>IF(C73&gt;C75,"See Tab A","")</f>
      </c>
      <c r="D96" s="453">
        <f>IF(D73&gt;D75,"See Tab C","")</f>
      </c>
    </row>
    <row r="97" spans="3:4" ht="15.75" hidden="1">
      <c r="C97" s="453">
        <f>IF(C74&lt;0,"See Tab B","")</f>
      </c>
      <c r="D97" s="453">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6" operator="greaterThan" stopIfTrue="1">
      <formula>$E$20*0.1+E39</formula>
    </cfRule>
  </conditionalFormatting>
  <conditionalFormatting sqref="C58">
    <cfRule type="cellIs" priority="19" dxfId="146" operator="greaterThan" stopIfTrue="1">
      <formula>$C$60*0.1</formula>
    </cfRule>
  </conditionalFormatting>
  <conditionalFormatting sqref="D58">
    <cfRule type="cellIs" priority="20" dxfId="146" operator="greaterThan" stopIfTrue="1">
      <formula>$D$60*0.1</formula>
    </cfRule>
  </conditionalFormatting>
  <conditionalFormatting sqref="E58">
    <cfRule type="cellIs" priority="21" dxfId="14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43">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Blue Rapids</v>
      </c>
      <c r="C1" s="201"/>
      <c r="D1" s="64"/>
      <c r="E1" s="161">
        <f>inputPrYr!$C$5</f>
        <v>2014</v>
      </c>
    </row>
    <row r="2" spans="2:5" ht="15.75">
      <c r="B2" s="64"/>
      <c r="C2" s="64"/>
      <c r="D2" s="64"/>
      <c r="E2" s="218"/>
    </row>
    <row r="3" spans="2:5" ht="15.75">
      <c r="B3" s="81" t="s">
        <v>221</v>
      </c>
      <c r="C3" s="342"/>
      <c r="D3" s="172"/>
      <c r="E3" s="163"/>
    </row>
    <row r="4" spans="2:5" ht="15.75">
      <c r="B4" s="69" t="s">
        <v>164</v>
      </c>
      <c r="C4" s="713" t="s">
        <v>828</v>
      </c>
      <c r="D4" s="714" t="s">
        <v>829</v>
      </c>
      <c r="E4" s="174" t="s">
        <v>830</v>
      </c>
    </row>
    <row r="5" spans="2:5" ht="15.75">
      <c r="B5" s="450">
        <f>(inputPrYr!B23)</f>
        <v>0</v>
      </c>
      <c r="C5" s="331" t="str">
        <f>CONCATENATE("Actual for ",$E$1-2,"")</f>
        <v>Actual for 2012</v>
      </c>
      <c r="D5" s="412" t="str">
        <f>CONCATENATE("Estimate for ",$E$1-1,"")</f>
        <v>Estimate for 2013</v>
      </c>
      <c r="E5" s="229" t="str">
        <f>CONCATENATE("Year for ",$E$1,"")</f>
        <v>Year for 2014</v>
      </c>
    </row>
    <row r="6" spans="2:5" ht="15.75">
      <c r="B6" s="178" t="s">
        <v>278</v>
      </c>
      <c r="C6" s="440"/>
      <c r="D6" s="443">
        <f>C34</f>
        <v>0</v>
      </c>
      <c r="E6" s="189">
        <f>D34</f>
        <v>0</v>
      </c>
    </row>
    <row r="7" spans="2:5" ht="15.75">
      <c r="B7" s="278" t="s">
        <v>280</v>
      </c>
      <c r="C7" s="178"/>
      <c r="D7" s="443"/>
      <c r="E7" s="189"/>
    </row>
    <row r="8" spans="2:5" ht="15.75">
      <c r="B8" s="178" t="s">
        <v>165</v>
      </c>
      <c r="C8" s="445"/>
      <c r="D8" s="443">
        <f>IF(inputPrYr!H16&gt;0,inputPrYr!G23,inputPrYr!E23)</f>
        <v>0</v>
      </c>
      <c r="E8" s="343" t="s">
        <v>152</v>
      </c>
    </row>
    <row r="9" spans="2:5" ht="15.75">
      <c r="B9" s="178" t="s">
        <v>166</v>
      </c>
      <c r="C9" s="445"/>
      <c r="D9" s="445"/>
      <c r="E9" s="87"/>
    </row>
    <row r="10" spans="2:5" ht="15.75">
      <c r="B10" s="178" t="s">
        <v>167</v>
      </c>
      <c r="C10" s="445"/>
      <c r="D10" s="445"/>
      <c r="E10" s="189" t="str">
        <f>Mvalloc!D14</f>
        <v>  </v>
      </c>
    </row>
    <row r="11" spans="2:5" ht="15.75">
      <c r="B11" s="178" t="s">
        <v>168</v>
      </c>
      <c r="C11" s="445"/>
      <c r="D11" s="445"/>
      <c r="E11" s="189" t="str">
        <f>Mvalloc!E14</f>
        <v>  </v>
      </c>
    </row>
    <row r="12" spans="2:5" ht="15.75">
      <c r="B12" s="191" t="s">
        <v>217</v>
      </c>
      <c r="C12" s="445"/>
      <c r="D12" s="445"/>
      <c r="E12" s="189" t="str">
        <f>Mvalloc!F14</f>
        <v>  </v>
      </c>
    </row>
    <row r="13" spans="2:5" ht="15.75">
      <c r="B13" s="290"/>
      <c r="C13" s="445"/>
      <c r="D13" s="445"/>
      <c r="E13" s="90"/>
    </row>
    <row r="14" spans="2:5" ht="15.75">
      <c r="B14" s="290"/>
      <c r="C14" s="445"/>
      <c r="D14" s="445"/>
      <c r="E14" s="90"/>
    </row>
    <row r="15" spans="2:5" ht="15.75">
      <c r="B15" s="290"/>
      <c r="C15" s="445"/>
      <c r="D15" s="445"/>
      <c r="E15" s="87"/>
    </row>
    <row r="16" spans="2:5" ht="15.75">
      <c r="B16" s="290"/>
      <c r="C16" s="445"/>
      <c r="D16" s="445"/>
      <c r="E16" s="87"/>
    </row>
    <row r="17" spans="2:5" ht="15.75">
      <c r="B17" s="335" t="s">
        <v>170</v>
      </c>
      <c r="C17" s="445"/>
      <c r="D17" s="445"/>
      <c r="E17" s="87"/>
    </row>
    <row r="18" spans="2:5" ht="15.75">
      <c r="B18" s="339" t="s">
        <v>256</v>
      </c>
      <c r="C18" s="445"/>
      <c r="D18" s="445"/>
      <c r="E18" s="87"/>
    </row>
    <row r="19" spans="2:5" ht="15.75">
      <c r="B19" s="339" t="s">
        <v>646</v>
      </c>
      <c r="C19" s="441">
        <f>IF(C20*0.1&lt;C18,"Exceed 10% Rule","")</f>
      </c>
      <c r="D19" s="441">
        <f>IF(D20*0.1&lt;D18,"Exceed 10% Rule","")</f>
      </c>
      <c r="E19" s="451">
        <f>IF(E20*0.1+E40&lt;E18,"Exceed 10% Rule","")</f>
      </c>
    </row>
    <row r="20" spans="2:5" ht="15.75">
      <c r="B20" s="287" t="s">
        <v>171</v>
      </c>
      <c r="C20" s="442">
        <f>SUM(C8:C18)</f>
        <v>0</v>
      </c>
      <c r="D20" s="442">
        <f>SUM(D8:D18)</f>
        <v>0</v>
      </c>
      <c r="E20" s="338">
        <f>SUM(E8:E18)</f>
        <v>0</v>
      </c>
    </row>
    <row r="21" spans="2:5" ht="15.75">
      <c r="B21" s="287" t="s">
        <v>172</v>
      </c>
      <c r="C21" s="442">
        <f>C6+C20</f>
        <v>0</v>
      </c>
      <c r="D21" s="442">
        <f>D6+D20</f>
        <v>0</v>
      </c>
      <c r="E21" s="338">
        <f>E6+E20</f>
        <v>0</v>
      </c>
    </row>
    <row r="22" spans="2:5" ht="15.75">
      <c r="B22" s="178" t="s">
        <v>173</v>
      </c>
      <c r="C22" s="178"/>
      <c r="D22" s="443"/>
      <c r="E22" s="189"/>
    </row>
    <row r="23" spans="2:5" ht="15.75">
      <c r="B23" s="290"/>
      <c r="C23" s="445"/>
      <c r="D23" s="445"/>
      <c r="E23" s="87"/>
    </row>
    <row r="24" spans="2:10" ht="15.75">
      <c r="B24" s="290"/>
      <c r="C24" s="445"/>
      <c r="D24" s="445"/>
      <c r="E24" s="87"/>
      <c r="G24" s="856" t="str">
        <f>CONCATENATE("Desired Carryover Into ",E1+1,"")</f>
        <v>Desired Carryover Into 2015</v>
      </c>
      <c r="H24" s="857"/>
      <c r="I24" s="857"/>
      <c r="J24" s="858"/>
    </row>
    <row r="25" spans="2:10" ht="15.75">
      <c r="B25" s="290"/>
      <c r="C25" s="445"/>
      <c r="D25" s="445"/>
      <c r="E25" s="87"/>
      <c r="G25" s="563"/>
      <c r="H25" s="461"/>
      <c r="I25" s="477"/>
      <c r="J25" s="564"/>
    </row>
    <row r="26" spans="2:10" ht="15.75">
      <c r="B26" s="290"/>
      <c r="C26" s="445"/>
      <c r="D26" s="445"/>
      <c r="E26" s="87"/>
      <c r="G26" s="483" t="s">
        <v>654</v>
      </c>
      <c r="H26" s="477"/>
      <c r="I26" s="477"/>
      <c r="J26" s="471">
        <v>0</v>
      </c>
    </row>
    <row r="27" spans="2:10" ht="15.75">
      <c r="B27" s="290"/>
      <c r="C27" s="445"/>
      <c r="D27" s="445"/>
      <c r="E27" s="87"/>
      <c r="G27" s="563" t="s">
        <v>653</v>
      </c>
      <c r="H27" s="461"/>
      <c r="I27" s="461"/>
      <c r="J27" s="694">
        <f>IF(J26=0,"",ROUND((J26+E40-G39)/inputOth!E7*1000,3)-G44)</f>
      </c>
    </row>
    <row r="28" spans="2:10" ht="15.75">
      <c r="B28" s="290"/>
      <c r="C28" s="445"/>
      <c r="D28" s="445"/>
      <c r="E28" s="87"/>
      <c r="G28" s="660" t="str">
        <f>CONCATENATE("",E1," Tot Exp/Non-Appr Must Be:")</f>
        <v>2014 Tot Exp/Non-Appr Must Be:</v>
      </c>
      <c r="H28" s="657"/>
      <c r="I28" s="658"/>
      <c r="J28" s="654">
        <f>IF(J26&gt;0,IF(E37&lt;E21,IF(J26=G39,E38,((J26-G39)*(1-D39))+E21),E38+(J26-G39)),0)</f>
        <v>0</v>
      </c>
    </row>
    <row r="29" spans="2:10" ht="15.75">
      <c r="B29" s="290"/>
      <c r="C29" s="445"/>
      <c r="D29" s="445"/>
      <c r="E29" s="87"/>
      <c r="G29" s="692" t="s">
        <v>832</v>
      </c>
      <c r="H29" s="697"/>
      <c r="I29" s="697"/>
      <c r="J29" s="661">
        <f>IF(J26&gt;0,J28-E38,0)</f>
        <v>0</v>
      </c>
    </row>
    <row r="30" spans="2:10" ht="15.75">
      <c r="B30" s="191" t="s">
        <v>53</v>
      </c>
      <c r="C30" s="445"/>
      <c r="D30" s="445"/>
      <c r="E30" s="189">
        <f>Nhood!E12</f>
      </c>
      <c r="J30" s="2"/>
    </row>
    <row r="31" spans="2:10" ht="15.75">
      <c r="B31" s="191" t="s">
        <v>256</v>
      </c>
      <c r="C31" s="445"/>
      <c r="D31" s="445"/>
      <c r="E31" s="87"/>
      <c r="G31" s="856" t="str">
        <f>CONCATENATE("Projected Carryover Into ",E1+1,"")</f>
        <v>Projected Carryover Into 2015</v>
      </c>
      <c r="H31" s="874"/>
      <c r="I31" s="874"/>
      <c r="J31" s="873"/>
    </row>
    <row r="32" spans="2:10" ht="15.75">
      <c r="B32" s="191" t="s">
        <v>645</v>
      </c>
      <c r="C32" s="441">
        <f>IF(C33*0.1&lt;C31,"Exceed 10% Rule","")</f>
      </c>
      <c r="D32" s="441">
        <f>IF(D33*0.1&lt;D31,"Exceed 10% Rule","")</f>
      </c>
      <c r="E32" s="451">
        <f>IF(E33*0.1&lt;E31,"Exceed 10% Rule","")</f>
      </c>
      <c r="G32" s="563"/>
      <c r="H32" s="477"/>
      <c r="I32" s="477"/>
      <c r="J32" s="737"/>
    </row>
    <row r="33" spans="2:10" ht="15.75">
      <c r="B33" s="287" t="s">
        <v>174</v>
      </c>
      <c r="C33" s="442">
        <f>SUM(C23:C31)</f>
        <v>0</v>
      </c>
      <c r="D33" s="442">
        <f>SUM(D23:D31)</f>
        <v>0</v>
      </c>
      <c r="E33" s="338">
        <f>SUM(E23:E31)</f>
        <v>0</v>
      </c>
      <c r="G33" s="474">
        <f>D34</f>
        <v>0</v>
      </c>
      <c r="H33" s="475" t="str">
        <f>CONCATENATE("",E1-1," Ending Cash Balance (est.)")</f>
        <v>2013 Ending Cash Balance (est.)</v>
      </c>
      <c r="I33" s="476"/>
      <c r="J33" s="737"/>
    </row>
    <row r="34" spans="2:10" ht="15.75">
      <c r="B34" s="178" t="s">
        <v>279</v>
      </c>
      <c r="C34" s="447">
        <f>C21-C33</f>
        <v>0</v>
      </c>
      <c r="D34" s="447">
        <f>D21-D33</f>
        <v>0</v>
      </c>
      <c r="E34" s="343" t="s">
        <v>152</v>
      </c>
      <c r="G34" s="474">
        <f>E20</f>
        <v>0</v>
      </c>
      <c r="H34" s="477" t="str">
        <f>CONCATENATE("",E1," Non-AV Receipts (est.)")</f>
        <v>2014 Non-AV Receipts (est.)</v>
      </c>
      <c r="I34" s="476"/>
      <c r="J34" s="737"/>
    </row>
    <row r="35" spans="2:11" ht="15.75">
      <c r="B35" s="210" t="str">
        <f>CONCATENATE("",E1-2,"/",E1-1," Budget Authority Amount:")</f>
        <v>2012/2013 Budget Authority Amount:</v>
      </c>
      <c r="C35" s="221">
        <f>inputOth!B60</f>
        <v>132569</v>
      </c>
      <c r="D35" s="221">
        <f>inputPrYr!D23</f>
        <v>0</v>
      </c>
      <c r="E35" s="343" t="s">
        <v>152</v>
      </c>
      <c r="F35" s="292"/>
      <c r="G35" s="478">
        <f>IF(D39&gt;0,E38,E40)</f>
        <v>0</v>
      </c>
      <c r="H35" s="477" t="str">
        <f>CONCATENATE("",E1," Ad Valorem Tax (est.)")</f>
        <v>2014 Ad Valorem Tax (est.)</v>
      </c>
      <c r="I35" s="476"/>
      <c r="J35" s="737"/>
      <c r="K35" s="699">
        <f>IF(G35=E40,"","Note: Does not include Delinquent Taxes")</f>
      </c>
    </row>
    <row r="36" spans="2:10" ht="15.75">
      <c r="B36" s="210"/>
      <c r="C36" s="865" t="s">
        <v>647</v>
      </c>
      <c r="D36" s="866"/>
      <c r="E36" s="87"/>
      <c r="F36" s="292">
        <f>IF(E33/0.95-E33&lt;E36,"Exceeds 5%","")</f>
      </c>
      <c r="G36" s="474">
        <f>SUM(G33:G35)</f>
        <v>0</v>
      </c>
      <c r="H36" s="477" t="str">
        <f>CONCATENATE("Total ",E1," Resources Available")</f>
        <v>Total 2014 Resources Available</v>
      </c>
      <c r="I36" s="476"/>
      <c r="J36" s="737"/>
    </row>
    <row r="37" spans="2:10" ht="15.75">
      <c r="B37" s="452" t="str">
        <f>CONCATENATE(C93,"     ",D93)</f>
        <v>     </v>
      </c>
      <c r="C37" s="867" t="s">
        <v>648</v>
      </c>
      <c r="D37" s="868"/>
      <c r="E37" s="189">
        <f>E33+E36</f>
        <v>0</v>
      </c>
      <c r="G37" s="479"/>
      <c r="H37" s="477"/>
      <c r="I37" s="477"/>
      <c r="J37" s="737"/>
    </row>
    <row r="38" spans="2:10" ht="15.75">
      <c r="B38" s="452" t="str">
        <f>CONCATENATE(C94,"     ",D94)</f>
        <v>     </v>
      </c>
      <c r="C38" s="293"/>
      <c r="D38" s="218" t="s">
        <v>175</v>
      </c>
      <c r="E38" s="94">
        <f>IF(E37-E21&gt;0,E37-E21,0)</f>
        <v>0</v>
      </c>
      <c r="G38" s="478">
        <f>ROUND(C33*0.05+C33,0)</f>
        <v>0</v>
      </c>
      <c r="H38" s="477" t="str">
        <f>CONCATENATE("Less ",E1-2," Expenditures + 5%")</f>
        <v>Less 2012 Expenditures + 5%</v>
      </c>
      <c r="I38" s="476"/>
      <c r="J38" s="737"/>
    </row>
    <row r="39" spans="2:10" ht="15.75">
      <c r="B39" s="218"/>
      <c r="C39" s="439" t="s">
        <v>649</v>
      </c>
      <c r="D39" s="703">
        <f>inputOth!E41</f>
        <v>0</v>
      </c>
      <c r="E39" s="189">
        <f>ROUND(IF(D39&gt;0,(E38*D39),0),0)</f>
        <v>0</v>
      </c>
      <c r="G39" s="695">
        <f>G36-G38</f>
        <v>0</v>
      </c>
      <c r="H39" s="696" t="str">
        <f>CONCATENATE("Projected ",E1+1," carryover (est.)")</f>
        <v>Projected 2015 carryover (est.)</v>
      </c>
      <c r="I39" s="481"/>
      <c r="J39" s="735"/>
    </row>
    <row r="40" spans="2:10" ht="16.5" thickBot="1">
      <c r="B40" s="64"/>
      <c r="C40" s="929" t="str">
        <f>CONCATENATE("Amount of  ",E1-1," Ad Valorem Tax")</f>
        <v>Amount of  2013 Ad Valorem Tax</v>
      </c>
      <c r="D40" s="930"/>
      <c r="E40" s="710">
        <f>E38+E39</f>
        <v>0</v>
      </c>
      <c r="G40" s="2"/>
      <c r="H40" s="2"/>
      <c r="I40" s="2"/>
      <c r="J40" s="2"/>
    </row>
    <row r="41" spans="2:10" ht="16.5" thickTop="1">
      <c r="B41" s="64"/>
      <c r="C41" s="859"/>
      <c r="D41" s="860"/>
      <c r="E41" s="64"/>
      <c r="G41" s="869" t="s">
        <v>949</v>
      </c>
      <c r="H41" s="870"/>
      <c r="I41" s="870"/>
      <c r="J41" s="871"/>
    </row>
    <row r="42" spans="2:10" ht="15.75">
      <c r="B42" s="64"/>
      <c r="C42" s="630"/>
      <c r="D42" s="64"/>
      <c r="E42" s="64"/>
      <c r="G42" s="705"/>
      <c r="H42" s="475"/>
      <c r="I42" s="655"/>
      <c r="J42" s="656"/>
    </row>
    <row r="43" spans="2:10" ht="15.75">
      <c r="B43" s="69" t="s">
        <v>164</v>
      </c>
      <c r="C43" s="91"/>
      <c r="D43" s="172"/>
      <c r="E43" s="172"/>
      <c r="G43" s="707" t="str">
        <f>summ!H21</f>
        <v>  </v>
      </c>
      <c r="H43" s="475" t="str">
        <f>CONCATENATE("",E1," Fund Mill Rate")</f>
        <v>2014 Fund Mill Rate</v>
      </c>
      <c r="I43" s="655"/>
      <c r="J43" s="656"/>
    </row>
    <row r="44" spans="2:10" ht="15.75">
      <c r="B44" s="64"/>
      <c r="C44" s="713" t="s">
        <v>828</v>
      </c>
      <c r="D44" s="714" t="s">
        <v>829</v>
      </c>
      <c r="E44" s="174" t="s">
        <v>830</v>
      </c>
      <c r="G44" s="706" t="str">
        <f>summ!E21</f>
        <v>  </v>
      </c>
      <c r="H44" s="475" t="str">
        <f>CONCATENATE("",E1-1," Fund Mill Rate")</f>
        <v>2013 Fund Mill Rate</v>
      </c>
      <c r="I44" s="655"/>
      <c r="J44" s="656"/>
    </row>
    <row r="45" spans="2:10" ht="15.75">
      <c r="B45" s="449">
        <f>(inputPrYr!B24)</f>
        <v>0</v>
      </c>
      <c r="C45" s="331" t="str">
        <f>CONCATENATE("Actual for ",$E$1-2,"")</f>
        <v>Actual for 2012</v>
      </c>
      <c r="D45" s="412" t="str">
        <f>CONCATENATE("Estimate for ",$E$1-1,"")</f>
        <v>Estimate for 2013</v>
      </c>
      <c r="E45" s="229" t="str">
        <f>CONCATENATE("Year for ",$E$1,"")</f>
        <v>Year for 2014</v>
      </c>
      <c r="G45" s="708">
        <f>summ!H32</f>
        <v>87.277</v>
      </c>
      <c r="H45" s="475" t="str">
        <f>CONCATENATE("Total ",E1," Mill Rate")</f>
        <v>Total 2014 Mill Rate</v>
      </c>
      <c r="I45" s="655"/>
      <c r="J45" s="656"/>
    </row>
    <row r="46" spans="2:10" ht="15.75">
      <c r="B46" s="178" t="s">
        <v>278</v>
      </c>
      <c r="C46" s="444"/>
      <c r="D46" s="443">
        <f>C74</f>
        <v>0</v>
      </c>
      <c r="E46" s="189">
        <f>D74</f>
        <v>0</v>
      </c>
      <c r="G46" s="706">
        <f>summ!E32</f>
        <v>86.767</v>
      </c>
      <c r="H46" s="643" t="str">
        <f>CONCATENATE("Total ",E1-1," Mill Rate")</f>
        <v>Total 2013 Mill Rate</v>
      </c>
      <c r="I46" s="644"/>
      <c r="J46" s="645"/>
    </row>
    <row r="47" spans="2:5" ht="15.75">
      <c r="B47" s="178" t="s">
        <v>280</v>
      </c>
      <c r="C47" s="178"/>
      <c r="D47" s="443"/>
      <c r="E47" s="189"/>
    </row>
    <row r="48" spans="2:9" ht="15.75">
      <c r="B48" s="178" t="s">
        <v>165</v>
      </c>
      <c r="C48" s="440"/>
      <c r="D48" s="443">
        <f>IF(inputPrYr!H16&gt;0,inputPrYr!G24,inputPrYr!E24)</f>
        <v>0</v>
      </c>
      <c r="E48" s="343" t="s">
        <v>152</v>
      </c>
      <c r="G48" s="761" t="s">
        <v>978</v>
      </c>
      <c r="H48" s="760"/>
      <c r="I48" s="759" t="str">
        <f>cert!E38</f>
        <v>Yes</v>
      </c>
    </row>
    <row r="49" spans="2:5" ht="15.75">
      <c r="B49" s="178" t="s">
        <v>166</v>
      </c>
      <c r="C49" s="440"/>
      <c r="D49" s="440"/>
      <c r="E49" s="87"/>
    </row>
    <row r="50" spans="2:5" ht="15.75">
      <c r="B50" s="178" t="s">
        <v>167</v>
      </c>
      <c r="C50" s="440"/>
      <c r="D50" s="440"/>
      <c r="E50" s="189" t="str">
        <f>Mvalloc!D15</f>
        <v>  </v>
      </c>
    </row>
    <row r="51" spans="2:5" ht="15.75">
      <c r="B51" s="178" t="s">
        <v>168</v>
      </c>
      <c r="C51" s="440"/>
      <c r="D51" s="440"/>
      <c r="E51" s="189" t="str">
        <f>Mvalloc!E15</f>
        <v>  </v>
      </c>
    </row>
    <row r="52" spans="2:5" ht="15.75">
      <c r="B52" s="191" t="s">
        <v>217</v>
      </c>
      <c r="C52" s="440"/>
      <c r="D52" s="440"/>
      <c r="E52" s="189" t="str">
        <f>Mvalloc!F15</f>
        <v>  </v>
      </c>
    </row>
    <row r="53" spans="2:5" ht="15.75">
      <c r="B53" s="290"/>
      <c r="C53" s="440"/>
      <c r="D53" s="440"/>
      <c r="E53" s="90"/>
    </row>
    <row r="54" spans="2:5" ht="15.75">
      <c r="B54" s="290"/>
      <c r="C54" s="440"/>
      <c r="D54" s="440"/>
      <c r="E54" s="90"/>
    </row>
    <row r="55" spans="2:5" ht="15.75">
      <c r="B55" s="290"/>
      <c r="C55" s="440"/>
      <c r="D55" s="440"/>
      <c r="E55" s="87"/>
    </row>
    <row r="56" spans="2:5" ht="15.75">
      <c r="B56" s="290"/>
      <c r="C56" s="440"/>
      <c r="D56" s="440"/>
      <c r="E56" s="87"/>
    </row>
    <row r="57" spans="2:5" ht="15.75">
      <c r="B57" s="335" t="s">
        <v>170</v>
      </c>
      <c r="C57" s="440"/>
      <c r="D57" s="440"/>
      <c r="E57" s="87"/>
    </row>
    <row r="58" spans="2:5" ht="15.75">
      <c r="B58" s="178" t="s">
        <v>256</v>
      </c>
      <c r="C58" s="440"/>
      <c r="D58" s="440"/>
      <c r="E58" s="87"/>
    </row>
    <row r="59" spans="2:5" ht="15.75">
      <c r="B59" s="178" t="s">
        <v>54</v>
      </c>
      <c r="C59" s="448">
        <f>IF(C60*0.1&lt;C58,"Exceed 10% Rule","")</f>
      </c>
      <c r="D59" s="441">
        <f>IF(D60*0.1&lt;D58,"Exceed 10% Rule","")</f>
      </c>
      <c r="E59" s="451">
        <f>IF(E60*0.1+E80&lt;E58,"Exceed 10% Rule","")</f>
      </c>
    </row>
    <row r="60" spans="2:5" ht="15.75">
      <c r="B60" s="287" t="s">
        <v>171</v>
      </c>
      <c r="C60" s="442">
        <f>SUM(C48:C58)</f>
        <v>0</v>
      </c>
      <c r="D60" s="442">
        <f>SUM(D48:D58)</f>
        <v>0</v>
      </c>
      <c r="E60" s="338">
        <f>SUM(E48:E58)</f>
        <v>0</v>
      </c>
    </row>
    <row r="61" spans="2:5" ht="15.75">
      <c r="B61" s="287" t="s">
        <v>172</v>
      </c>
      <c r="C61" s="442">
        <f>C46+C60</f>
        <v>0</v>
      </c>
      <c r="D61" s="442">
        <f>D46+D60</f>
        <v>0</v>
      </c>
      <c r="E61" s="338">
        <f>E46+E60</f>
        <v>0</v>
      </c>
    </row>
    <row r="62" spans="2:5" ht="15.75">
      <c r="B62" s="178" t="s">
        <v>173</v>
      </c>
      <c r="C62" s="178"/>
      <c r="D62" s="443"/>
      <c r="E62" s="189"/>
    </row>
    <row r="63" spans="2:5" ht="15.75">
      <c r="B63" s="290"/>
      <c r="C63" s="440"/>
      <c r="D63" s="440"/>
      <c r="E63" s="87"/>
    </row>
    <row r="64" spans="2:10" ht="15.75">
      <c r="B64" s="290"/>
      <c r="C64" s="440"/>
      <c r="D64" s="440"/>
      <c r="E64" s="87"/>
      <c r="G64" s="856" t="str">
        <f>CONCATENATE("Desired Carryover Into ",E1+1,"")</f>
        <v>Desired Carryover Into 2015</v>
      </c>
      <c r="H64" s="857"/>
      <c r="I64" s="857"/>
      <c r="J64" s="858"/>
    </row>
    <row r="65" spans="2:10" ht="15.75">
      <c r="B65" s="290"/>
      <c r="C65" s="440"/>
      <c r="D65" s="440"/>
      <c r="E65" s="87"/>
      <c r="G65" s="563"/>
      <c r="H65" s="461"/>
      <c r="I65" s="477"/>
      <c r="J65" s="564"/>
    </row>
    <row r="66" spans="2:10" ht="15.75">
      <c r="B66" s="290"/>
      <c r="C66" s="440"/>
      <c r="D66" s="440"/>
      <c r="E66" s="87"/>
      <c r="G66" s="483" t="s">
        <v>654</v>
      </c>
      <c r="H66" s="477"/>
      <c r="I66" s="477"/>
      <c r="J66" s="471">
        <v>0</v>
      </c>
    </row>
    <row r="67" spans="2:10" ht="15.75">
      <c r="B67" s="290"/>
      <c r="C67" s="440"/>
      <c r="D67" s="440"/>
      <c r="E67" s="87"/>
      <c r="G67" s="563" t="s">
        <v>653</v>
      </c>
      <c r="H67" s="461"/>
      <c r="I67" s="461"/>
      <c r="J67" s="694">
        <f>IF(J66=0,"",ROUND((J66+E80-G79)/inputOth!E7*1000,3)-G84)</f>
      </c>
    </row>
    <row r="68" spans="2:10" ht="15.75">
      <c r="B68" s="290"/>
      <c r="C68" s="440"/>
      <c r="D68" s="440"/>
      <c r="E68" s="87"/>
      <c r="G68" s="660" t="str">
        <f>CONCATENATE("",E1," Tot Exp/Non-Appr Must Be:")</f>
        <v>2014 Tot Exp/Non-Appr Must Be:</v>
      </c>
      <c r="H68" s="657"/>
      <c r="I68" s="658"/>
      <c r="J68" s="654">
        <f>IF(J66&gt;0,IF(E77&lt;E61,IF(J66=G79,E77,((J66-G79)*(1-D79))+E61),E77+(J66-G79)),0)</f>
        <v>0</v>
      </c>
    </row>
    <row r="69" spans="2:10" ht="15.75">
      <c r="B69" s="290"/>
      <c r="C69" s="440"/>
      <c r="D69" s="440"/>
      <c r="E69" s="87"/>
      <c r="G69" s="692" t="s">
        <v>832</v>
      </c>
      <c r="H69" s="697"/>
      <c r="I69" s="697"/>
      <c r="J69" s="661">
        <f>IF(J66&gt;0,J68-E77,0)</f>
        <v>0</v>
      </c>
    </row>
    <row r="70" spans="2:10" ht="15.75">
      <c r="B70" s="191" t="s">
        <v>53</v>
      </c>
      <c r="C70" s="440"/>
      <c r="D70" s="440"/>
      <c r="E70" s="189">
        <f>Nhood!E13</f>
      </c>
      <c r="J70" s="2"/>
    </row>
    <row r="71" spans="2:10" ht="15.75">
      <c r="B71" s="191" t="s">
        <v>256</v>
      </c>
      <c r="C71" s="440"/>
      <c r="D71" s="440"/>
      <c r="E71" s="87"/>
      <c r="G71" s="856" t="str">
        <f>CONCATENATE("Projected Carryover Into ",E1+1,"")</f>
        <v>Projected Carryover Into 2015</v>
      </c>
      <c r="H71" s="872"/>
      <c r="I71" s="872"/>
      <c r="J71" s="873"/>
    </row>
    <row r="72" spans="2:10" ht="15.75">
      <c r="B72" s="191" t="s">
        <v>55</v>
      </c>
      <c r="C72" s="441">
        <f>IF(C73*0.1&lt;C71,"Exceed 10% Rule","")</f>
      </c>
      <c r="D72" s="441">
        <f>IF(D73*0.1&lt;D71,"Exceed 10% Rule","")</f>
      </c>
      <c r="E72" s="451">
        <f>IF(E73*0.1&lt;E71,"Exceed 10% Rule","")</f>
      </c>
      <c r="G72" s="472"/>
      <c r="H72" s="461"/>
      <c r="I72" s="461"/>
      <c r="J72" s="737"/>
    </row>
    <row r="73" spans="2:10" ht="15.75">
      <c r="B73" s="287" t="s">
        <v>174</v>
      </c>
      <c r="C73" s="442">
        <f>SUM(C63:C71)</f>
        <v>0</v>
      </c>
      <c r="D73" s="442">
        <f>SUM(D63:D71)</f>
        <v>0</v>
      </c>
      <c r="E73" s="338">
        <f>SUM(E63:E71)</f>
        <v>0</v>
      </c>
      <c r="G73" s="474">
        <f>D74</f>
        <v>0</v>
      </c>
      <c r="H73" s="475" t="str">
        <f>CONCATENATE("",E1-1," Ending Cash Balance (est.)")</f>
        <v>2013 Ending Cash Balance (est.)</v>
      </c>
      <c r="I73" s="476"/>
      <c r="J73" s="737"/>
    </row>
    <row r="74" spans="2:10" ht="15.75">
      <c r="B74" s="178" t="s">
        <v>279</v>
      </c>
      <c r="C74" s="447">
        <f>C61-C73</f>
        <v>0</v>
      </c>
      <c r="D74" s="447">
        <f>D61-D73</f>
        <v>0</v>
      </c>
      <c r="E74" s="343" t="s">
        <v>152</v>
      </c>
      <c r="G74" s="474">
        <f>E60</f>
        <v>0</v>
      </c>
      <c r="H74" s="477" t="str">
        <f>CONCATENATE("",E1," Non-AV Receipts (est.)")</f>
        <v>2014 Non-AV Receipts (est.)</v>
      </c>
      <c r="I74" s="476"/>
      <c r="J74" s="737"/>
    </row>
    <row r="75" spans="2:11" ht="15.75">
      <c r="B75" s="210" t="str">
        <f>CONCATENATE("",E1-2,"/",E1-1," Budget Authority Amount:")</f>
        <v>2012/2013 Budget Authority Amount:</v>
      </c>
      <c r="C75" s="221">
        <f>inputOth!B61</f>
        <v>163741</v>
      </c>
      <c r="D75" s="221">
        <f>inputPrYr!D24</f>
        <v>0</v>
      </c>
      <c r="E75" s="343" t="s">
        <v>152</v>
      </c>
      <c r="F75" s="292"/>
      <c r="G75" s="478">
        <f>IF(D79&gt;0,E78,E80)</f>
        <v>0</v>
      </c>
      <c r="H75" s="477" t="str">
        <f>CONCATENATE("",E1," Ad Valorem Tax (est.)")</f>
        <v>2014 Ad Valorem Tax (est.)</v>
      </c>
      <c r="I75" s="476"/>
      <c r="J75" s="737"/>
      <c r="K75" s="699">
        <f>IF(G75=E80,"","Note: Does not include Delinquent Taxes")</f>
      </c>
    </row>
    <row r="76" spans="2:10" ht="15.75">
      <c r="B76" s="210"/>
      <c r="C76" s="865" t="s">
        <v>647</v>
      </c>
      <c r="D76" s="866"/>
      <c r="E76" s="87"/>
      <c r="F76" s="292">
        <f>IF(E73/0.95-E73&lt;E76,"Exceeds 5%","")</f>
      </c>
      <c r="G76" s="565">
        <f>SUM(G73:G75)</f>
        <v>0</v>
      </c>
      <c r="H76" s="477" t="str">
        <f>CONCATENATE("Total ",E1," Resources Available")</f>
        <v>Total 2014 Resources Available</v>
      </c>
      <c r="I76" s="473"/>
      <c r="J76" s="737"/>
    </row>
    <row r="77" spans="2:10" ht="15.75">
      <c r="B77" s="452" t="str">
        <f>CONCATENATE(C95,"     ",D95)</f>
        <v>     </v>
      </c>
      <c r="C77" s="867" t="s">
        <v>648</v>
      </c>
      <c r="D77" s="868"/>
      <c r="E77" s="189">
        <f>E73+E76</f>
        <v>0</v>
      </c>
      <c r="G77" s="568"/>
      <c r="H77" s="566"/>
      <c r="I77" s="461"/>
      <c r="J77" s="737"/>
    </row>
    <row r="78" spans="2:10" ht="15.75">
      <c r="B78" s="452" t="str">
        <f>CONCATENATE(C96,"     ",D96)</f>
        <v>     </v>
      </c>
      <c r="C78" s="293"/>
      <c r="D78" s="218" t="s">
        <v>175</v>
      </c>
      <c r="E78" s="94">
        <f>IF(E77-E61&gt;0,E77-E61,0)</f>
        <v>0</v>
      </c>
      <c r="G78" s="567">
        <f>ROUND(C73*0.05+C73,0)</f>
        <v>0</v>
      </c>
      <c r="H78" s="566" t="str">
        <f>CONCATENATE("Less ",E1-2," Expenditures + 5%")</f>
        <v>Less 2012 Expenditures + 5%</v>
      </c>
      <c r="I78" s="473"/>
      <c r="J78" s="737"/>
    </row>
    <row r="79" spans="2:10" ht="15.75">
      <c r="B79" s="218"/>
      <c r="C79" s="439" t="s">
        <v>649</v>
      </c>
      <c r="D79" s="703">
        <f>inputOth!E41</f>
        <v>0</v>
      </c>
      <c r="E79" s="189">
        <f>ROUND(IF(D79&gt;0,(E78*D79),0),0)</f>
        <v>0</v>
      </c>
      <c r="G79" s="577">
        <f>G76-G78</f>
        <v>0</v>
      </c>
      <c r="H79" s="578" t="str">
        <f>CONCATENATE("Projected ",E1+1," carryover (est.)")</f>
        <v>Projected 2015 carryover (est.)</v>
      </c>
      <c r="I79" s="482"/>
      <c r="J79" s="735"/>
    </row>
    <row r="80" spans="2:9" ht="16.5" thickBot="1">
      <c r="B80" s="64"/>
      <c r="C80" s="929" t="str">
        <f>CONCATENATE("Amount of  ",E1-1," Ad Valorem Tax")</f>
        <v>Amount of  2013 Ad Valorem Tax</v>
      </c>
      <c r="D80" s="930"/>
      <c r="E80" s="710">
        <f>E78+E79</f>
        <v>0</v>
      </c>
      <c r="G80" s="2"/>
      <c r="H80" s="2"/>
      <c r="I80" s="2"/>
    </row>
    <row r="81" spans="2:10" ht="16.5" thickTop="1">
      <c r="B81" s="64"/>
      <c r="C81" s="859"/>
      <c r="D81" s="860"/>
      <c r="E81" s="64"/>
      <c r="G81" s="869" t="s">
        <v>949</v>
      </c>
      <c r="H81" s="870"/>
      <c r="I81" s="870"/>
      <c r="J81" s="871"/>
    </row>
    <row r="82" spans="2:10" ht="15.75">
      <c r="B82" s="64"/>
      <c r="C82" s="64"/>
      <c r="D82" s="64"/>
      <c r="E82" s="64"/>
      <c r="G82" s="705"/>
      <c r="H82" s="475"/>
      <c r="I82" s="655"/>
      <c r="J82" s="656"/>
    </row>
    <row r="83" spans="2:10" ht="15.75">
      <c r="B83" s="218" t="s">
        <v>177</v>
      </c>
      <c r="C83" s="344"/>
      <c r="D83" s="118"/>
      <c r="E83" s="64"/>
      <c r="G83" s="707" t="str">
        <f>summ!H22</f>
        <v>  </v>
      </c>
      <c r="H83" s="475" t="str">
        <f>CONCATENATE("",E1," Fund Mill Rate")</f>
        <v>2014 Fund Mill Rate</v>
      </c>
      <c r="I83" s="655"/>
      <c r="J83" s="656"/>
    </row>
    <row r="84" spans="7:10" ht="15.75">
      <c r="G84" s="706" t="str">
        <f>summ!E22</f>
        <v>  </v>
      </c>
      <c r="H84" s="475" t="str">
        <f>CONCATENATE("",E1-1," Fund Mill Rate")</f>
        <v>2013 Fund Mill Rate</v>
      </c>
      <c r="I84" s="655"/>
      <c r="J84" s="656"/>
    </row>
    <row r="85" spans="2:10" ht="15.75">
      <c r="B85" s="126"/>
      <c r="C85" s="126"/>
      <c r="G85" s="708">
        <f>summ!H32</f>
        <v>87.277</v>
      </c>
      <c r="H85" s="475" t="str">
        <f>CONCATENATE("Total ",E1," Mill Rate")</f>
        <v>Total 2014 Mill Rate</v>
      </c>
      <c r="I85" s="655"/>
      <c r="J85" s="656"/>
    </row>
    <row r="86" spans="7:10" ht="15.75">
      <c r="G86" s="706">
        <f>summ!E32</f>
        <v>86.767</v>
      </c>
      <c r="H86" s="643" t="str">
        <f>CONCATENATE("Total ",E1-1," Mill Rate")</f>
        <v>Total 2013 Mill Rate</v>
      </c>
      <c r="I86" s="644"/>
      <c r="J86" s="645"/>
    </row>
    <row r="88" spans="7:9" ht="15.75">
      <c r="G88" s="764" t="s">
        <v>978</v>
      </c>
      <c r="H88" s="763"/>
      <c r="I88" s="762" t="str">
        <f>cert!E38</f>
        <v>Yes</v>
      </c>
    </row>
    <row r="93" spans="3:4" ht="15.75" hidden="1">
      <c r="C93" s="460">
        <f>IF(C33&gt;C35,"See Tab A","")</f>
      </c>
      <c r="D93" s="460">
        <f>IF(D33&gt;D35,"See Tab C","")</f>
      </c>
    </row>
    <row r="94" spans="3:4" ht="15.75" hidden="1">
      <c r="C94" s="460">
        <f>IF(C34&lt;0,"See Tab B","")</f>
      </c>
      <c r="D94" s="460">
        <f>IF(D34&lt;0,"See Tab D","")</f>
      </c>
    </row>
    <row r="95" spans="3:4" ht="15.75" hidden="1">
      <c r="C95" s="453">
        <f>IF(C73&gt;C75,"See Tab A","")</f>
      </c>
      <c r="D95" s="453">
        <f>IF(D73&gt;D75,"See Tab C","")</f>
      </c>
    </row>
    <row r="96" spans="3:4" ht="15.75" hidden="1">
      <c r="C96" s="453">
        <f>IF(C74&lt;0,"See Tab B","")</f>
      </c>
      <c r="D96" s="453">
        <f>IF(D74&lt;0,"See Tab D","")</f>
      </c>
    </row>
    <row r="97" spans="3:4" ht="15.75">
      <c r="C97" s="453"/>
      <c r="D97" s="453"/>
    </row>
    <row r="98" spans="3:4" ht="15.75">
      <c r="C98" s="453"/>
      <c r="D98" s="453"/>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46" operator="greaterThan" stopIfTrue="1">
      <formula>$E$60*0.1+E80</formula>
    </cfRule>
  </conditionalFormatting>
  <conditionalFormatting sqref="E18">
    <cfRule type="cellIs" priority="13" dxfId="146" operator="greaterThan" stopIfTrue="1">
      <formula>$E$20*0.1+E40</formula>
    </cfRule>
  </conditionalFormatting>
  <conditionalFormatting sqref="D18">
    <cfRule type="cellIs" priority="14" dxfId="146" operator="greaterThan" stopIfTrue="1">
      <formula>$D$20*0.1</formula>
    </cfRule>
  </conditionalFormatting>
  <conditionalFormatting sqref="C18">
    <cfRule type="cellIs" priority="15" dxfId="146" operator="greaterThan" stopIfTrue="1">
      <formula>$C$20*0.1</formula>
    </cfRule>
  </conditionalFormatting>
  <conditionalFormatting sqref="C31">
    <cfRule type="cellIs" priority="16" dxfId="146" operator="greaterThan" stopIfTrue="1">
      <formula>$C$33*0.1</formula>
    </cfRule>
  </conditionalFormatting>
  <conditionalFormatting sqref="D31">
    <cfRule type="cellIs" priority="17" dxfId="146" operator="greaterThan" stopIfTrue="1">
      <formula>$D$33*0.1</formula>
    </cfRule>
  </conditionalFormatting>
  <conditionalFormatting sqref="D58">
    <cfRule type="cellIs" priority="18" dxfId="146" operator="greaterThan" stopIfTrue="1">
      <formula>$D$60*0.1</formula>
    </cfRule>
  </conditionalFormatting>
  <conditionalFormatting sqref="C58">
    <cfRule type="cellIs" priority="19" dxfId="146" operator="greaterThan" stopIfTrue="1">
      <formula>$C$60*0.1</formula>
    </cfRule>
  </conditionalFormatting>
  <conditionalFormatting sqref="C71">
    <cfRule type="cellIs" priority="20" dxfId="146" operator="greaterThan" stopIfTrue="1">
      <formula>$C$73*0.1</formula>
    </cfRule>
  </conditionalFormatting>
  <conditionalFormatting sqref="D71">
    <cfRule type="cellIs" priority="21" dxfId="14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Blue Rapids</v>
      </c>
      <c r="B1" s="217"/>
      <c r="C1" s="129"/>
      <c r="D1" s="129"/>
      <c r="E1" s="129"/>
      <c r="F1" s="296" t="s">
        <v>34</v>
      </c>
      <c r="G1" s="129"/>
      <c r="H1" s="129"/>
      <c r="I1" s="129"/>
      <c r="J1" s="129"/>
      <c r="K1" s="129">
        <f>inputPrYr!$C$5</f>
        <v>2014</v>
      </c>
    </row>
    <row r="2" spans="1:11" ht="15.75">
      <c r="A2" s="129"/>
      <c r="B2" s="129"/>
      <c r="C2" s="129"/>
      <c r="D2" s="129"/>
      <c r="E2" s="129"/>
      <c r="F2" s="297"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931" t="str">
        <f>inputPrYr!B39</f>
        <v>Storm Sewer Capital Project Fund</v>
      </c>
      <c r="B5" s="932"/>
      <c r="C5" s="931" t="str">
        <f>inputPrYr!B40</f>
        <v>Pool Improvement Fund</v>
      </c>
      <c r="D5" s="932"/>
      <c r="E5" s="931">
        <f>inputPrYr!B41</f>
        <v>0</v>
      </c>
      <c r="F5" s="932"/>
      <c r="G5" s="931">
        <f>inputPrYr!B42</f>
        <v>0</v>
      </c>
      <c r="H5" s="932"/>
      <c r="I5" s="931">
        <f>inputPrYr!B43</f>
        <v>0</v>
      </c>
      <c r="J5" s="932"/>
      <c r="K5" s="148"/>
    </row>
    <row r="6" spans="1:11" ht="15.75">
      <c r="A6" s="299" t="s">
        <v>31</v>
      </c>
      <c r="B6" s="300"/>
      <c r="C6" s="301" t="s">
        <v>31</v>
      </c>
      <c r="D6" s="302"/>
      <c r="E6" s="301" t="s">
        <v>31</v>
      </c>
      <c r="F6" s="303"/>
      <c r="G6" s="301" t="s">
        <v>31</v>
      </c>
      <c r="H6" s="298"/>
      <c r="I6" s="301" t="s">
        <v>31</v>
      </c>
      <c r="J6" s="129"/>
      <c r="K6" s="304" t="s">
        <v>134</v>
      </c>
    </row>
    <row r="7" spans="1:11" ht="15.75">
      <c r="A7" s="305" t="s">
        <v>75</v>
      </c>
      <c r="B7" s="306"/>
      <c r="C7" s="307" t="s">
        <v>75</v>
      </c>
      <c r="D7" s="306"/>
      <c r="E7" s="307" t="s">
        <v>75</v>
      </c>
      <c r="F7" s="306"/>
      <c r="G7" s="307" t="s">
        <v>75</v>
      </c>
      <c r="H7" s="306"/>
      <c r="I7" s="307" t="s">
        <v>75</v>
      </c>
      <c r="J7" s="306"/>
      <c r="K7" s="308">
        <f>SUM(B7+D7+F7+H7+J7)</f>
        <v>0</v>
      </c>
    </row>
    <row r="8" spans="1:11" ht="15.75">
      <c r="A8" s="309" t="s">
        <v>280</v>
      </c>
      <c r="B8" s="310"/>
      <c r="C8" s="309" t="s">
        <v>280</v>
      </c>
      <c r="D8" s="311"/>
      <c r="E8" s="309" t="s">
        <v>280</v>
      </c>
      <c r="F8" s="217"/>
      <c r="G8" s="309" t="s">
        <v>280</v>
      </c>
      <c r="H8" s="129"/>
      <c r="I8" s="309" t="s">
        <v>280</v>
      </c>
      <c r="J8" s="129"/>
      <c r="K8" s="217"/>
    </row>
    <row r="9" spans="1:11" ht="15.75">
      <c r="A9" s="312"/>
      <c r="B9" s="306"/>
      <c r="C9" s="312"/>
      <c r="D9" s="306"/>
      <c r="E9" s="312"/>
      <c r="F9" s="306"/>
      <c r="G9" s="312"/>
      <c r="H9" s="306"/>
      <c r="I9" s="312"/>
      <c r="J9" s="306"/>
      <c r="K9" s="217"/>
    </row>
    <row r="10" spans="1:11" ht="15.75">
      <c r="A10" s="312"/>
      <c r="B10" s="306"/>
      <c r="C10" s="312"/>
      <c r="D10" s="306"/>
      <c r="E10" s="312"/>
      <c r="F10" s="306"/>
      <c r="G10" s="312"/>
      <c r="H10" s="306"/>
      <c r="I10" s="312"/>
      <c r="J10" s="306"/>
      <c r="K10" s="217"/>
    </row>
    <row r="11" spans="1:11" ht="15.75">
      <c r="A11" s="312"/>
      <c r="B11" s="306"/>
      <c r="C11" s="313"/>
      <c r="D11" s="314"/>
      <c r="E11" s="313"/>
      <c r="F11" s="306"/>
      <c r="G11" s="313"/>
      <c r="H11" s="306"/>
      <c r="I11" s="315"/>
      <c r="J11" s="306"/>
      <c r="K11" s="217"/>
    </row>
    <row r="12" spans="1:11" ht="15.75">
      <c r="A12" s="312"/>
      <c r="B12" s="316"/>
      <c r="C12" s="312"/>
      <c r="D12" s="317"/>
      <c r="E12" s="318"/>
      <c r="F12" s="306"/>
      <c r="G12" s="318"/>
      <c r="H12" s="306"/>
      <c r="I12" s="318"/>
      <c r="J12" s="306"/>
      <c r="K12" s="217"/>
    </row>
    <row r="13" spans="1:11" ht="15.75">
      <c r="A13" s="319"/>
      <c r="B13" s="320"/>
      <c r="C13" s="321"/>
      <c r="D13" s="317"/>
      <c r="E13" s="321"/>
      <c r="F13" s="306"/>
      <c r="G13" s="321"/>
      <c r="H13" s="306"/>
      <c r="I13" s="315"/>
      <c r="J13" s="306"/>
      <c r="K13" s="217"/>
    </row>
    <row r="14" spans="1:11" ht="15.75">
      <c r="A14" s="312"/>
      <c r="B14" s="306"/>
      <c r="C14" s="318"/>
      <c r="D14" s="317"/>
      <c r="E14" s="318"/>
      <c r="F14" s="306"/>
      <c r="G14" s="318"/>
      <c r="H14" s="306"/>
      <c r="I14" s="318"/>
      <c r="J14" s="306"/>
      <c r="K14" s="217"/>
    </row>
    <row r="15" spans="1:11" ht="15.75">
      <c r="A15" s="312"/>
      <c r="B15" s="306"/>
      <c r="C15" s="318"/>
      <c r="D15" s="317"/>
      <c r="E15" s="318"/>
      <c r="F15" s="306"/>
      <c r="G15" s="318"/>
      <c r="H15" s="306"/>
      <c r="I15" s="318"/>
      <c r="J15" s="306"/>
      <c r="K15" s="217"/>
    </row>
    <row r="16" spans="1:11" ht="15.75">
      <c r="A16" s="312"/>
      <c r="B16" s="320"/>
      <c r="C16" s="312"/>
      <c r="D16" s="317"/>
      <c r="E16" s="312"/>
      <c r="F16" s="306"/>
      <c r="G16" s="318"/>
      <c r="H16" s="306"/>
      <c r="I16" s="312"/>
      <c r="J16" s="306"/>
      <c r="K16" s="217"/>
    </row>
    <row r="17" spans="1:11" ht="15.75">
      <c r="A17" s="309" t="s">
        <v>171</v>
      </c>
      <c r="B17" s="308">
        <f>SUM(B9:B16)</f>
        <v>0</v>
      </c>
      <c r="C17" s="309" t="s">
        <v>171</v>
      </c>
      <c r="D17" s="308">
        <f>SUM(D9:D16)</f>
        <v>0</v>
      </c>
      <c r="E17" s="309" t="s">
        <v>171</v>
      </c>
      <c r="F17" s="322">
        <f>SUM(F9:F16)</f>
        <v>0</v>
      </c>
      <c r="G17" s="309" t="s">
        <v>171</v>
      </c>
      <c r="H17" s="308">
        <f>SUM(H9:H16)</f>
        <v>0</v>
      </c>
      <c r="I17" s="309" t="s">
        <v>171</v>
      </c>
      <c r="J17" s="308">
        <f>SUM(J9:J16)</f>
        <v>0</v>
      </c>
      <c r="K17" s="308">
        <f>SUM(B17+D17+F17+H17+J17)</f>
        <v>0</v>
      </c>
    </row>
    <row r="18" spans="1:11" ht="15.75">
      <c r="A18" s="309" t="s">
        <v>172</v>
      </c>
      <c r="B18" s="308">
        <f>SUM(B7+B17)</f>
        <v>0</v>
      </c>
      <c r="C18" s="309" t="s">
        <v>172</v>
      </c>
      <c r="D18" s="308">
        <f>SUM(D7+D17)</f>
        <v>0</v>
      </c>
      <c r="E18" s="309" t="s">
        <v>172</v>
      </c>
      <c r="F18" s="308">
        <f>SUM(F7+F17)</f>
        <v>0</v>
      </c>
      <c r="G18" s="309" t="s">
        <v>172</v>
      </c>
      <c r="H18" s="308">
        <f>SUM(H7+H17)</f>
        <v>0</v>
      </c>
      <c r="I18" s="309" t="s">
        <v>172</v>
      </c>
      <c r="J18" s="308">
        <f>SUM(J7+J17)</f>
        <v>0</v>
      </c>
      <c r="K18" s="308">
        <f>SUM(B18+D18+F18+H18+J18)</f>
        <v>0</v>
      </c>
    </row>
    <row r="19" spans="1:11" ht="15.75">
      <c r="A19" s="309" t="s">
        <v>173</v>
      </c>
      <c r="B19" s="310"/>
      <c r="C19" s="309" t="s">
        <v>173</v>
      </c>
      <c r="D19" s="311"/>
      <c r="E19" s="309" t="s">
        <v>173</v>
      </c>
      <c r="F19" s="217"/>
      <c r="G19" s="309" t="s">
        <v>173</v>
      </c>
      <c r="H19" s="129"/>
      <c r="I19" s="309" t="s">
        <v>173</v>
      </c>
      <c r="J19" s="129"/>
      <c r="K19" s="217"/>
    </row>
    <row r="20" spans="1:11" ht="15.75">
      <c r="A20" s="312"/>
      <c r="B20" s="306"/>
      <c r="C20" s="318"/>
      <c r="D20" s="306"/>
      <c r="E20" s="318"/>
      <c r="F20" s="306"/>
      <c r="G20" s="318"/>
      <c r="H20" s="306"/>
      <c r="I20" s="318"/>
      <c r="J20" s="306"/>
      <c r="K20" s="217"/>
    </row>
    <row r="21" spans="1:11" ht="15.75">
      <c r="A21" s="312"/>
      <c r="B21" s="306"/>
      <c r="C21" s="318"/>
      <c r="D21" s="306"/>
      <c r="E21" s="318"/>
      <c r="F21" s="306"/>
      <c r="G21" s="318"/>
      <c r="H21" s="306"/>
      <c r="I21" s="318"/>
      <c r="J21" s="306"/>
      <c r="K21" s="217"/>
    </row>
    <row r="22" spans="1:11" ht="15.75">
      <c r="A22" s="312"/>
      <c r="B22" s="306"/>
      <c r="C22" s="321"/>
      <c r="D22" s="306"/>
      <c r="E22" s="321"/>
      <c r="F22" s="306"/>
      <c r="G22" s="321"/>
      <c r="H22" s="306"/>
      <c r="I22" s="315"/>
      <c r="J22" s="306"/>
      <c r="K22" s="217"/>
    </row>
    <row r="23" spans="1:11" ht="15.75">
      <c r="A23" s="312"/>
      <c r="B23" s="306"/>
      <c r="C23" s="318"/>
      <c r="D23" s="306"/>
      <c r="E23" s="318"/>
      <c r="F23" s="306"/>
      <c r="G23" s="318"/>
      <c r="H23" s="306"/>
      <c r="I23" s="318"/>
      <c r="J23" s="306"/>
      <c r="K23" s="217"/>
    </row>
    <row r="24" spans="1:11" ht="15.75">
      <c r="A24" s="312"/>
      <c r="B24" s="306"/>
      <c r="C24" s="321"/>
      <c r="D24" s="306"/>
      <c r="E24" s="321"/>
      <c r="F24" s="306"/>
      <c r="G24" s="321"/>
      <c r="H24" s="306"/>
      <c r="I24" s="315"/>
      <c r="J24" s="306"/>
      <c r="K24" s="217"/>
    </row>
    <row r="25" spans="1:11" ht="15.75">
      <c r="A25" s="312"/>
      <c r="B25" s="306"/>
      <c r="C25" s="318"/>
      <c r="D25" s="306"/>
      <c r="E25" s="318"/>
      <c r="F25" s="306"/>
      <c r="G25" s="318"/>
      <c r="H25" s="306"/>
      <c r="I25" s="318"/>
      <c r="J25" s="306"/>
      <c r="K25" s="217"/>
    </row>
    <row r="26" spans="1:11" ht="15.75">
      <c r="A26" s="312"/>
      <c r="B26" s="306"/>
      <c r="C26" s="318"/>
      <c r="D26" s="306"/>
      <c r="E26" s="318"/>
      <c r="F26" s="306"/>
      <c r="G26" s="318"/>
      <c r="H26" s="306"/>
      <c r="I26" s="318"/>
      <c r="J26" s="306"/>
      <c r="K26" s="217"/>
    </row>
    <row r="27" spans="1:11" ht="15.75">
      <c r="A27" s="312"/>
      <c r="B27" s="306"/>
      <c r="C27" s="312"/>
      <c r="D27" s="306"/>
      <c r="E27" s="312"/>
      <c r="F27" s="306"/>
      <c r="G27" s="318"/>
      <c r="H27" s="306"/>
      <c r="I27" s="318"/>
      <c r="J27" s="306"/>
      <c r="K27" s="217"/>
    </row>
    <row r="28" spans="1:11" ht="15.75">
      <c r="A28" s="309" t="s">
        <v>174</v>
      </c>
      <c r="B28" s="308">
        <f>SUM(B20:B27)</f>
        <v>0</v>
      </c>
      <c r="C28" s="309" t="s">
        <v>174</v>
      </c>
      <c r="D28" s="308">
        <f>SUM(D20:D27)</f>
        <v>0</v>
      </c>
      <c r="E28" s="309" t="s">
        <v>174</v>
      </c>
      <c r="F28" s="322">
        <f>SUM(F20:F27)</f>
        <v>0</v>
      </c>
      <c r="G28" s="309" t="s">
        <v>174</v>
      </c>
      <c r="H28" s="322">
        <f>SUM(H20:H27)</f>
        <v>0</v>
      </c>
      <c r="I28" s="309" t="s">
        <v>174</v>
      </c>
      <c r="J28" s="308">
        <f>SUM(J20:J27)</f>
        <v>0</v>
      </c>
      <c r="K28" s="308">
        <f>SUM(B28+D28+F28+H28+J28)</f>
        <v>0</v>
      </c>
    </row>
    <row r="29" spans="1:12" ht="15.75">
      <c r="A29" s="309" t="s">
        <v>32</v>
      </c>
      <c r="B29" s="308">
        <f>SUM(B18-B28)</f>
        <v>0</v>
      </c>
      <c r="C29" s="309" t="s">
        <v>32</v>
      </c>
      <c r="D29" s="308">
        <f>SUM(D18-D28)</f>
        <v>0</v>
      </c>
      <c r="E29" s="309" t="s">
        <v>32</v>
      </c>
      <c r="F29" s="308">
        <f>SUM(F18-F28)</f>
        <v>0</v>
      </c>
      <c r="G29" s="309" t="s">
        <v>32</v>
      </c>
      <c r="H29" s="308">
        <f>SUM(H18-H28)</f>
        <v>0</v>
      </c>
      <c r="I29" s="309" t="s">
        <v>32</v>
      </c>
      <c r="J29" s="308">
        <f>SUM(J18-J28)</f>
        <v>0</v>
      </c>
      <c r="K29" s="323">
        <f>SUM(B29+D29+F29+H29+J29)</f>
        <v>0</v>
      </c>
      <c r="L29" s="51" t="s">
        <v>37</v>
      </c>
    </row>
    <row r="30" spans="1:12" ht="15.75">
      <c r="A30" s="309"/>
      <c r="B30" s="324">
        <f>IF(B29&lt;0,"See Tab B","")</f>
      </c>
      <c r="C30" s="309"/>
      <c r="D30" s="324">
        <f>IF(D29&lt;0,"See Tab B","")</f>
      </c>
      <c r="E30" s="309"/>
      <c r="F30" s="324">
        <f>IF(F29&lt;0,"See Tab B","")</f>
      </c>
      <c r="G30" s="129"/>
      <c r="H30" s="324">
        <f>IF(H29&lt;0,"See Tab B","")</f>
      </c>
      <c r="I30" s="129"/>
      <c r="J30" s="324">
        <f>IF(J29&lt;0,"See Tab B","")</f>
      </c>
      <c r="K30" s="323">
        <f>SUM(K7+K17-K28)</f>
        <v>0</v>
      </c>
      <c r="L30" s="51" t="s">
        <v>37</v>
      </c>
    </row>
    <row r="31" spans="1:11" ht="15.75">
      <c r="A31" s="129"/>
      <c r="B31" s="325"/>
      <c r="C31" s="129"/>
      <c r="D31" s="217"/>
      <c r="E31" s="129"/>
      <c r="F31" s="129"/>
      <c r="G31" s="61" t="s">
        <v>38</v>
      </c>
      <c r="H31" s="61"/>
      <c r="I31" s="61"/>
      <c r="J31" s="61"/>
      <c r="K31" s="129"/>
    </row>
    <row r="32" spans="1:11" ht="15.75">
      <c r="A32" s="129"/>
      <c r="B32" s="325"/>
      <c r="C32" s="129"/>
      <c r="D32" s="129"/>
      <c r="E32" s="129"/>
      <c r="F32" s="129"/>
      <c r="G32" s="129"/>
      <c r="H32" s="129"/>
      <c r="I32" s="129"/>
      <c r="J32" s="129"/>
      <c r="K32" s="129"/>
    </row>
    <row r="33" spans="1:11" ht="15.75">
      <c r="A33" s="129"/>
      <c r="B33" s="325"/>
      <c r="C33" s="129"/>
      <c r="D33" s="129"/>
      <c r="E33" s="326" t="s">
        <v>177</v>
      </c>
      <c r="F33" s="295"/>
      <c r="G33" s="129"/>
      <c r="H33" s="129"/>
      <c r="I33" s="129"/>
      <c r="J33" s="129"/>
      <c r="K33" s="129"/>
    </row>
    <row r="34" ht="15.75">
      <c r="B34" s="327"/>
    </row>
    <row r="35" ht="15.75">
      <c r="B35" s="327"/>
    </row>
    <row r="36" ht="15.75">
      <c r="B36" s="327"/>
    </row>
    <row r="37" ht="15.75">
      <c r="B37" s="327"/>
    </row>
    <row r="38" ht="15.75">
      <c r="B38" s="327"/>
    </row>
    <row r="39" ht="15.75">
      <c r="B39" s="327"/>
    </row>
    <row r="40" ht="15.75">
      <c r="B40" s="327"/>
    </row>
    <row r="41" ht="15.75">
      <c r="B41" s="32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C18" sqref="C18"/>
    </sheetView>
  </sheetViews>
  <sheetFormatPr defaultColWidth="8.796875" defaultRowHeight="15"/>
  <cols>
    <col min="1" max="1" width="70.59765625" style="126" customWidth="1"/>
    <col min="2" max="16384" width="8.8984375" style="126" customWidth="1"/>
  </cols>
  <sheetData>
    <row r="1" ht="18.75">
      <c r="A1" s="352" t="s">
        <v>345</v>
      </c>
    </row>
    <row r="2" ht="15.75">
      <c r="A2" s="1"/>
    </row>
    <row r="3" ht="57" customHeight="1">
      <c r="A3" s="353" t="s">
        <v>346</v>
      </c>
    </row>
    <row r="4" ht="15.75">
      <c r="A4" s="351"/>
    </row>
    <row r="5" ht="15.75">
      <c r="A5" s="1"/>
    </row>
    <row r="6" ht="44.25" customHeight="1">
      <c r="A6" s="353" t="s">
        <v>347</v>
      </c>
    </row>
    <row r="7" ht="15.75">
      <c r="A7" s="1"/>
    </row>
    <row r="8" ht="15.75">
      <c r="A8" s="351"/>
    </row>
    <row r="9" ht="46.5" customHeight="1">
      <c r="A9" s="353" t="s">
        <v>348</v>
      </c>
    </row>
    <row r="10" ht="15.75">
      <c r="A10" s="1"/>
    </row>
    <row r="11" ht="15.75">
      <c r="A11" s="351"/>
    </row>
    <row r="12" ht="60" customHeight="1">
      <c r="A12" s="353" t="s">
        <v>349</v>
      </c>
    </row>
    <row r="13" ht="15.75">
      <c r="A13" s="1"/>
    </row>
    <row r="14" ht="15.75">
      <c r="A14" s="1"/>
    </row>
    <row r="15" ht="61.5" customHeight="1">
      <c r="A15" s="353" t="s">
        <v>350</v>
      </c>
    </row>
    <row r="16" ht="15.75">
      <c r="A16" s="1"/>
    </row>
    <row r="17" ht="15.75">
      <c r="A17" s="1"/>
    </row>
    <row r="18" ht="59.25" customHeight="1">
      <c r="A18" s="353" t="s">
        <v>351</v>
      </c>
    </row>
    <row r="19" ht="15.75">
      <c r="A19" s="1"/>
    </row>
    <row r="20" ht="15.75">
      <c r="A20" s="1"/>
    </row>
    <row r="21" ht="61.5" customHeight="1">
      <c r="A21" s="353" t="s">
        <v>352</v>
      </c>
    </row>
    <row r="22" ht="15.75">
      <c r="A22" s="351"/>
    </row>
    <row r="23" ht="15.75">
      <c r="A23" s="351"/>
    </row>
    <row r="24" ht="63" customHeight="1">
      <c r="A24" s="353" t="s">
        <v>353</v>
      </c>
    </row>
    <row r="25" ht="15.75">
      <c r="A25" s="1"/>
    </row>
    <row r="26" ht="15.75">
      <c r="A26" s="1"/>
    </row>
    <row r="27" ht="52.5" customHeight="1">
      <c r="A27" s="498" t="s">
        <v>665</v>
      </c>
    </row>
    <row r="28" ht="15.75">
      <c r="A28" s="1"/>
    </row>
    <row r="29" ht="15.75">
      <c r="A29" s="1"/>
    </row>
    <row r="30" ht="44.25" customHeight="1">
      <c r="A30" s="353" t="s">
        <v>354</v>
      </c>
    </row>
    <row r="31" ht="15.75">
      <c r="A31" s="1"/>
    </row>
    <row r="32" ht="15.75">
      <c r="A32" s="1"/>
    </row>
    <row r="33" ht="42.75" customHeight="1">
      <c r="A33" s="353" t="s">
        <v>355</v>
      </c>
    </row>
    <row r="34" ht="15.75">
      <c r="A34" s="351"/>
    </row>
    <row r="35" ht="15.75">
      <c r="A35" s="351"/>
    </row>
    <row r="36" ht="38.25" customHeight="1">
      <c r="A36" s="353" t="s">
        <v>356</v>
      </c>
    </row>
    <row r="37" ht="15.75">
      <c r="A37" s="351"/>
    </row>
    <row r="38" ht="15.75">
      <c r="A38" s="1"/>
    </row>
    <row r="39" ht="75.75" customHeight="1">
      <c r="A39" s="353" t="s">
        <v>357</v>
      </c>
    </row>
    <row r="40" ht="15.75">
      <c r="A40" s="1"/>
    </row>
    <row r="41" ht="15.75">
      <c r="A41" s="1"/>
    </row>
    <row r="42" ht="57.75" customHeight="1">
      <c r="A42" s="353" t="s">
        <v>358</v>
      </c>
    </row>
    <row r="43" ht="15.75">
      <c r="A43" s="351"/>
    </row>
    <row r="44" ht="15.75">
      <c r="A44" s="1"/>
    </row>
    <row r="45" ht="57.75" customHeight="1">
      <c r="A45" s="353" t="s">
        <v>359</v>
      </c>
    </row>
    <row r="46" ht="15.75">
      <c r="A46" s="1"/>
    </row>
    <row r="47" ht="15.75">
      <c r="A47" s="1"/>
    </row>
    <row r="48" ht="41.25" customHeight="1">
      <c r="A48" s="353" t="s">
        <v>360</v>
      </c>
    </row>
    <row r="49" ht="15.75">
      <c r="A49" s="1"/>
    </row>
    <row r="50" ht="15.75">
      <c r="A50" s="1"/>
    </row>
    <row r="51" ht="75" customHeight="1">
      <c r="A51" s="353" t="s">
        <v>361</v>
      </c>
    </row>
    <row r="52" ht="15.75">
      <c r="A52" s="351"/>
    </row>
    <row r="53" ht="15.75">
      <c r="A53" s="351"/>
    </row>
    <row r="54" ht="57.75" customHeight="1">
      <c r="A54" s="353" t="s">
        <v>362</v>
      </c>
    </row>
    <row r="55" ht="15.75">
      <c r="A55" s="1"/>
    </row>
    <row r="56" ht="15.75">
      <c r="A56" s="1"/>
    </row>
    <row r="57" ht="44.25" customHeight="1">
      <c r="A57" s="353" t="s">
        <v>363</v>
      </c>
    </row>
    <row r="58" ht="15.75">
      <c r="A58" s="1"/>
    </row>
    <row r="59" ht="15.75">
      <c r="A59" s="1"/>
    </row>
    <row r="60" ht="60" customHeight="1">
      <c r="A60" s="353" t="s">
        <v>364</v>
      </c>
    </row>
    <row r="61" ht="15.75">
      <c r="A61" s="351"/>
    </row>
    <row r="62" ht="15.75">
      <c r="A62" s="351"/>
    </row>
    <row r="63" ht="57.75" customHeight="1">
      <c r="A63" s="353" t="s">
        <v>365</v>
      </c>
    </row>
    <row r="64" ht="15.75">
      <c r="A64" s="1"/>
    </row>
    <row r="65" ht="15.75">
      <c r="A65" s="1"/>
    </row>
    <row r="66" ht="60" customHeight="1">
      <c r="A66" s="353"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H15" sqref="H15"/>
    </sheetView>
  </sheetViews>
  <sheetFormatPr defaultColWidth="8.796875" defaultRowHeight="15"/>
  <cols>
    <col min="1" max="1" width="13.796875" style="0" customWidth="1"/>
    <col min="2" max="2" width="16.09765625" style="0" customWidth="1"/>
  </cols>
  <sheetData>
    <row r="1" ht="15">
      <c r="J1" s="632" t="s">
        <v>804</v>
      </c>
    </row>
    <row r="2" spans="1:10" ht="54" customHeight="1">
      <c r="A2" s="827" t="s">
        <v>393</v>
      </c>
      <c r="B2" s="828"/>
      <c r="C2" s="828"/>
      <c r="D2" s="828"/>
      <c r="E2" s="828"/>
      <c r="F2" s="828"/>
      <c r="J2" s="632" t="s">
        <v>805</v>
      </c>
    </row>
    <row r="3" spans="1:10" ht="15.75">
      <c r="A3" s="1" t="s">
        <v>816</v>
      </c>
      <c r="B3" s="373" t="s">
        <v>1100</v>
      </c>
      <c r="C3" s="625"/>
      <c r="J3" s="632" t="s">
        <v>806</v>
      </c>
    </row>
    <row r="4" spans="1:10" ht="15.75">
      <c r="A4" s="1"/>
      <c r="B4" s="638"/>
      <c r="J4" s="632" t="s">
        <v>807</v>
      </c>
    </row>
    <row r="5" spans="1:10" ht="15.75">
      <c r="A5" s="1" t="s">
        <v>642</v>
      </c>
      <c r="B5" s="373" t="s">
        <v>297</v>
      </c>
      <c r="J5" s="632" t="s">
        <v>808</v>
      </c>
    </row>
    <row r="6" spans="1:10" ht="15.75">
      <c r="A6" s="371"/>
      <c r="B6" s="371"/>
      <c r="C6" s="371"/>
      <c r="D6" s="372" t="s">
        <v>395</v>
      </c>
      <c r="E6" s="371"/>
      <c r="F6" s="371"/>
      <c r="J6" s="632" t="s">
        <v>809</v>
      </c>
    </row>
    <row r="7" spans="1:10" ht="15.75">
      <c r="A7" s="372" t="s">
        <v>394</v>
      </c>
      <c r="B7" s="373" t="s">
        <v>1080</v>
      </c>
      <c r="C7" s="374"/>
      <c r="D7" s="624" t="str">
        <f>IF(B7="","",CONCATENATE("Latest date for notice to be published in your newspaper: ",G18," ",G22,", ",G23))</f>
        <v>Latest date for notice to be published in your newspaper: August 4, 2013</v>
      </c>
      <c r="E7" s="371"/>
      <c r="F7" s="371"/>
      <c r="J7" s="632" t="s">
        <v>810</v>
      </c>
    </row>
    <row r="8" spans="1:10" ht="15.75">
      <c r="A8" s="372"/>
      <c r="B8" s="375"/>
      <c r="C8" s="376"/>
      <c r="D8" s="624"/>
      <c r="E8" s="371"/>
      <c r="F8" s="371"/>
      <c r="J8" s="632" t="s">
        <v>811</v>
      </c>
    </row>
    <row r="9" spans="1:10" ht="15.75">
      <c r="A9" s="372" t="s">
        <v>396</v>
      </c>
      <c r="B9" s="625" t="s">
        <v>1081</v>
      </c>
      <c r="C9" s="377"/>
      <c r="D9" s="372"/>
      <c r="E9" s="371"/>
      <c r="F9" s="371"/>
      <c r="J9" s="632" t="s">
        <v>812</v>
      </c>
    </row>
    <row r="10" spans="1:10" ht="15.75">
      <c r="A10" s="372"/>
      <c r="B10" s="624"/>
      <c r="C10" s="372"/>
      <c r="D10" s="372"/>
      <c r="E10" s="371"/>
      <c r="F10" s="371"/>
      <c r="J10" s="632" t="s">
        <v>813</v>
      </c>
    </row>
    <row r="11" spans="1:10" ht="15.75">
      <c r="A11" s="372" t="s">
        <v>397</v>
      </c>
      <c r="B11" s="626" t="s">
        <v>402</v>
      </c>
      <c r="C11" s="378"/>
      <c r="D11" s="378"/>
      <c r="E11" s="379"/>
      <c r="F11" s="371"/>
      <c r="J11" s="632" t="s">
        <v>814</v>
      </c>
    </row>
    <row r="12" spans="1:10" ht="15.75">
      <c r="A12" s="372"/>
      <c r="B12" s="624"/>
      <c r="C12" s="372"/>
      <c r="D12" s="372"/>
      <c r="E12" s="371"/>
      <c r="F12" s="371"/>
      <c r="J12" s="632" t="s">
        <v>815</v>
      </c>
    </row>
    <row r="13" spans="1:6" ht="15.75">
      <c r="A13" s="372"/>
      <c r="B13" s="624"/>
      <c r="C13" s="372"/>
      <c r="D13" s="372"/>
      <c r="E13" s="371"/>
      <c r="F13" s="371"/>
    </row>
    <row r="14" spans="1:6" ht="15.75">
      <c r="A14" s="372" t="s">
        <v>398</v>
      </c>
      <c r="B14" s="626" t="s">
        <v>402</v>
      </c>
      <c r="C14" s="378"/>
      <c r="D14" s="378"/>
      <c r="E14" s="379"/>
      <c r="F14" s="371"/>
    </row>
    <row r="17" spans="1:6" ht="15.75">
      <c r="A17" s="829" t="s">
        <v>399</v>
      </c>
      <c r="B17" s="829"/>
      <c r="C17" s="372"/>
      <c r="D17" s="372"/>
      <c r="E17" s="372"/>
      <c r="F17" s="371"/>
    </row>
    <row r="18" spans="1:7" ht="15.75">
      <c r="A18" s="372"/>
      <c r="B18" s="372"/>
      <c r="C18" s="372"/>
      <c r="D18" s="372"/>
      <c r="E18" s="372"/>
      <c r="F18" s="371"/>
      <c r="G18" s="632" t="str">
        <f ca="1">IF(B7="","",INDIRECT(G19))</f>
        <v>August</v>
      </c>
    </row>
    <row r="19" spans="1:7" ht="15.75">
      <c r="A19" s="372" t="s">
        <v>642</v>
      </c>
      <c r="B19" s="372" t="s">
        <v>643</v>
      </c>
      <c r="C19" s="372"/>
      <c r="D19" s="372"/>
      <c r="E19" s="372"/>
      <c r="F19" s="371"/>
      <c r="G19" s="633" t="str">
        <f>IF(B7="","",CONCATENATE("J",G21))</f>
        <v>J8</v>
      </c>
    </row>
    <row r="20" spans="1:7" ht="15.75">
      <c r="A20" s="372"/>
      <c r="B20" s="372"/>
      <c r="C20" s="372"/>
      <c r="D20" s="372"/>
      <c r="E20" s="372"/>
      <c r="F20" s="371"/>
      <c r="G20" s="634">
        <f>B7-10</f>
        <v>41490</v>
      </c>
    </row>
    <row r="21" spans="1:7" ht="15.75">
      <c r="A21" s="372" t="s">
        <v>394</v>
      </c>
      <c r="B21" s="375" t="s">
        <v>400</v>
      </c>
      <c r="C21" s="372"/>
      <c r="D21" s="372"/>
      <c r="E21" s="372"/>
      <c r="G21" s="635">
        <f>IF(B7="","",MONTH(G20))</f>
        <v>8</v>
      </c>
    </row>
    <row r="22" spans="1:7" ht="15.75">
      <c r="A22" s="372"/>
      <c r="B22" s="372"/>
      <c r="C22" s="372"/>
      <c r="D22" s="372"/>
      <c r="E22" s="372"/>
      <c r="G22" s="636">
        <f>IF(B7="","",DAY(G20))</f>
        <v>4</v>
      </c>
    </row>
    <row r="23" spans="1:7" ht="15.75">
      <c r="A23" s="372" t="s">
        <v>396</v>
      </c>
      <c r="B23" s="372" t="s">
        <v>401</v>
      </c>
      <c r="C23" s="372"/>
      <c r="D23" s="372"/>
      <c r="E23" s="372"/>
      <c r="G23" s="637">
        <f>IF(B7="","",YEAR(G20))</f>
        <v>2013</v>
      </c>
    </row>
    <row r="24" spans="1:5" ht="15.75">
      <c r="A24" s="372"/>
      <c r="B24" s="372"/>
      <c r="C24" s="372"/>
      <c r="D24" s="372"/>
      <c r="E24" s="372"/>
    </row>
    <row r="25" spans="1:5" ht="15.75">
      <c r="A25" s="372" t="s">
        <v>397</v>
      </c>
      <c r="B25" s="372" t="s">
        <v>402</v>
      </c>
      <c r="C25" s="372"/>
      <c r="D25" s="372"/>
      <c r="E25" s="372"/>
    </row>
    <row r="26" spans="1:5" ht="15.75">
      <c r="A26" s="372"/>
      <c r="B26" s="372"/>
      <c r="C26" s="372"/>
      <c r="D26" s="372"/>
      <c r="E26" s="372"/>
    </row>
    <row r="27" spans="1:5" ht="15.75">
      <c r="A27" s="372" t="s">
        <v>398</v>
      </c>
      <c r="B27" s="372" t="s">
        <v>402</v>
      </c>
      <c r="C27" s="372"/>
      <c r="D27" s="372"/>
      <c r="E27" s="372"/>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H7" sqref="H7"/>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218</v>
      </c>
      <c r="D2" s="64"/>
      <c r="E2" s="64"/>
      <c r="F2" s="163"/>
    </row>
    <row r="3" spans="1:6" s="65" customFormat="1" ht="15" customHeight="1">
      <c r="A3" s="830" t="str">
        <f>CONCATENATE("To the Clerk of ",inputPrYr!D3,", State of Kansas")</f>
        <v>To the Clerk of Marshall County, State of Kansas</v>
      </c>
      <c r="B3" s="822"/>
      <c r="C3" s="822"/>
      <c r="D3" s="822"/>
      <c r="E3" s="822"/>
      <c r="F3" s="822"/>
    </row>
    <row r="4" spans="1:6" s="65" customFormat="1" ht="15" customHeight="1">
      <c r="A4" s="74" t="s">
        <v>641</v>
      </c>
      <c r="B4" s="73"/>
      <c r="C4" s="73"/>
      <c r="D4" s="73"/>
      <c r="E4" s="73"/>
      <c r="F4" s="73"/>
    </row>
    <row r="5" spans="1:6" s="65" customFormat="1" ht="15" customHeight="1">
      <c r="A5" s="64"/>
      <c r="B5" s="64"/>
      <c r="C5" s="429" t="str">
        <f>(inputPrYr!D2)</f>
        <v>City of Blue Rapids</v>
      </c>
      <c r="D5" s="64"/>
      <c r="E5" s="64"/>
      <c r="F5" s="64"/>
    </row>
    <row r="6" spans="1:6" s="65" customFormat="1" ht="15" customHeight="1">
      <c r="A6" s="74" t="s">
        <v>138</v>
      </c>
      <c r="B6" s="73"/>
      <c r="C6" s="73"/>
      <c r="D6" s="73"/>
      <c r="E6" s="73"/>
      <c r="F6" s="73"/>
    </row>
    <row r="7" spans="1:6" s="65" customFormat="1" ht="15" customHeight="1">
      <c r="A7" s="74" t="s">
        <v>139</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164</v>
      </c>
      <c r="F11" s="171"/>
    </row>
    <row r="12" spans="1:6" ht="16.5" customHeight="1">
      <c r="A12" s="166"/>
      <c r="B12" s="64"/>
      <c r="C12" s="172"/>
      <c r="D12" s="174"/>
      <c r="E12" s="831" t="str">
        <f>CONCATENATE("Amount of ",$F$1-1," Ad Valorem Tax")</f>
        <v>Amount of 2013 Ad Valorem Tax</v>
      </c>
      <c r="F12" s="174" t="s">
        <v>141</v>
      </c>
    </row>
    <row r="13" spans="1:6" ht="14.25" customHeight="1">
      <c r="A13" s="64"/>
      <c r="B13" s="64"/>
      <c r="C13" s="174" t="s">
        <v>142</v>
      </c>
      <c r="D13" s="175" t="s">
        <v>51</v>
      </c>
      <c r="E13" s="832"/>
      <c r="F13" s="175" t="s">
        <v>143</v>
      </c>
    </row>
    <row r="14" spans="1:6" ht="14.25" customHeight="1">
      <c r="A14" s="176" t="s">
        <v>144</v>
      </c>
      <c r="B14" s="103"/>
      <c r="C14" s="177" t="s">
        <v>145</v>
      </c>
      <c r="D14" s="177" t="s">
        <v>652</v>
      </c>
      <c r="E14" s="833"/>
      <c r="F14" s="177" t="s">
        <v>147</v>
      </c>
    </row>
    <row r="15" spans="1:6" ht="15" customHeight="1">
      <c r="A15" s="178" t="s">
        <v>306</v>
      </c>
      <c r="B15" s="179">
        <f>inputPrYr!$C$5</f>
        <v>2014</v>
      </c>
      <c r="C15" s="180">
        <v>2</v>
      </c>
      <c r="D15" s="96"/>
      <c r="E15" s="96"/>
      <c r="F15" s="181"/>
    </row>
    <row r="16" spans="1:6" ht="15" customHeight="1">
      <c r="A16" s="173" t="s">
        <v>956</v>
      </c>
      <c r="B16" s="182"/>
      <c r="C16" s="180">
        <v>3</v>
      </c>
      <c r="D16" s="96"/>
      <c r="E16" s="96"/>
      <c r="F16" s="168"/>
    </row>
    <row r="17" spans="1:6" ht="15" customHeight="1">
      <c r="A17" s="178" t="s">
        <v>284</v>
      </c>
      <c r="B17" s="116"/>
      <c r="C17" s="183">
        <v>4</v>
      </c>
      <c r="D17" s="96"/>
      <c r="E17" s="96"/>
      <c r="F17" s="168"/>
    </row>
    <row r="18" spans="1:6" ht="15" customHeight="1">
      <c r="A18" s="178" t="s">
        <v>148</v>
      </c>
      <c r="B18" s="116"/>
      <c r="C18" s="183">
        <v>5</v>
      </c>
      <c r="D18" s="96"/>
      <c r="E18" s="96"/>
      <c r="F18" s="168"/>
    </row>
    <row r="19" spans="1:7" ht="15" customHeight="1">
      <c r="A19" s="178" t="s">
        <v>149</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150</v>
      </c>
      <c r="B21" s="186" t="s">
        <v>151</v>
      </c>
      <c r="C21" s="187"/>
      <c r="D21" s="96"/>
      <c r="E21" s="96"/>
      <c r="F21" s="168"/>
    </row>
    <row r="22" spans="1:6" ht="15" customHeight="1">
      <c r="A22" s="85" t="s">
        <v>130</v>
      </c>
      <c r="B22" s="188" t="str">
        <f>inputPrYr!C17</f>
        <v>12-101a</v>
      </c>
      <c r="C22" s="180">
        <f>IF(general!C74&gt;0,general!C74,"")</f>
        <v>8</v>
      </c>
      <c r="D22" s="425">
        <f>IF((general!$E$64)&lt;&gt;0,general!$E$64,"")</f>
        <v>848226</v>
      </c>
      <c r="E22" s="646">
        <f>IF((general!$E$71)&lt;&gt;0,(general!$E$71),0)</f>
        <v>238490.94000000006</v>
      </c>
      <c r="F22" s="650">
        <f aca="true" t="shared" si="0" ref="F22:F28">IF($F$39=0,"",ROUND(E22/$F$39*1000,3))</f>
      </c>
    </row>
    <row r="23" spans="1:6" ht="15" customHeight="1">
      <c r="A23" s="85" t="s">
        <v>988</v>
      </c>
      <c r="B23" s="188" t="s">
        <v>989</v>
      </c>
      <c r="C23" s="180">
        <f>IF('DebtSvs-Library'!C75&gt;0,'DebtSvs-Library'!C75,"")</f>
        <v>9</v>
      </c>
      <c r="D23" s="425">
        <f>IF(('DebtSvs-Library'!$E$33)&lt;&gt;0,('DebtSvs-Library'!$E$33),"")</f>
        <v>38121</v>
      </c>
      <c r="E23" s="646">
        <f>IF(('DebtSvs-Library'!$E$40)&lt;&gt;0,('DebtSvs-Library'!$E$40),0)</f>
        <v>19471.38</v>
      </c>
      <c r="F23" s="650">
        <f t="shared" si="0"/>
      </c>
    </row>
    <row r="24" spans="1:6" ht="15" customHeight="1">
      <c r="A24" s="108" t="str">
        <f>IF((inputPrYr!$B21&gt;"  "),(inputPrYr!$B21),"  ")</f>
        <v>Library</v>
      </c>
      <c r="B24" s="188" t="s">
        <v>990</v>
      </c>
      <c r="C24" s="180">
        <f>IF('DebtSvs-Library'!C75&gt;0,'DebtSvs-Library'!C75,"")</f>
        <v>9</v>
      </c>
      <c r="D24" s="425">
        <f>IF(('DebtSvs-Library'!$E$65)&lt;&gt;0,('DebtSvs-Library'!$E$65),"")</f>
        <v>20828</v>
      </c>
      <c r="E24" s="646">
        <f>IF(('DebtSvs-Library'!$E$72)&lt;&gt;0,('DebtSvs-Library'!$E$72),0)</f>
        <v>17448</v>
      </c>
      <c r="F24" s="650">
        <f t="shared" si="0"/>
      </c>
    </row>
    <row r="25" spans="1:6" ht="15" customHeight="1">
      <c r="A25" s="108" t="str">
        <f>IF((inputPrYr!$B22&gt;"  "),(inputPrYr!$B22),"  ")</f>
        <v>  </v>
      </c>
      <c r="B25" s="188"/>
      <c r="C25" s="180" t="str">
        <f>IF('levy page9'!C83&gt;0,'levy page9'!C83," ")</f>
        <v> </v>
      </c>
      <c r="D25" s="425">
        <f>IF(('levy page9'!$E$33)&lt;&gt;0,('levy page9'!$E$33),"")</f>
      </c>
      <c r="E25" s="646">
        <f>IF(('levy page9'!$E$40)&lt;&gt;0,('levy page9'!$E$40),0)</f>
        <v>0</v>
      </c>
      <c r="F25" s="650">
        <f t="shared" si="0"/>
      </c>
    </row>
    <row r="26" spans="1:6" ht="15" customHeight="1">
      <c r="A26" s="838" t="str">
        <f>IF((inputPrYr!$B28&gt;"  "),(inputPrYr!$B28),"  ")</f>
        <v>Special Highway</v>
      </c>
      <c r="B26" s="839"/>
      <c r="C26" s="183">
        <f>IF(SpecHwyWaterSewer!C70&gt;0,SpecHwyWaterSewer!C70," ")</f>
        <v>10</v>
      </c>
      <c r="D26" s="425">
        <f>IF((SpecHwyWaterSewer!$E$24)&lt;&gt;0,(SpecHwyWaterSewer!$E$24),"")</f>
        <v>27180</v>
      </c>
      <c r="E26" s="798">
        <f>IF(('levy page9'!$E$80)&lt;&gt;0,('levy page9'!$E$80),0)</f>
        <v>0</v>
      </c>
      <c r="F26" s="650">
        <f t="shared" si="0"/>
      </c>
    </row>
    <row r="27" spans="1:6" ht="15" customHeight="1">
      <c r="A27" s="838" t="str">
        <f>IF((inputPrYr!$B29&gt;"  "),(inputPrYr!$B29),"  ")</f>
        <v>Water/Sewer/Refuse</v>
      </c>
      <c r="B27" s="839"/>
      <c r="C27" s="183">
        <f>IF(SpecHwyWaterSewer!C70&gt;0,SpecHwyWaterSewer!C70," ")</f>
        <v>10</v>
      </c>
      <c r="D27" s="425">
        <f>IF((SpecHwyWaterSewer!$E$64)&lt;&gt;0,(SpecHwyWaterSewer!$E$64),"")</f>
        <v>543869</v>
      </c>
      <c r="E27" s="798">
        <f>IF(('levy page10'!$E$40)&lt;&gt;0,('levy page10'!$E$40),0)</f>
        <v>0</v>
      </c>
      <c r="F27" s="650">
        <f t="shared" si="0"/>
      </c>
    </row>
    <row r="28" spans="1:6" ht="15" customHeight="1">
      <c r="A28" s="838" t="str">
        <f>IF((inputPrYr!$B30&gt;"  "),(inputPrYr!$B30),"  ")</f>
        <v>Capital Improvement</v>
      </c>
      <c r="B28" s="839"/>
      <c r="C28" s="183">
        <f>IF(CapImprovUtility!C53&gt;0,CapImprovUtility!C53," ")</f>
        <v>11</v>
      </c>
      <c r="D28" s="425">
        <f>IF((CapImprovUtility!$E$21)&lt;&gt;0,(CapImprovUtility!$E$21),"")</f>
        <v>103034</v>
      </c>
      <c r="E28" s="798" t="s">
        <v>1107</v>
      </c>
      <c r="F28" s="650">
        <f t="shared" si="0"/>
      </c>
    </row>
    <row r="29" spans="1:6" ht="15" customHeight="1">
      <c r="A29" s="178" t="str">
        <f>IF((inputPrYr!$B31&gt;"  "),(inputPrYr!$B31),"  ")</f>
        <v>Utility System Reserve</v>
      </c>
      <c r="B29" s="765"/>
      <c r="C29" s="183">
        <f>IF(CapImprovUtility!C53&gt;0,CapImprovUtility!C53," ")</f>
        <v>11</v>
      </c>
      <c r="D29" s="425">
        <f>IF((CapImprovUtility!$E$47)&lt;&gt;0,(CapImprovUtility!$E$47),"")</f>
        <v>76755</v>
      </c>
      <c r="E29" s="187"/>
      <c r="F29" s="187"/>
    </row>
    <row r="30" spans="1:6" ht="15" customHeight="1">
      <c r="A30" s="190" t="str">
        <f>IF((inputPrYr!$B36&gt;"  "),(inputPrYr!$B36),"  ")</f>
        <v>Spec. Law Enf. Trust Fund</v>
      </c>
      <c r="B30" s="116"/>
      <c r="C30" s="183">
        <f>IF(SpecLawStormSewer!C55&gt;0,SpecLawStormSewer!C55," ")</f>
        <v>12</v>
      </c>
      <c r="D30" s="425">
        <f>IF((SpecLawStormSewer!$E$20)&lt;&gt;0,(SpecLawStormSewer!$E$20),"")</f>
        <v>1200</v>
      </c>
      <c r="E30" s="187" t="s">
        <v>1107</v>
      </c>
      <c r="F30" s="187"/>
    </row>
    <row r="31" spans="1:6" ht="15" customHeight="1">
      <c r="A31" s="191" t="str">
        <f>IF((inputPrYr!$B39&gt;"  "),(inputPrYr!$B39),"  ")</f>
        <v>Storm Sewer Capital Project Fund</v>
      </c>
      <c r="B31" s="116"/>
      <c r="C31" s="183">
        <f>IF(SpecLawStormSewer!C55&gt;0,SpecLawStormSewer!C55," ")</f>
        <v>12</v>
      </c>
      <c r="D31" s="425">
        <f>IF((SpecLawStormSewer!$E$49)&lt;&gt;0,(SpecLawStormSewer!$E$49),"")</f>
      </c>
      <c r="E31" s="187" t="s">
        <v>1107</v>
      </c>
      <c r="F31" s="187"/>
    </row>
    <row r="32" spans="1:6" ht="15" customHeight="1">
      <c r="A32" s="191" t="str">
        <f>IF((inputPrYr!$B35&gt;"  "),(inputPrYr!$B35),"  ")</f>
        <v>Housing Grant Fund</v>
      </c>
      <c r="B32" s="116"/>
      <c r="C32" s="183">
        <f>IF(HousingGrantPoolImprov!C59&gt;0,HousingGrantPoolImprov!C59," ")</f>
        <v>13</v>
      </c>
      <c r="D32" s="425">
        <f>IF((HousingGrantPoolImprov!$E$24)&lt;&gt;0,(HousingGrantPoolImprov!$E$24),"")</f>
      </c>
      <c r="E32" s="187" t="s">
        <v>1107</v>
      </c>
      <c r="F32" s="187"/>
    </row>
    <row r="33" spans="1:6" ht="15" customHeight="1">
      <c r="A33" s="191" t="str">
        <f>IF((inputPrYr!$B40&gt;"  "),(inputPrYr!$B40),"  ")</f>
        <v>Pool Improvement Fund</v>
      </c>
      <c r="B33" s="116"/>
      <c r="C33" s="183">
        <f>IF(HousingGrantPoolImprov!C59&gt;0,HousingGrantPoolImprov!C59," ")</f>
        <v>13</v>
      </c>
      <c r="D33" s="425">
        <f>IF((HousingGrantPoolImprov!$E$50)&lt;&gt;0,(HousingGrantPoolImprov!$E$50),"")</f>
        <v>19609</v>
      </c>
      <c r="E33" s="187" t="s">
        <v>1107</v>
      </c>
      <c r="F33" s="187"/>
    </row>
    <row r="34" spans="1:6" ht="15" customHeight="1">
      <c r="A34" s="192" t="str">
        <f>IF((inputPrYr!$B42&gt;"  "),(inputPrYr!$B42),"  ")</f>
        <v>  </v>
      </c>
      <c r="B34" s="116"/>
      <c r="C34" s="183" t="str">
        <f>IF(HousingGrantPoolImprov!C61&gt;0,HousingGrantPoolImprov!C61," ")</f>
        <v> </v>
      </c>
      <c r="D34" s="425">
        <f>IF((HousingGrantPoolImprov!$E$24)&lt;&gt;0,(HousingGrantPoolImprov!$E$24),"")</f>
      </c>
      <c r="E34" s="187"/>
      <c r="F34" s="187"/>
    </row>
    <row r="35" spans="1:6" ht="15" customHeight="1">
      <c r="A35" s="191" t="str">
        <f>IF((inputPrYr!$B43&gt;"  "),(inputPrYr!$B43),"  ")</f>
        <v>  </v>
      </c>
      <c r="B35" s="116"/>
      <c r="C35" s="183" t="str">
        <f>IF(HousingGrantPoolImprov!C62&gt;0,HousingGrantPoolImprov!C62," ")</f>
        <v> </v>
      </c>
      <c r="D35" s="425">
        <f>IF((HousingGrantPoolImprov!$E$24)&lt;&gt;0,(HousingGrantPoolImprov!$E$24),"")</f>
      </c>
      <c r="E35" s="187"/>
      <c r="F35" s="187"/>
    </row>
    <row r="36" spans="1:6" ht="15" customHeight="1" thickBot="1">
      <c r="A36" s="190" t="str">
        <f>IF((inputPrYr!$B39&gt;"  "),(nonbud!$A3),"  ")</f>
        <v>Non-Budgeted Funds</v>
      </c>
      <c r="B36" s="116"/>
      <c r="C36" s="183" t="str">
        <f>IF(nonbud!F33&gt;0,nonbud!F33," ")</f>
        <v> </v>
      </c>
      <c r="D36" s="647"/>
      <c r="E36" s="648"/>
      <c r="F36" s="580"/>
    </row>
    <row r="37" spans="1:6" ht="16.5" customHeight="1">
      <c r="A37" s="287" t="s">
        <v>750</v>
      </c>
      <c r="B37" s="115"/>
      <c r="C37" s="428" t="s">
        <v>152</v>
      </c>
      <c r="D37" s="649">
        <f>SUM(D22:D36)</f>
        <v>1678822</v>
      </c>
      <c r="E37" s="649">
        <f>SUM(E22:E35)</f>
        <v>275410.32000000007</v>
      </c>
      <c r="F37" s="579">
        <f>IF(SUM(F22:F36)=0,"",SUM(F22:F36))</f>
      </c>
    </row>
    <row r="38" spans="1:6" ht="16.5" customHeight="1">
      <c r="A38" s="435" t="s">
        <v>36</v>
      </c>
      <c r="B38" s="434"/>
      <c r="C38" s="433"/>
      <c r="D38" s="432"/>
      <c r="E38" s="431" t="str">
        <f>IF(E37&gt;computation!J40,"Yes","No")</f>
        <v>Yes</v>
      </c>
      <c r="F38" s="427" t="s">
        <v>289</v>
      </c>
    </row>
    <row r="39" spans="1:6" ht="15" customHeight="1">
      <c r="A39" s="173" t="s">
        <v>25</v>
      </c>
      <c r="B39" s="182"/>
      <c r="C39" s="175">
        <f>summ!D52</f>
        <v>14</v>
      </c>
      <c r="D39" s="194"/>
      <c r="E39" s="64"/>
      <c r="F39" s="430"/>
    </row>
    <row r="40" spans="1:6" ht="15" customHeight="1">
      <c r="A40" s="85" t="s">
        <v>121</v>
      </c>
      <c r="B40" s="86"/>
      <c r="C40" s="180">
        <f>IF(Nhood!C32&gt;0,Nhood!C32,"")</f>
        <v>15</v>
      </c>
      <c r="D40" s="194"/>
      <c r="E40" s="64"/>
      <c r="F40" s="836" t="str">
        <f>CONCATENATE("Nov 1, ",F1-1," Total Assessed Valuation")</f>
        <v>Nov 1, 2013 Total Assessed Valuation</v>
      </c>
    </row>
    <row r="41" spans="1:6" ht="15" customHeight="1">
      <c r="A41" s="463" t="s">
        <v>1108</v>
      </c>
      <c r="B41" s="461"/>
      <c r="C41" s="464"/>
      <c r="D41" s="465"/>
      <c r="E41" s="466"/>
      <c r="F41" s="837"/>
    </row>
    <row r="42" spans="1:6" ht="15" customHeight="1">
      <c r="A42" s="69" t="s">
        <v>153</v>
      </c>
      <c r="B42" s="96"/>
      <c r="C42" s="195"/>
      <c r="D42" s="96"/>
      <c r="E42" s="64"/>
      <c r="F42" s="64"/>
    </row>
    <row r="43" spans="1:6" ht="15" customHeight="1">
      <c r="A43" s="369" t="s">
        <v>998</v>
      </c>
      <c r="B43" s="64"/>
      <c r="C43" s="64"/>
      <c r="D43" s="461"/>
      <c r="E43" s="462"/>
      <c r="F43" s="64"/>
    </row>
    <row r="44" spans="1:6" ht="15" customHeight="1">
      <c r="A44" s="196"/>
      <c r="B44" s="64"/>
      <c r="C44" s="477" t="s">
        <v>827</v>
      </c>
      <c r="D44" s="96"/>
      <c r="E44" s="477"/>
      <c r="F44" s="477"/>
    </row>
    <row r="45" spans="1:6" ht="15" customHeight="1">
      <c r="A45" s="64" t="s">
        <v>304</v>
      </c>
      <c r="B45" s="96"/>
      <c r="C45" s="96"/>
      <c r="D45" s="96"/>
      <c r="E45" s="96"/>
      <c r="F45" s="96"/>
    </row>
    <row r="46" spans="1:6" ht="15" customHeight="1">
      <c r="A46" s="369" t="s">
        <v>999</v>
      </c>
      <c r="B46" s="368"/>
      <c r="C46" s="477" t="s">
        <v>827</v>
      </c>
      <c r="D46" s="96"/>
      <c r="E46" s="96"/>
      <c r="F46" s="96"/>
    </row>
    <row r="47" spans="1:6" ht="15" customHeight="1">
      <c r="A47" s="196" t="s">
        <v>1000</v>
      </c>
      <c r="B47" s="96"/>
      <c r="C47" s="99"/>
      <c r="D47" s="96"/>
      <c r="E47" s="96"/>
      <c r="F47" s="96"/>
    </row>
    <row r="48" spans="1:6" ht="15" customHeight="1">
      <c r="A48" s="96" t="s">
        <v>955</v>
      </c>
      <c r="B48" s="64"/>
      <c r="C48" s="477" t="s">
        <v>827</v>
      </c>
      <c r="D48" s="96"/>
      <c r="E48" s="651"/>
      <c r="F48" s="651"/>
    </row>
    <row r="49" spans="1:6" ht="15" customHeight="1">
      <c r="A49" s="766" t="s">
        <v>1001</v>
      </c>
      <c r="B49" s="69"/>
      <c r="C49" s="96"/>
      <c r="D49" s="96"/>
      <c r="E49" s="651"/>
      <c r="F49" s="651"/>
    </row>
    <row r="50" spans="1:6" ht="15" customHeight="1">
      <c r="A50" s="368"/>
      <c r="B50" s="64"/>
      <c r="C50" s="477" t="s">
        <v>827</v>
      </c>
      <c r="D50" s="96"/>
      <c r="E50" s="651"/>
      <c r="F50" s="651"/>
    </row>
    <row r="51" spans="1:6" ht="15" customHeight="1">
      <c r="A51" s="64"/>
      <c r="B51" s="64"/>
      <c r="C51" s="96"/>
      <c r="D51" s="96"/>
      <c r="E51" s="651"/>
      <c r="F51" s="651"/>
    </row>
    <row r="52" spans="1:6" ht="15" customHeight="1">
      <c r="A52" s="70" t="s">
        <v>24</v>
      </c>
      <c r="B52" s="197">
        <f>inputPrYr!$C$5-1</f>
        <v>2013</v>
      </c>
      <c r="C52" s="477" t="s">
        <v>827</v>
      </c>
      <c r="D52" s="96"/>
      <c r="E52" s="651"/>
      <c r="F52" s="651"/>
    </row>
    <row r="53" spans="1:6" ht="15" customHeight="1">
      <c r="A53" s="64"/>
      <c r="B53" s="64"/>
      <c r="C53" s="651"/>
      <c r="D53" s="651"/>
      <c r="E53" s="652"/>
      <c r="F53" s="653"/>
    </row>
    <row r="54" spans="1:6" ht="15" customHeight="1">
      <c r="A54" s="585"/>
      <c r="B54" s="64"/>
      <c r="C54" s="477" t="s">
        <v>827</v>
      </c>
      <c r="D54" s="96"/>
      <c r="E54" s="651"/>
      <c r="F54" s="651"/>
    </row>
    <row r="55" spans="1:6" ht="15" customHeight="1">
      <c r="A55" s="83" t="s">
        <v>155</v>
      </c>
      <c r="B55" s="64"/>
      <c r="C55" s="834" t="s">
        <v>154</v>
      </c>
      <c r="D55" s="835"/>
      <c r="E55" s="835"/>
      <c r="F55" s="835"/>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36" t="e">
        <f>inputOth!#REF!</f>
        <v>#REF!</v>
      </c>
    </row>
  </sheetData>
  <sheetProtection/>
  <mergeCells count="7">
    <mergeCell ref="A3:F3"/>
    <mergeCell ref="E12:E14"/>
    <mergeCell ref="C55:F55"/>
    <mergeCell ref="F40:F41"/>
    <mergeCell ref="A26:B26"/>
    <mergeCell ref="A27:B27"/>
    <mergeCell ref="A28:B28"/>
  </mergeCells>
  <hyperlinks>
    <hyperlink ref="A49" r:id="rId1" display="cparker@sinkgordon.com"/>
  </hyperlinks>
  <printOptions/>
  <pageMargins left="1" right="0.5" top="1" bottom="0.5" header="0.5" footer="0.5"/>
  <pageSetup blackAndWhite="1" fitToHeight="1" fitToWidth="1" horizontalDpi="600" verticalDpi="600" orientation="portrait" scale="78"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Blue Rapids</v>
      </c>
      <c r="D1" s="64"/>
      <c r="E1" s="64"/>
      <c r="F1" s="64"/>
      <c r="G1" s="64"/>
      <c r="H1" s="64"/>
      <c r="I1" s="64"/>
      <c r="J1" s="161">
        <f>inputPrYr!$C$5</f>
        <v>2014</v>
      </c>
    </row>
    <row r="2" spans="1:10" ht="15.75" customHeight="1">
      <c r="A2" s="64"/>
      <c r="B2" s="64"/>
      <c r="C2" s="64"/>
      <c r="D2" s="64"/>
      <c r="E2" s="64"/>
      <c r="F2" s="64"/>
      <c r="G2" s="64"/>
      <c r="H2" s="64"/>
      <c r="I2" s="64"/>
      <c r="J2" s="64"/>
    </row>
    <row r="3" spans="1:10" ht="15.75">
      <c r="A3" s="842" t="str">
        <f>CONCATENATE("Computation to Determine Limit for ",J1)</f>
        <v>Computation to Determine Limit for 2014</v>
      </c>
      <c r="B3" s="843"/>
      <c r="C3" s="843"/>
      <c r="D3" s="843"/>
      <c r="E3" s="843"/>
      <c r="F3" s="843"/>
      <c r="G3" s="843"/>
      <c r="H3" s="843"/>
      <c r="I3" s="843"/>
      <c r="J3" s="843"/>
    </row>
    <row r="4" spans="1:10" ht="15.75">
      <c r="A4" s="64"/>
      <c r="B4" s="64"/>
      <c r="C4" s="64"/>
      <c r="D4" s="64"/>
      <c r="E4" s="843"/>
      <c r="F4" s="843"/>
      <c r="G4" s="843"/>
      <c r="H4" s="202"/>
      <c r="I4" s="64"/>
      <c r="J4" s="203" t="s">
        <v>230</v>
      </c>
    </row>
    <row r="5" spans="1:10" ht="15.75">
      <c r="A5" s="204" t="s">
        <v>231</v>
      </c>
      <c r="B5" s="64" t="str">
        <f>CONCATENATE("Total Tax Levy Amount in ",J1-1," Budget")</f>
        <v>Total Tax Levy Amount in 2013 Budget</v>
      </c>
      <c r="C5" s="64"/>
      <c r="D5" s="64"/>
      <c r="E5" s="88"/>
      <c r="F5" s="88"/>
      <c r="G5" s="88"/>
      <c r="H5" s="205" t="s">
        <v>232</v>
      </c>
      <c r="I5" s="88" t="s">
        <v>233</v>
      </c>
      <c r="J5" s="206">
        <f>inputPrYr!E25</f>
        <v>264222</v>
      </c>
    </row>
    <row r="6" spans="1:10" ht="15.75">
      <c r="A6" s="204" t="s">
        <v>234</v>
      </c>
      <c r="B6" s="64" t="str">
        <f>CONCATENATE("Debt Service Levy in ",J1-1," Budget")</f>
        <v>Debt Service Levy in 2013 Budget</v>
      </c>
      <c r="C6" s="64"/>
      <c r="D6" s="64"/>
      <c r="E6" s="88"/>
      <c r="F6" s="88"/>
      <c r="G6" s="88"/>
      <c r="H6" s="205" t="s">
        <v>235</v>
      </c>
      <c r="I6" s="88" t="s">
        <v>233</v>
      </c>
      <c r="J6" s="207">
        <f>inputPrYr!$E$18</f>
        <v>17552</v>
      </c>
    </row>
    <row r="7" spans="1:10" ht="15.75">
      <c r="A7" s="204" t="s">
        <v>257</v>
      </c>
      <c r="B7" s="81" t="s">
        <v>261</v>
      </c>
      <c r="C7" s="64"/>
      <c r="D7" s="64"/>
      <c r="E7" s="88"/>
      <c r="F7" s="88"/>
      <c r="G7" s="88"/>
      <c r="H7" s="88"/>
      <c r="I7" s="88" t="s">
        <v>233</v>
      </c>
      <c r="J7" s="93">
        <f>J5-J6</f>
        <v>246670</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236</v>
      </c>
      <c r="B11" s="81" t="str">
        <f>CONCATENATE("New Improvements for ",J1-1," :")</f>
        <v>New Improvements for 2013 :</v>
      </c>
      <c r="C11" s="64"/>
      <c r="D11" s="64"/>
      <c r="E11" s="205"/>
      <c r="F11" s="205" t="s">
        <v>232</v>
      </c>
      <c r="G11" s="206">
        <f>inputOth!E8</f>
        <v>83093</v>
      </c>
      <c r="H11" s="208"/>
      <c r="I11" s="88"/>
      <c r="J11" s="88"/>
    </row>
    <row r="12" spans="1:10" ht="15.75">
      <c r="A12" s="204"/>
      <c r="B12" s="209"/>
      <c r="C12" s="64"/>
      <c r="D12" s="64"/>
      <c r="E12" s="205"/>
      <c r="F12" s="205"/>
      <c r="G12" s="208"/>
      <c r="H12" s="208"/>
      <c r="I12" s="88"/>
      <c r="J12" s="88"/>
    </row>
    <row r="13" spans="1:10" ht="15.75">
      <c r="A13" s="204" t="s">
        <v>237</v>
      </c>
      <c r="B13" s="81" t="str">
        <f>CONCATENATE("Increase in Personal Property for ",J1-1," :")</f>
        <v>Increase in Personal Property for 2013 :</v>
      </c>
      <c r="C13" s="64"/>
      <c r="D13" s="64"/>
      <c r="E13" s="205"/>
      <c r="F13" s="205"/>
      <c r="G13" s="208"/>
      <c r="H13" s="208"/>
      <c r="I13" s="88"/>
      <c r="J13" s="88"/>
    </row>
    <row r="14" spans="1:10" ht="15.75">
      <c r="A14" s="210"/>
      <c r="B14" s="64" t="s">
        <v>238</v>
      </c>
      <c r="C14" s="64" t="str">
        <f>CONCATENATE("Personal Property ",J1-1)</f>
        <v>Personal Property 2013</v>
      </c>
      <c r="D14" s="209" t="s">
        <v>232</v>
      </c>
      <c r="E14" s="206">
        <f>inputOth!E9</f>
        <v>110511</v>
      </c>
      <c r="F14" s="205"/>
      <c r="G14" s="88"/>
      <c r="H14" s="88"/>
      <c r="I14" s="208"/>
      <c r="J14" s="88"/>
    </row>
    <row r="15" spans="1:10" ht="15.75">
      <c r="A15" s="209"/>
      <c r="B15" s="64" t="s">
        <v>239</v>
      </c>
      <c r="C15" s="64" t="str">
        <f>CONCATENATE("Personal Property ",J1-2)</f>
        <v>Personal Property 2012</v>
      </c>
      <c r="D15" s="209" t="s">
        <v>235</v>
      </c>
      <c r="E15" s="93">
        <f>inputOth!E15</f>
        <v>140978</v>
      </c>
      <c r="F15" s="205"/>
      <c r="G15" s="208"/>
      <c r="H15" s="208"/>
      <c r="I15" s="88"/>
      <c r="J15" s="88"/>
    </row>
    <row r="16" spans="1:10" ht="15.75">
      <c r="A16" s="209"/>
      <c r="B16" s="64" t="s">
        <v>240</v>
      </c>
      <c r="C16" s="64" t="s">
        <v>262</v>
      </c>
      <c r="D16" s="64"/>
      <c r="E16" s="88"/>
      <c r="F16" s="88" t="s">
        <v>232</v>
      </c>
      <c r="G16" s="206">
        <f>IF(E14&gt;E15,E14-E15,0)</f>
        <v>0</v>
      </c>
      <c r="H16" s="208"/>
      <c r="I16" s="88"/>
      <c r="J16" s="88"/>
    </row>
    <row r="17" spans="1:10" ht="15.75">
      <c r="A17" s="209"/>
      <c r="B17" s="209"/>
      <c r="C17" s="64"/>
      <c r="D17" s="64"/>
      <c r="E17" s="88"/>
      <c r="F17" s="88"/>
      <c r="G17" s="208" t="s">
        <v>253</v>
      </c>
      <c r="H17" s="208"/>
      <c r="I17" s="88"/>
      <c r="J17" s="88"/>
    </row>
    <row r="18" spans="1:10" ht="15.75">
      <c r="A18" s="209" t="s">
        <v>241</v>
      </c>
      <c r="B18" s="81" t="str">
        <f>CONCATENATE("Valuation of annexed territory for ",J1-1," :")</f>
        <v>Valuation of annexed territory for 2013 :</v>
      </c>
      <c r="C18" s="64"/>
      <c r="D18" s="64"/>
      <c r="E18" s="208"/>
      <c r="F18" s="88"/>
      <c r="G18" s="88"/>
      <c r="H18" s="88"/>
      <c r="I18" s="88"/>
      <c r="J18" s="88"/>
    </row>
    <row r="19" spans="1:10" ht="15.75">
      <c r="A19" s="209"/>
      <c r="B19" s="64" t="s">
        <v>242</v>
      </c>
      <c r="C19" s="64" t="s">
        <v>263</v>
      </c>
      <c r="D19" s="209" t="s">
        <v>232</v>
      </c>
      <c r="E19" s="206">
        <f>inputOth!E11</f>
        <v>0</v>
      </c>
      <c r="F19" s="88"/>
      <c r="G19" s="88"/>
      <c r="H19" s="88"/>
      <c r="I19" s="88"/>
      <c r="J19" s="88"/>
    </row>
    <row r="20" spans="1:10" ht="15.75">
      <c r="A20" s="209"/>
      <c r="B20" s="64" t="s">
        <v>243</v>
      </c>
      <c r="C20" s="64" t="s">
        <v>264</v>
      </c>
      <c r="D20" s="209" t="s">
        <v>232</v>
      </c>
      <c r="E20" s="93">
        <f>inputOth!E12</f>
        <v>0</v>
      </c>
      <c r="F20" s="88"/>
      <c r="G20" s="208"/>
      <c r="H20" s="208"/>
      <c r="I20" s="88"/>
      <c r="J20" s="88"/>
    </row>
    <row r="21" spans="1:10" ht="15.75">
      <c r="A21" s="209"/>
      <c r="B21" s="64" t="s">
        <v>244</v>
      </c>
      <c r="C21" s="64" t="s">
        <v>265</v>
      </c>
      <c r="D21" s="209" t="s">
        <v>235</v>
      </c>
      <c r="E21" s="93">
        <f>inputOth!E13</f>
        <v>0</v>
      </c>
      <c r="F21" s="88"/>
      <c r="G21" s="208"/>
      <c r="H21" s="208"/>
      <c r="I21" s="88"/>
      <c r="J21" s="88"/>
    </row>
    <row r="22" spans="1:10" ht="15.75">
      <c r="A22" s="209"/>
      <c r="B22" s="64" t="s">
        <v>245</v>
      </c>
      <c r="C22" s="64" t="s">
        <v>266</v>
      </c>
      <c r="D22" s="209"/>
      <c r="E22" s="208"/>
      <c r="F22" s="88" t="s">
        <v>232</v>
      </c>
      <c r="G22" s="206">
        <f>E19+E20-E21</f>
        <v>0</v>
      </c>
      <c r="H22" s="208"/>
      <c r="I22" s="88"/>
      <c r="J22" s="88"/>
    </row>
    <row r="23" spans="1:10" ht="15.75">
      <c r="A23" s="209"/>
      <c r="B23" s="209"/>
      <c r="C23" s="64"/>
      <c r="D23" s="209"/>
      <c r="E23" s="208"/>
      <c r="F23" s="88"/>
      <c r="G23" s="208"/>
      <c r="H23" s="208"/>
      <c r="I23" s="88"/>
      <c r="J23" s="88"/>
    </row>
    <row r="24" spans="1:10" ht="15.75">
      <c r="A24" s="209" t="s">
        <v>246</v>
      </c>
      <c r="B24" s="81" t="str">
        <f>CONCATENATE("Valuation of Property that has Changed in Use during ",J1-1," :")</f>
        <v>Valuation of Property that has Changed in Use during 2013 :</v>
      </c>
      <c r="C24" s="64"/>
      <c r="D24" s="64"/>
      <c r="E24" s="88"/>
      <c r="F24" s="205" t="s">
        <v>232</v>
      </c>
      <c r="G24" s="206">
        <f>inputOth!E14</f>
        <v>1921</v>
      </c>
      <c r="H24" s="88"/>
      <c r="I24" s="88"/>
      <c r="J24" s="88"/>
    </row>
    <row r="25" spans="1:10" ht="15.75">
      <c r="A25" s="64" t="s">
        <v>140</v>
      </c>
      <c r="B25" s="64"/>
      <c r="C25" s="64"/>
      <c r="D25" s="209"/>
      <c r="E25" s="208"/>
      <c r="F25" s="88"/>
      <c r="G25" s="88"/>
      <c r="H25" s="88"/>
      <c r="I25" s="88"/>
      <c r="J25" s="88"/>
    </row>
    <row r="26" spans="1:10" ht="15.75">
      <c r="A26" s="209" t="s">
        <v>247</v>
      </c>
      <c r="B26" s="81" t="s">
        <v>267</v>
      </c>
      <c r="C26" s="64"/>
      <c r="D26" s="64"/>
      <c r="E26" s="88"/>
      <c r="F26" s="88"/>
      <c r="G26" s="206">
        <f>G11+G16+G22+G24</f>
        <v>85014</v>
      </c>
      <c r="H26" s="208"/>
      <c r="I26" s="88"/>
      <c r="J26" s="88"/>
    </row>
    <row r="27" spans="1:10" ht="15.75">
      <c r="A27" s="209"/>
      <c r="B27" s="209"/>
      <c r="C27" s="81"/>
      <c r="D27" s="64"/>
      <c r="E27" s="88"/>
      <c r="F27" s="88"/>
      <c r="G27" s="208"/>
      <c r="H27" s="208"/>
      <c r="I27" s="88"/>
      <c r="J27" s="88"/>
    </row>
    <row r="28" spans="1:10" ht="15.75">
      <c r="A28" s="209" t="s">
        <v>248</v>
      </c>
      <c r="B28" s="64" t="str">
        <f>CONCATENATE("Total Estimated Valuation July 1, ",J1-1)</f>
        <v>Total Estimated Valuation July 1, 2013</v>
      </c>
      <c r="C28" s="64"/>
      <c r="D28" s="64"/>
      <c r="E28" s="206">
        <f>inputOth!E7</f>
        <v>3155579</v>
      </c>
      <c r="F28" s="88"/>
      <c r="G28" s="88"/>
      <c r="H28" s="88"/>
      <c r="I28" s="205"/>
      <c r="J28" s="88"/>
    </row>
    <row r="29" spans="1:10" ht="15.75">
      <c r="A29" s="209"/>
      <c r="B29" s="209"/>
      <c r="C29" s="64"/>
      <c r="D29" s="64"/>
      <c r="E29" s="208"/>
      <c r="F29" s="88"/>
      <c r="G29" s="88"/>
      <c r="H29" s="88"/>
      <c r="I29" s="205"/>
      <c r="J29" s="88"/>
    </row>
    <row r="30" spans="1:10" ht="15.75">
      <c r="A30" s="209" t="s">
        <v>249</v>
      </c>
      <c r="B30" s="81" t="s">
        <v>268</v>
      </c>
      <c r="C30" s="64"/>
      <c r="D30" s="64"/>
      <c r="E30" s="88"/>
      <c r="F30" s="88"/>
      <c r="G30" s="206">
        <f>E28-G26</f>
        <v>3070565</v>
      </c>
      <c r="H30" s="208"/>
      <c r="I30" s="205"/>
      <c r="J30" s="88"/>
    </row>
    <row r="31" spans="1:10" ht="15.75">
      <c r="A31" s="209"/>
      <c r="B31" s="209"/>
      <c r="C31" s="81"/>
      <c r="D31" s="64"/>
      <c r="E31" s="88"/>
      <c r="F31" s="88"/>
      <c r="G31" s="211"/>
      <c r="H31" s="208"/>
      <c r="I31" s="205"/>
      <c r="J31" s="88"/>
    </row>
    <row r="32" spans="1:10" ht="15.75">
      <c r="A32" s="209" t="s">
        <v>250</v>
      </c>
      <c r="B32" s="64" t="s">
        <v>269</v>
      </c>
      <c r="C32" s="64"/>
      <c r="D32" s="64"/>
      <c r="E32" s="64"/>
      <c r="F32" s="64"/>
      <c r="G32" s="212">
        <f>IF(G26&gt;0,G26/G30,0)</f>
        <v>0.027686761231239202</v>
      </c>
      <c r="H32" s="96"/>
      <c r="I32" s="64"/>
      <c r="J32" s="64"/>
    </row>
    <row r="33" spans="1:10" ht="15.75">
      <c r="A33" s="209"/>
      <c r="B33" s="209"/>
      <c r="C33" s="64"/>
      <c r="D33" s="64"/>
      <c r="E33" s="64"/>
      <c r="F33" s="64"/>
      <c r="G33" s="96"/>
      <c r="H33" s="96"/>
      <c r="I33" s="64"/>
      <c r="J33" s="64"/>
    </row>
    <row r="34" spans="1:10" ht="15.75">
      <c r="A34" s="209" t="s">
        <v>251</v>
      </c>
      <c r="B34" s="64" t="s">
        <v>270</v>
      </c>
      <c r="C34" s="64"/>
      <c r="D34" s="64"/>
      <c r="E34" s="64"/>
      <c r="F34" s="64"/>
      <c r="G34" s="96"/>
      <c r="H34" s="213" t="s">
        <v>232</v>
      </c>
      <c r="I34" s="64" t="s">
        <v>233</v>
      </c>
      <c r="J34" s="206">
        <f>ROUND(G32*J7,0)</f>
        <v>6829</v>
      </c>
    </row>
    <row r="35" spans="1:10" ht="15.75">
      <c r="A35" s="209"/>
      <c r="B35" s="209"/>
      <c r="C35" s="64"/>
      <c r="D35" s="64"/>
      <c r="E35" s="64"/>
      <c r="F35" s="64"/>
      <c r="G35" s="96"/>
      <c r="H35" s="213"/>
      <c r="I35" s="64"/>
      <c r="J35" s="208"/>
    </row>
    <row r="36" spans="1:10" ht="16.5" thickBot="1">
      <c r="A36" s="209" t="s">
        <v>252</v>
      </c>
      <c r="B36" s="81" t="s">
        <v>276</v>
      </c>
      <c r="C36" s="64"/>
      <c r="D36" s="64"/>
      <c r="E36" s="64"/>
      <c r="F36" s="64"/>
      <c r="G36" s="64"/>
      <c r="H36" s="64"/>
      <c r="I36" s="64" t="s">
        <v>233</v>
      </c>
      <c r="J36" s="214">
        <f>J7+J34</f>
        <v>253499</v>
      </c>
    </row>
    <row r="37" spans="1:10" ht="16.5" thickTop="1">
      <c r="A37" s="64"/>
      <c r="B37" s="64"/>
      <c r="C37" s="64"/>
      <c r="D37" s="64"/>
      <c r="E37" s="64"/>
      <c r="F37" s="64"/>
      <c r="G37" s="64"/>
      <c r="H37" s="64"/>
      <c r="I37" s="64"/>
      <c r="J37" s="208"/>
    </row>
    <row r="38" spans="1:10" ht="15.75">
      <c r="A38" s="209" t="s">
        <v>274</v>
      </c>
      <c r="B38" s="81" t="str">
        <f>CONCATENATE("Debt Service Levy in this ",J1," Budget")</f>
        <v>Debt Service Levy in this 2014 Budget</v>
      </c>
      <c r="C38" s="64"/>
      <c r="D38" s="64"/>
      <c r="E38" s="64"/>
      <c r="F38" s="64"/>
      <c r="G38" s="64"/>
      <c r="H38" s="64"/>
      <c r="I38" s="64"/>
      <c r="J38" s="215">
        <f>'DebtSvs-Library'!E40</f>
        <v>19471.38</v>
      </c>
    </row>
    <row r="39" spans="1:10" ht="15.75">
      <c r="A39" s="209"/>
      <c r="B39" s="81"/>
      <c r="C39" s="64"/>
      <c r="D39" s="64"/>
      <c r="E39" s="64"/>
      <c r="F39" s="64"/>
      <c r="G39" s="64"/>
      <c r="H39" s="64"/>
      <c r="I39" s="64"/>
      <c r="J39" s="208"/>
    </row>
    <row r="40" spans="1:10" ht="16.5" thickBot="1">
      <c r="A40" s="209" t="s">
        <v>275</v>
      </c>
      <c r="B40" s="81" t="s">
        <v>277</v>
      </c>
      <c r="C40" s="64"/>
      <c r="D40" s="64"/>
      <c r="E40" s="64"/>
      <c r="F40" s="64"/>
      <c r="G40" s="64"/>
      <c r="H40" s="64"/>
      <c r="I40" s="64"/>
      <c r="J40" s="214">
        <f>J36+J38</f>
        <v>272970.38</v>
      </c>
    </row>
    <row r="41" spans="1:10" ht="19.5" thickTop="1">
      <c r="A41" s="841"/>
      <c r="B41" s="841"/>
      <c r="C41" s="841"/>
      <c r="D41" s="841"/>
      <c r="E41" s="841"/>
      <c r="F41" s="841"/>
      <c r="G41" s="841"/>
      <c r="H41" s="841"/>
      <c r="I41" s="841"/>
      <c r="J41" s="841"/>
    </row>
    <row r="42" spans="1:10" s="216" customFormat="1" ht="18.75">
      <c r="A42" s="841" t="str">
        <f>CONCATENATE("If the ",J1," budget includes tax levies exceeding the total on line 15, you must")</f>
        <v>If the 2014 budget includes tax levies exceeding the total on line 15, you must</v>
      </c>
      <c r="B42" s="841"/>
      <c r="C42" s="841"/>
      <c r="D42" s="841"/>
      <c r="E42" s="841"/>
      <c r="F42" s="841"/>
      <c r="G42" s="841"/>
      <c r="H42" s="841"/>
      <c r="I42" s="841"/>
      <c r="J42" s="841"/>
    </row>
    <row r="43" spans="1:10" s="216" customFormat="1" ht="18.75">
      <c r="A43" s="841" t="s">
        <v>3</v>
      </c>
      <c r="B43" s="841"/>
      <c r="C43" s="841"/>
      <c r="D43" s="841"/>
      <c r="E43" s="841"/>
      <c r="F43" s="841"/>
      <c r="G43" s="841"/>
      <c r="H43" s="841"/>
      <c r="I43" s="841"/>
      <c r="J43" s="841"/>
    </row>
    <row r="44" spans="1:10" ht="15.75" customHeight="1">
      <c r="A44" s="840" t="s">
        <v>4</v>
      </c>
      <c r="B44" s="840"/>
      <c r="C44" s="840"/>
      <c r="D44" s="840"/>
      <c r="E44" s="840"/>
      <c r="F44" s="840"/>
      <c r="G44" s="840"/>
      <c r="H44" s="840"/>
      <c r="I44" s="840"/>
      <c r="J44" s="84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C8" sqref="C8"/>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Blue Rapids</v>
      </c>
      <c r="C2" s="64"/>
      <c r="D2" s="64"/>
      <c r="E2" s="64"/>
      <c r="F2" s="218"/>
      <c r="G2" s="161"/>
    </row>
    <row r="3" spans="1:7" ht="15" customHeight="1">
      <c r="A3" s="64"/>
      <c r="B3" s="64"/>
      <c r="C3" s="64"/>
      <c r="D3" s="64"/>
      <c r="E3" s="64"/>
      <c r="F3" s="64"/>
      <c r="G3" s="161">
        <f>inputPrYr!$C$5</f>
        <v>2014</v>
      </c>
    </row>
    <row r="4" spans="1:7" ht="20.25" customHeight="1">
      <c r="A4" s="64"/>
      <c r="B4" s="842" t="s">
        <v>818</v>
      </c>
      <c r="C4" s="842"/>
      <c r="D4" s="842"/>
      <c r="E4" s="842"/>
      <c r="F4" s="842"/>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819</v>
      </c>
      <c r="C7" s="174" t="s">
        <v>820</v>
      </c>
      <c r="D7" s="844" t="str">
        <f>CONCATENATE("Allocation for Proposed Year ",G3,"")</f>
        <v>Allocation for Proposed Year 2014</v>
      </c>
      <c r="E7" s="845"/>
      <c r="F7" s="846"/>
      <c r="G7" s="64"/>
    </row>
    <row r="8" spans="1:7" ht="23.25" customHeight="1">
      <c r="A8" s="64"/>
      <c r="B8" s="220" t="str">
        <f>CONCATENATE("for ",G3-1,"")</f>
        <v>for 2013</v>
      </c>
      <c r="C8" s="220" t="str">
        <f>CONCATENATE("Amount for ",G3-2,"")</f>
        <v>Amount for 2012</v>
      </c>
      <c r="D8" s="177" t="s">
        <v>229</v>
      </c>
      <c r="E8" s="177" t="s">
        <v>228</v>
      </c>
      <c r="F8" s="180" t="s">
        <v>227</v>
      </c>
      <c r="G8" s="640"/>
    </row>
    <row r="9" spans="1:7" ht="15" customHeight="1">
      <c r="A9" s="64"/>
      <c r="B9" s="85" t="s">
        <v>130</v>
      </c>
      <c r="C9" s="221">
        <f>IF((inputPrYr!E17)&gt;0,(inputPrYr!E17),"  ")</f>
        <v>229701</v>
      </c>
      <c r="D9" s="221">
        <f>IF(inputPrYr!E17&gt;0,D18-SUM(D10:D15),0)</f>
        <v>43812</v>
      </c>
      <c r="E9" s="221">
        <f>IF(inputPrYr!E17=0,0,E20-SUM(E10:E15))</f>
        <v>1196</v>
      </c>
      <c r="F9" s="221">
        <f>IF(inputPrYr!E17=0,0,F22-SUM(F10:F15))</f>
        <v>741</v>
      </c>
      <c r="G9" s="641"/>
    </row>
    <row r="10" spans="1:7" ht="15" customHeight="1">
      <c r="A10" s="64"/>
      <c r="B10" s="85" t="str">
        <f>IF(inputPrYr!B18&gt;" ",inputPrYr!B18," ")</f>
        <v>Bond &amp; Interest</v>
      </c>
      <c r="C10" s="221">
        <f>IF((inputPrYr!E18)&gt;0,(inputPrYr!E18),"  ")</f>
        <v>17552</v>
      </c>
      <c r="D10" s="221">
        <f>IF(inputPrYr!$E18&gt;0,ROUND(C10*D$26,0),"  ")</f>
        <v>3348</v>
      </c>
      <c r="E10" s="221">
        <f>IF(inputPrYr!$E18&gt;0,ROUND(+C10*E$28,0),"  ")</f>
        <v>91</v>
      </c>
      <c r="F10" s="221">
        <f>IF(inputPrYr!E18&gt;0,ROUND(C10*F$30,0),"  ")</f>
        <v>57</v>
      </c>
      <c r="G10" s="641"/>
    </row>
    <row r="11" spans="1:7" ht="15" customHeight="1">
      <c r="A11" s="64"/>
      <c r="B11" s="108" t="str">
        <f>IF((inputPrYr!$B21&gt;"  "),(inputPrYr!$B21),"  ")</f>
        <v>Library</v>
      </c>
      <c r="C11" s="221">
        <f>IF((inputPrYr!E21)&gt;0,(inputPrYr!E21),"  ")</f>
        <v>16969</v>
      </c>
      <c r="D11" s="221">
        <f>IF(inputPrYr!$E21&gt;0,ROUND(C11*D$26,0),"  ")</f>
        <v>3237</v>
      </c>
      <c r="E11" s="221">
        <f>IF(inputPrYr!$E21&gt;0,ROUND(+C11*E$28,0),"  ")</f>
        <v>88</v>
      </c>
      <c r="F11" s="221">
        <f>IF(inputPrYr!E21&gt;0,ROUND(C11*F$30,0),"  ")</f>
        <v>55</v>
      </c>
      <c r="G11" s="641"/>
    </row>
    <row r="12" spans="1:7" ht="15" customHeight="1">
      <c r="A12" s="64"/>
      <c r="B12" s="108" t="str">
        <f>IF((inputPrYr!$B22&gt;"  "),(inputPrYr!$B22),"  ")</f>
        <v>  </v>
      </c>
      <c r="C12" s="221"/>
      <c r="D12" s="221"/>
      <c r="E12" s="221"/>
      <c r="F12" s="221"/>
      <c r="G12" s="641"/>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1"/>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1"/>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1"/>
    </row>
    <row r="16" spans="1:7" ht="16.5" customHeight="1" thickBot="1">
      <c r="A16" s="64"/>
      <c r="B16" s="86" t="s">
        <v>158</v>
      </c>
      <c r="C16" s="222">
        <f>SUM(C9:C15)</f>
        <v>264222</v>
      </c>
      <c r="D16" s="222">
        <f>SUM(D9:D15)</f>
        <v>50397</v>
      </c>
      <c r="E16" s="222">
        <f>SUM(E9:E15)</f>
        <v>1375</v>
      </c>
      <c r="F16" s="222">
        <f>SUM(F9:F15)</f>
        <v>853</v>
      </c>
      <c r="G16" s="641"/>
    </row>
    <row r="17" spans="1:7" ht="15" customHeight="1" thickTop="1">
      <c r="A17" s="64"/>
      <c r="B17" s="64"/>
      <c r="C17" s="64"/>
      <c r="D17" s="64"/>
      <c r="E17" s="64"/>
      <c r="F17" s="64"/>
      <c r="G17" s="64"/>
    </row>
    <row r="18" spans="1:7" ht="15" customHeight="1">
      <c r="A18" s="64"/>
      <c r="B18" s="69" t="s">
        <v>159</v>
      </c>
      <c r="C18" s="223"/>
      <c r="D18" s="206">
        <f>(inputOth!E33)</f>
        <v>50397</v>
      </c>
      <c r="E18" s="223"/>
      <c r="F18" s="64"/>
      <c r="G18" s="64"/>
    </row>
    <row r="19" spans="1:7" ht="15" customHeight="1">
      <c r="A19" s="64"/>
      <c r="B19" s="64"/>
      <c r="C19" s="64"/>
      <c r="D19" s="64"/>
      <c r="E19" s="64"/>
      <c r="F19" s="64"/>
      <c r="G19" s="64"/>
    </row>
    <row r="20" spans="1:7" ht="15" customHeight="1">
      <c r="A20" s="64"/>
      <c r="B20" s="69" t="s">
        <v>160</v>
      </c>
      <c r="C20" s="64"/>
      <c r="D20" s="64"/>
      <c r="E20" s="206">
        <f>(inputOth!E34)</f>
        <v>1375</v>
      </c>
      <c r="F20" s="64"/>
      <c r="G20" s="64"/>
    </row>
    <row r="21" spans="1:7" ht="15" customHeight="1">
      <c r="A21" s="64"/>
      <c r="B21" s="64"/>
      <c r="C21" s="64"/>
      <c r="D21" s="64"/>
      <c r="E21" s="64"/>
      <c r="F21" s="64"/>
      <c r="G21" s="64"/>
    </row>
    <row r="22" spans="1:7" ht="15" customHeight="1">
      <c r="A22" s="64"/>
      <c r="B22" s="69" t="s">
        <v>226</v>
      </c>
      <c r="C22" s="64"/>
      <c r="D22" s="64"/>
      <c r="E22" s="64"/>
      <c r="F22" s="206">
        <f>inputOth!E35</f>
        <v>853</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161</v>
      </c>
      <c r="C26" s="64"/>
      <c r="D26" s="212">
        <f>IF(C16=0,0,D18/C16)</f>
        <v>0.19073733451415856</v>
      </c>
      <c r="E26" s="64"/>
      <c r="F26" s="64"/>
      <c r="G26" s="64"/>
    </row>
    <row r="27" spans="1:7" ht="15" customHeight="1">
      <c r="A27" s="64"/>
      <c r="B27" s="64"/>
      <c r="C27" s="64"/>
      <c r="D27" s="64"/>
      <c r="E27" s="64"/>
      <c r="F27" s="64"/>
      <c r="G27" s="64"/>
    </row>
    <row r="28" spans="1:7" ht="15" customHeight="1">
      <c r="A28" s="64"/>
      <c r="B28" s="69"/>
      <c r="C28" s="69" t="s">
        <v>162</v>
      </c>
      <c r="D28" s="64"/>
      <c r="E28" s="212">
        <f>IF(C16=0,0,E20/C16)</f>
        <v>0.005203957278349267</v>
      </c>
      <c r="F28" s="64"/>
      <c r="G28" s="64"/>
    </row>
    <row r="29" spans="1:7" ht="15" customHeight="1">
      <c r="A29" s="64"/>
      <c r="B29" s="64"/>
      <c r="C29" s="64"/>
      <c r="D29" s="64"/>
      <c r="E29" s="64"/>
      <c r="F29" s="64"/>
      <c r="G29" s="64"/>
    </row>
    <row r="30" spans="1:7" ht="15" customHeight="1">
      <c r="A30" s="64"/>
      <c r="B30" s="64"/>
      <c r="C30" s="64"/>
      <c r="D30" s="64" t="s">
        <v>225</v>
      </c>
      <c r="E30" s="64"/>
      <c r="F30" s="212">
        <f>IF(C16=0,0,F22/C16)</f>
        <v>0.0032283458606777635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600" verticalDpi="60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J26" sqref="J26"/>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Blue Rapids</v>
      </c>
      <c r="B1" s="64"/>
      <c r="C1" s="64"/>
      <c r="D1" s="64"/>
      <c r="E1" s="64"/>
      <c r="F1" s="64">
        <f>inputPrYr!C5</f>
        <v>2014</v>
      </c>
    </row>
    <row r="2" spans="1:6" ht="15.75">
      <c r="A2" s="64"/>
      <c r="B2" s="64"/>
      <c r="C2" s="64"/>
      <c r="D2" s="64"/>
      <c r="E2" s="64"/>
      <c r="F2" s="64"/>
    </row>
    <row r="3" spans="1:6" ht="15.75">
      <c r="A3" s="843" t="s">
        <v>284</v>
      </c>
      <c r="B3" s="843"/>
      <c r="C3" s="843"/>
      <c r="D3" s="843"/>
      <c r="E3" s="843"/>
      <c r="F3" s="843"/>
    </row>
    <row r="4" spans="1:6" ht="15.75">
      <c r="A4" s="225"/>
      <c r="B4" s="225"/>
      <c r="C4" s="225"/>
      <c r="D4" s="225"/>
      <c r="E4" s="225"/>
      <c r="F4" s="225"/>
    </row>
    <row r="5" spans="1:6" ht="15.75">
      <c r="A5" s="226" t="s">
        <v>631</v>
      </c>
      <c r="B5" s="226" t="s">
        <v>633</v>
      </c>
      <c r="C5" s="226" t="s">
        <v>178</v>
      </c>
      <c r="D5" s="226" t="s">
        <v>300</v>
      </c>
      <c r="E5" s="226" t="s">
        <v>301</v>
      </c>
      <c r="F5" s="226" t="s">
        <v>312</v>
      </c>
    </row>
    <row r="6" spans="1:6" ht="15.75">
      <c r="A6" s="227" t="s">
        <v>630</v>
      </c>
      <c r="B6" s="227" t="s">
        <v>632</v>
      </c>
      <c r="C6" s="227" t="s">
        <v>311</v>
      </c>
      <c r="D6" s="227" t="s">
        <v>311</v>
      </c>
      <c r="E6" s="227" t="s">
        <v>311</v>
      </c>
      <c r="F6" s="227" t="s">
        <v>302</v>
      </c>
    </row>
    <row r="7" spans="1:6" ht="15.75">
      <c r="A7" s="228" t="s">
        <v>309</v>
      </c>
      <c r="B7" s="228" t="s">
        <v>310</v>
      </c>
      <c r="C7" s="229">
        <f>F1-2</f>
        <v>2012</v>
      </c>
      <c r="D7" s="229">
        <f>F1-1</f>
        <v>2013</v>
      </c>
      <c r="E7" s="229">
        <f>F1</f>
        <v>2014</v>
      </c>
      <c r="F7" s="228" t="s">
        <v>303</v>
      </c>
    </row>
    <row r="8" spans="1:9" ht="15.75">
      <c r="A8" s="230" t="s">
        <v>991</v>
      </c>
      <c r="B8" s="230" t="s">
        <v>1054</v>
      </c>
      <c r="C8" s="231">
        <v>5000</v>
      </c>
      <c r="D8" s="231">
        <v>5000</v>
      </c>
      <c r="E8" s="231">
        <v>5000</v>
      </c>
      <c r="F8" s="230" t="s">
        <v>1055</v>
      </c>
      <c r="G8" s="777"/>
      <c r="H8" s="773"/>
      <c r="I8" s="776"/>
    </row>
    <row r="9" spans="1:9" ht="15.75">
      <c r="A9" s="232" t="s">
        <v>991</v>
      </c>
      <c r="B9" s="232" t="s">
        <v>130</v>
      </c>
      <c r="C9" s="233">
        <v>140000</v>
      </c>
      <c r="D9" s="233">
        <v>160000</v>
      </c>
      <c r="E9" s="233">
        <v>162500</v>
      </c>
      <c r="F9" s="232" t="s">
        <v>1055</v>
      </c>
      <c r="G9" s="777"/>
      <c r="H9" s="773"/>
      <c r="I9" s="776"/>
    </row>
    <row r="10" spans="1:9" ht="15.75">
      <c r="A10" s="232" t="s">
        <v>1054</v>
      </c>
      <c r="B10" s="232" t="s">
        <v>991</v>
      </c>
      <c r="C10" s="233">
        <v>75000</v>
      </c>
      <c r="D10" s="233">
        <v>52810</v>
      </c>
      <c r="E10" s="233">
        <v>0</v>
      </c>
      <c r="F10" s="232" t="s">
        <v>1056</v>
      </c>
      <c r="G10" s="777"/>
      <c r="H10" s="773"/>
      <c r="I10" s="776"/>
    </row>
    <row r="11" spans="1:9" ht="15.75">
      <c r="A11" s="232" t="s">
        <v>991</v>
      </c>
      <c r="B11" s="232" t="s">
        <v>1103</v>
      </c>
      <c r="C11" s="233">
        <v>75000</v>
      </c>
      <c r="D11" s="233">
        <v>52810</v>
      </c>
      <c r="E11" s="233">
        <v>0</v>
      </c>
      <c r="F11" s="232" t="s">
        <v>1055</v>
      </c>
      <c r="G11" s="777"/>
      <c r="H11" s="773"/>
      <c r="I11" s="776"/>
    </row>
    <row r="12" spans="1:9" ht="15.75">
      <c r="A12" s="232" t="s">
        <v>130</v>
      </c>
      <c r="B12" s="232" t="s">
        <v>1104</v>
      </c>
      <c r="C12" s="233">
        <v>2000</v>
      </c>
      <c r="D12" s="233">
        <v>0</v>
      </c>
      <c r="E12" s="233">
        <v>0</v>
      </c>
      <c r="F12" s="232" t="s">
        <v>1106</v>
      </c>
      <c r="G12" s="777"/>
      <c r="H12" s="773"/>
      <c r="I12" s="776"/>
    </row>
    <row r="13" spans="1:6" ht="15.75">
      <c r="A13" s="232" t="s">
        <v>1103</v>
      </c>
      <c r="B13" s="232" t="s">
        <v>988</v>
      </c>
      <c r="C13" s="233">
        <v>0</v>
      </c>
      <c r="D13" s="233">
        <v>1429</v>
      </c>
      <c r="E13" s="233">
        <v>0</v>
      </c>
      <c r="F13" s="232" t="s">
        <v>1105</v>
      </c>
    </row>
    <row r="14" spans="1:6" ht="15.75">
      <c r="A14" s="198"/>
      <c r="B14" s="234" t="s">
        <v>163</v>
      </c>
      <c r="C14" s="235">
        <f>SUM(C8:C13)</f>
        <v>297000</v>
      </c>
      <c r="D14" s="235">
        <f>SUM(D8:D13)</f>
        <v>272049</v>
      </c>
      <c r="E14" s="235">
        <f>SUM(E8:E13)</f>
        <v>167500</v>
      </c>
      <c r="F14" s="198"/>
    </row>
    <row r="15" spans="1:6" ht="15.75">
      <c r="A15" s="198"/>
      <c r="B15" s="236" t="s">
        <v>629</v>
      </c>
      <c r="C15" s="237"/>
      <c r="D15" s="238"/>
      <c r="E15" s="238"/>
      <c r="F15" s="198"/>
    </row>
    <row r="16" spans="1:6" ht="15.75">
      <c r="A16" s="198"/>
      <c r="B16" s="234" t="s">
        <v>116</v>
      </c>
      <c r="C16" s="235">
        <f>C14</f>
        <v>297000</v>
      </c>
      <c r="D16" s="235">
        <f>SUM(D14-D15)</f>
        <v>272049</v>
      </c>
      <c r="E16" s="235">
        <f>SUM(E14-E15)</f>
        <v>167500</v>
      </c>
      <c r="F16" s="198"/>
    </row>
    <row r="17" spans="1:6" ht="15.75">
      <c r="A17" s="118"/>
      <c r="B17" s="118"/>
      <c r="C17" s="118"/>
      <c r="D17" s="118"/>
      <c r="E17" s="118"/>
      <c r="F17" s="118"/>
    </row>
    <row r="18" spans="1:6" ht="15.75">
      <c r="A18" s="118"/>
      <c r="B18" s="118"/>
      <c r="C18" s="118"/>
      <c r="D18" s="118"/>
      <c r="E18" s="118"/>
      <c r="F18" s="118"/>
    </row>
    <row r="19" spans="1:6" ht="15.75">
      <c r="A19" s="401" t="s">
        <v>634</v>
      </c>
      <c r="B19" s="400" t="str">
        <f>CONCATENATE("Adjustments are required only if the transfer is being made in ",D7," and/or ",E7," from a non-budgeted fund.")</f>
        <v>Adjustments are required only if the transfer is being made in 2013 and/or 2014 from a non-budgeted fund.</v>
      </c>
      <c r="C19" s="118"/>
      <c r="D19" s="118"/>
      <c r="E19" s="118"/>
      <c r="F19" s="118"/>
    </row>
    <row r="20" spans="1:6" ht="15.75">
      <c r="A20" s="118"/>
      <c r="B20" s="118"/>
      <c r="C20" s="118"/>
      <c r="D20" s="118"/>
      <c r="E20" s="118"/>
      <c r="F20" s="118"/>
    </row>
    <row r="21" spans="1:6" ht="15.75">
      <c r="A21" s="118"/>
      <c r="B21" s="118"/>
      <c r="C21" s="118"/>
      <c r="D21" s="118"/>
      <c r="E21" s="118"/>
      <c r="F21" s="118"/>
    </row>
  </sheetData>
  <sheetProtection/>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40">
      <selection activeCell="B32" sqref="B32"/>
    </sheetView>
  </sheetViews>
  <sheetFormatPr defaultColWidth="8.796875" defaultRowHeight="15"/>
  <cols>
    <col min="1" max="1" width="70.59765625" style="359" customWidth="1"/>
    <col min="2" max="16384" width="8.8984375" style="359" customWidth="1"/>
  </cols>
  <sheetData>
    <row r="1" ht="18.75">
      <c r="A1" s="360" t="s">
        <v>375</v>
      </c>
    </row>
    <row r="2" ht="18.75">
      <c r="A2" s="360"/>
    </row>
    <row r="3" ht="18.75">
      <c r="A3" s="360"/>
    </row>
    <row r="4" ht="51.75" customHeight="1">
      <c r="A4" s="569" t="s">
        <v>721</v>
      </c>
    </row>
    <row r="5" ht="18.75">
      <c r="A5" s="360"/>
    </row>
    <row r="6" ht="15.75">
      <c r="A6" s="361"/>
    </row>
    <row r="7" ht="47.25">
      <c r="A7" s="362" t="s">
        <v>376</v>
      </c>
    </row>
    <row r="8" ht="15.75">
      <c r="A8" s="361"/>
    </row>
    <row r="9" ht="15.75">
      <c r="A9" s="361"/>
    </row>
    <row r="10" ht="63">
      <c r="A10" s="362" t="s">
        <v>377</v>
      </c>
    </row>
    <row r="11" ht="15.75">
      <c r="A11" s="363"/>
    </row>
    <row r="12" ht="15.75">
      <c r="A12" s="361"/>
    </row>
    <row r="13" ht="47.25">
      <c r="A13" s="362" t="s">
        <v>378</v>
      </c>
    </row>
    <row r="14" ht="15.75">
      <c r="A14" s="363"/>
    </row>
    <row r="15" ht="15.75">
      <c r="A15" s="361"/>
    </row>
    <row r="16" ht="47.25">
      <c r="A16" s="362" t="s">
        <v>379</v>
      </c>
    </row>
    <row r="17" ht="15.75">
      <c r="A17" s="363"/>
    </row>
    <row r="18" ht="15.75">
      <c r="A18" s="363"/>
    </row>
    <row r="19" ht="47.25">
      <c r="A19" s="362" t="s">
        <v>380</v>
      </c>
    </row>
    <row r="20" ht="15.75">
      <c r="A20" s="363"/>
    </row>
    <row r="21" ht="15.75">
      <c r="A21" s="363"/>
    </row>
    <row r="22" ht="47.25">
      <c r="A22" s="362" t="s">
        <v>381</v>
      </c>
    </row>
    <row r="23" ht="15.75">
      <c r="A23" s="363"/>
    </row>
    <row r="24" ht="15.75">
      <c r="A24" s="363"/>
    </row>
    <row r="25" ht="31.5">
      <c r="A25" s="362" t="s">
        <v>382</v>
      </c>
    </row>
    <row r="26" ht="15.75">
      <c r="A26" s="361"/>
    </row>
    <row r="27" ht="15.75">
      <c r="A27" s="361"/>
    </row>
    <row r="28" ht="60">
      <c r="A28" s="364" t="s">
        <v>383</v>
      </c>
    </row>
    <row r="29" ht="15">
      <c r="A29" s="365"/>
    </row>
    <row r="30" ht="15">
      <c r="A30" s="365"/>
    </row>
    <row r="31" ht="47.25">
      <c r="A31" s="362" t="s">
        <v>384</v>
      </c>
    </row>
    <row r="32" ht="15.75">
      <c r="A32" s="361"/>
    </row>
    <row r="33" ht="15.75">
      <c r="A33" s="361"/>
    </row>
    <row r="34" ht="66.75" customHeight="1">
      <c r="A34" s="498" t="s">
        <v>722</v>
      </c>
    </row>
    <row r="35" ht="15.75">
      <c r="A35" s="361"/>
    </row>
    <row r="36" ht="15.75">
      <c r="A36" s="361"/>
    </row>
    <row r="37" ht="63">
      <c r="A37" s="366" t="s">
        <v>385</v>
      </c>
    </row>
    <row r="38" ht="15.75">
      <c r="A38" s="363"/>
    </row>
    <row r="39" ht="15.75">
      <c r="A39" s="361"/>
    </row>
    <row r="40" ht="63">
      <c r="A40" s="362" t="s">
        <v>386</v>
      </c>
    </row>
    <row r="41" ht="15.75">
      <c r="A41" s="363"/>
    </row>
    <row r="42" ht="15.75">
      <c r="A42" s="363"/>
    </row>
    <row r="43" ht="82.5" customHeight="1">
      <c r="A43" s="353" t="s">
        <v>723</v>
      </c>
    </row>
    <row r="44" ht="15.75">
      <c r="A44" s="363"/>
    </row>
    <row r="45" ht="15.75">
      <c r="A45" s="363"/>
    </row>
    <row r="46" ht="69" customHeight="1">
      <c r="A46" s="353" t="s">
        <v>724</v>
      </c>
    </row>
    <row r="47" ht="15.75">
      <c r="A47" s="363"/>
    </row>
    <row r="48" ht="15.75">
      <c r="A48" s="363"/>
    </row>
    <row r="49" ht="69" customHeight="1">
      <c r="A49" s="353" t="s">
        <v>725</v>
      </c>
    </row>
    <row r="50" ht="15.75" customHeight="1">
      <c r="A50" s="363"/>
    </row>
    <row r="51" ht="21.75" customHeight="1">
      <c r="A51" s="363"/>
    </row>
    <row r="52" ht="66" customHeight="1">
      <c r="A52" s="353" t="s">
        <v>948</v>
      </c>
    </row>
    <row r="53" ht="15.75">
      <c r="A53" s="363"/>
    </row>
    <row r="54" ht="15.75">
      <c r="A54" s="363"/>
    </row>
    <row r="55" ht="63">
      <c r="A55" s="362" t="s">
        <v>387</v>
      </c>
    </row>
    <row r="56" ht="15.75">
      <c r="A56" s="363"/>
    </row>
    <row r="57" ht="15.75">
      <c r="A57" s="363"/>
    </row>
    <row r="58" ht="63">
      <c r="A58" s="362" t="s">
        <v>388</v>
      </c>
    </row>
    <row r="59" ht="15.75">
      <c r="A59" s="363"/>
    </row>
    <row r="60" ht="15.75">
      <c r="A60" s="363"/>
    </row>
    <row r="61" ht="47.25">
      <c r="A61" s="362" t="s">
        <v>389</v>
      </c>
    </row>
    <row r="62" ht="15.75">
      <c r="A62" s="363"/>
    </row>
    <row r="63" ht="15.75">
      <c r="A63" s="363"/>
    </row>
    <row r="64" ht="47.25">
      <c r="A64" s="362" t="s">
        <v>390</v>
      </c>
    </row>
    <row r="65" ht="15.75">
      <c r="A65" s="363"/>
    </row>
    <row r="66" ht="15.75">
      <c r="A66" s="363"/>
    </row>
    <row r="67" ht="78.75">
      <c r="A67" s="362" t="s">
        <v>391</v>
      </c>
    </row>
    <row r="68" ht="15">
      <c r="A68" s="36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Sonya Stohs</cp:lastModifiedBy>
  <cp:lastPrinted>2013-08-06T15:12:07Z</cp:lastPrinted>
  <dcterms:created xsi:type="dcterms:W3CDTF">1998-12-22T16:13:18Z</dcterms:created>
  <dcterms:modified xsi:type="dcterms:W3CDTF">2014-01-30T18:14:02Z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