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65431" windowWidth="10305" windowHeight="729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Sewer" sheetId="13" r:id="rId13"/>
    <sheet name="Reserves" sheetId="14" r:id="rId14"/>
    <sheet name="summ" sheetId="15" r:id="rId15"/>
    <sheet name="Nhood" sheetId="16" r:id="rId16"/>
    <sheet name="ordinance" sheetId="17" r:id="rId17"/>
    <sheet name="Tab A" sheetId="18" r:id="rId18"/>
    <sheet name="Tab B" sheetId="19" r:id="rId19"/>
    <sheet name="Tab C" sheetId="20" r:id="rId20"/>
    <sheet name="Tab D" sheetId="21" r:id="rId21"/>
    <sheet name="Tab E" sheetId="22" r:id="rId22"/>
    <sheet name="Mill Rate Computation" sheetId="23" r:id="rId23"/>
    <sheet name="general-detail" sheetId="24" r:id="rId24"/>
    <sheet name="DebtSvs-Library" sheetId="25" r:id="rId25"/>
    <sheet name="levy page9" sheetId="26" r:id="rId26"/>
    <sheet name="levy page10" sheetId="27" r:id="rId27"/>
    <sheet name="no levy page13" sheetId="28" r:id="rId28"/>
    <sheet name="Sinnolevy14" sheetId="29" r:id="rId29"/>
    <sheet name="Helpful Links" sheetId="30" r:id="rId30"/>
    <sheet name="Legend" sheetId="31" r:id="rId31"/>
    <sheet name="TransferStatutes" sheetId="32" r:id="rId32"/>
    <sheet name="Library Grant" sheetId="33" r:id="rId33"/>
    <sheet name="NonBudFunds" sheetId="34" r:id="rId34"/>
  </sheets>
  <definedNames>
    <definedName name="_xlnm.Print_Area" localSheetId="24">'DebtSvs-Library'!$B$1:$F$83</definedName>
    <definedName name="_xlnm.Print_Area" localSheetId="10">'general'!$B$1:$E$66</definedName>
    <definedName name="_xlnm.Print_Area" localSheetId="1">'inputPrYr'!$A$1:$E$58</definedName>
    <definedName name="_xlnm.Print_Area" localSheetId="26">'levy page10'!$A$1:$F$83</definedName>
    <definedName name="_xlnm.Print_Area" localSheetId="25">'levy page9'!$A$1:$F$83</definedName>
    <definedName name="_xlnm.Print_Area" localSheetId="32">'Library Grant'!$A$1:$J$40</definedName>
    <definedName name="_xlnm.Print_Area" localSheetId="9">'lpform'!$B$1:$I$22</definedName>
    <definedName name="_xlnm.Print_Area" localSheetId="22">'Mill Rate Computation'!$B$4:$K$150</definedName>
    <definedName name="_xlnm.Print_Area" localSheetId="14">'summ'!$A$1:$H$40</definedName>
  </definedNames>
  <calcPr fullCalcOnLoad="1"/>
</workbook>
</file>

<file path=xl/sharedStrings.xml><?xml version="1.0" encoding="utf-8"?>
<sst xmlns="http://schemas.openxmlformats.org/spreadsheetml/2006/main" count="1690" uniqueCount="1043">
  <si>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</si>
  <si>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</si>
  <si>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</si>
  <si>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</si>
  <si>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</si>
  <si>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</si>
  <si>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</si>
  <si>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</si>
  <si>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</si>
  <si>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</si>
  <si>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</si>
  <si>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</si>
  <si>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</si>
  <si>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</si>
  <si>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</si>
  <si>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</si>
  <si>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</si>
  <si>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</si>
  <si>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</si>
  <si>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</si>
  <si>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</si>
  <si>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</si>
  <si>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</si>
  <si>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</si>
  <si>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</si>
  <si>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</si>
  <si>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</si>
  <si>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</si>
  <si>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</si>
  <si>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</si>
  <si>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</si>
  <si>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</si>
  <si>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</si>
  <si>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</si>
  <si>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</si>
  <si>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</si>
  <si>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</si>
  <si>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</si>
  <si>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</si>
  <si>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</si>
  <si>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</si>
  <si>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</si>
  <si>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</si>
  <si>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</si>
  <si>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</si>
  <si>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</si>
  <si>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</si>
  <si>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</si>
  <si>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</si>
  <si>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</si>
  <si>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</si>
  <si>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</si>
  <si>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</si>
  <si>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</si>
  <si>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</si>
  <si>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</si>
  <si>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</si>
  <si>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</si>
  <si>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</si>
  <si>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</si>
  <si>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</si>
  <si>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</si>
  <si>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</si>
  <si>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</si>
  <si>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</si>
  <si>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</si>
  <si>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</si>
  <si>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</si>
  <si>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</si>
  <si>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</si>
  <si>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</si>
  <si>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</si>
  <si>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</si>
  <si>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</si>
  <si>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</si>
  <si>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</si>
  <si>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</si>
  <si>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</si>
  <si>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</si>
  <si>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</si>
  <si>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</si>
  <si>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</si>
  <si>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</si>
  <si>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</si>
  <si>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</si>
  <si>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</si>
  <si>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</si>
  <si>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</si>
  <si>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</si>
  <si>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</si>
  <si>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</si>
  <si>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</si>
  <si>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</si>
  <si>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</si>
  <si>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</si>
  <si>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</si>
  <si>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</si>
  <si>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</si>
  <si>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</si>
  <si>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</si>
  <si>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</si>
  <si>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</si>
  <si>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</si>
  <si>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</si>
  <si>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</si>
  <si>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</si>
  <si>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</si>
  <si>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</si>
  <si>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</si>
  <si>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</si>
  <si>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</si>
  <si>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</si>
  <si>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</si>
  <si>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</si>
  <si>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</si>
  <si>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</si>
  <si>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</si>
  <si>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</si>
  <si>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</si>
  <si>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</si>
  <si>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</si>
  <si>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</si>
  <si>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</si>
  <si>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</si>
  <si>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</si>
  <si>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</si>
  <si>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</si>
  <si>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</si>
  <si>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</si>
  <si>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</si>
  <si>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</si>
  <si>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</si>
  <si>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</si>
  <si>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</si>
  <si>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</si>
  <si>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</si>
  <si>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</si>
  <si>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</si>
  <si>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</si>
  <si>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</si>
  <si>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</si>
  <si>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</si>
  <si>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</si>
  <si>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</si>
  <si>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</si>
  <si>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</si>
  <si>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</si>
  <si>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</si>
  <si>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</si>
  <si>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</si>
  <si>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</si>
  <si>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</si>
  <si>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</si>
  <si>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</si>
  <si>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</si>
  <si>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</si>
  <si>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</si>
  <si>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</si>
  <si>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</si>
  <si>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</si>
  <si>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</si>
  <si>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</si>
  <si>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</si>
  <si>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</si>
  <si>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</si>
  <si>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</si>
  <si>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</si>
  <si>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</si>
  <si>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</si>
  <si>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</si>
  <si>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</si>
  <si>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</si>
  <si>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</si>
  <si>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</si>
  <si>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</si>
  <si>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</si>
  <si>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</si>
  <si>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</si>
  <si>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</si>
  <si>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</si>
  <si>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</si>
  <si>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</si>
  <si>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</si>
  <si>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</si>
  <si>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</si>
  <si>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</si>
  <si>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</si>
  <si>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</si>
  <si>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</si>
  <si>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</si>
  <si>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</si>
  <si>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</si>
  <si>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</si>
  <si>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</si>
  <si>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</si>
  <si>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</si>
  <si>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</si>
  <si>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</si>
  <si>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</si>
  <si>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</si>
  <si>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</si>
  <si>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</si>
  <si>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</si>
  <si>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</si>
  <si>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</si>
  <si>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</si>
  <si>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</si>
  <si>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</si>
  <si>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</si>
  <si>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</si>
  <si>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</si>
  <si>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</si>
  <si>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</si>
  <si>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</si>
  <si>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</si>
  <si>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</si>
  <si>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</si>
  <si>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</si>
  <si>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</si>
  <si>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</si>
  <si>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</si>
  <si>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</si>
  <si>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</si>
  <si>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</si>
  <si>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</si>
  <si>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</si>
  <si>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</si>
  <si>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</si>
  <si>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</si>
  <si>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</si>
  <si>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</si>
  <si>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</si>
  <si>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</si>
  <si>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</si>
  <si>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</si>
  <si>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</si>
  <si>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</si>
  <si>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</si>
  <si>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</si>
  <si>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</si>
  <si>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</si>
  <si>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</si>
  <si>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</si>
  <si>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</si>
  <si>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</si>
  <si>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</si>
  <si>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</si>
  <si>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</si>
  <si>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</si>
  <si>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</si>
  <si>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</si>
  <si>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</si>
  <si>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</si>
  <si>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</si>
  <si>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</si>
  <si>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</si>
  <si>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</si>
  <si>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</si>
  <si>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</si>
  <si>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</si>
  <si>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</si>
  <si>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</si>
  <si>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</si>
  <si>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</si>
  <si>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</si>
  <si>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</si>
  <si>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</si>
  <si>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</si>
  <si>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</si>
  <si>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</si>
  <si>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</si>
  <si>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</si>
  <si>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</si>
  <si>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</si>
  <si>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</si>
  <si>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</si>
  <si>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</si>
  <si>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</si>
  <si>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</si>
  <si>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</si>
  <si>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</si>
  <si>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</si>
  <si>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</si>
  <si>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</si>
  <si>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</si>
  <si>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</si>
  <si>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</si>
  <si>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</si>
  <si>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</si>
  <si>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</si>
  <si>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</si>
  <si>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</si>
  <si>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</si>
  <si>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</si>
  <si>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</si>
  <si>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</si>
  <si>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</si>
  <si>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</si>
  <si>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</si>
  <si>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</si>
  <si>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</si>
  <si>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</si>
  <si>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</si>
  <si>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</si>
  <si>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</si>
  <si>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</si>
  <si>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</si>
  <si>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</si>
  <si>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</si>
  <si>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</si>
  <si>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</si>
  <si>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</si>
  <si>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</si>
  <si>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</si>
  <si>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</si>
  <si>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</si>
  <si>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</si>
  <si>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</si>
  <si>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</si>
  <si>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</si>
  <si>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</si>
  <si>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</si>
  <si>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</si>
  <si>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</si>
  <si>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</si>
  <si>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</si>
  <si>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</si>
  <si>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</si>
  <si>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</si>
  <si>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</si>
  <si>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</si>
  <si>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</si>
  <si>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</si>
  <si>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</si>
  <si>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</si>
  <si>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</si>
  <si>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</si>
  <si>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</si>
  <si>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</si>
  <si>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</si>
  <si>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</si>
  <si>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</si>
  <si>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</si>
  <si>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</si>
  <si>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</si>
  <si>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</si>
  <si>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</si>
  <si>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</si>
  <si>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</si>
  <si>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</si>
  <si>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</si>
  <si>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</si>
  <si>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</si>
  <si>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</si>
  <si>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</si>
  <si>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</si>
  <si>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</si>
  <si>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</si>
  <si>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</si>
  <si>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</si>
  <si>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</si>
  <si>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</si>
  <si>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</si>
  <si>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</si>
  <si>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</si>
  <si>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</si>
  <si>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</si>
  <si>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</si>
  <si>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</si>
  <si>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</si>
  <si>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</si>
  <si>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</si>
  <si>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</si>
  <si>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</si>
  <si>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</si>
  <si>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</si>
  <si>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</si>
  <si>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</si>
  <si>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</si>
  <si>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</si>
  <si>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</si>
  <si>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</si>
  <si>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</si>
  <si>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</si>
  <si>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</si>
  <si>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</si>
  <si>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</si>
  <si>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</si>
  <si>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</si>
  <si>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</si>
  <si>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</si>
  <si>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</si>
  <si>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</si>
  <si>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</si>
  <si>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</si>
  <si>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</si>
  <si>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</si>
  <si>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</si>
  <si>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</si>
  <si>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</si>
  <si>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</si>
  <si>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</si>
  <si>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</si>
  <si>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</si>
  <si>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</si>
  <si>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</si>
  <si>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</si>
  <si>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</si>
  <si>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</si>
  <si>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</si>
  <si>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</si>
  <si>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</si>
  <si>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</si>
  <si>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</si>
  <si>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</si>
  <si>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</si>
  <si>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</si>
  <si>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</si>
  <si>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</si>
  <si>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</si>
  <si>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</si>
  <si>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</si>
  <si>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</si>
  <si>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</si>
  <si>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</si>
  <si>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</si>
  <si>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</si>
  <si>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</si>
  <si>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</si>
  <si>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</si>
  <si>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</si>
  <si>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</si>
  <si>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</si>
  <si>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</si>
  <si>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</si>
  <si>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</si>
  <si>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</si>
  <si>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</si>
  <si>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</si>
  <si>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</si>
  <si>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</si>
  <si>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</si>
  <si>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</si>
  <si>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</si>
  <si>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</si>
  <si>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</si>
  <si>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</si>
  <si>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</si>
  <si>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</si>
  <si>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</si>
  <si>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</si>
  <si>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</si>
  <si>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</si>
  <si>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</si>
  <si>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</si>
  <si>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</si>
  <si>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</si>
  <si>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</si>
  <si>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</si>
  <si>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</si>
  <si>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</si>
  <si>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</si>
  <si>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</si>
  <si>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</si>
  <si>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</si>
  <si>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</si>
  <si>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</si>
  <si>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</si>
  <si>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</si>
  <si>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</si>
  <si>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</si>
  <si>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</si>
  <si>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</si>
  <si>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</si>
  <si>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</si>
  <si>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</si>
  <si>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</si>
  <si>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</si>
  <si>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</si>
  <si>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</si>
  <si>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</si>
  <si>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</si>
  <si>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</si>
  <si>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</si>
  <si>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</si>
  <si>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</si>
  <si>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</si>
  <si>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</si>
  <si>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</si>
  <si>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</si>
  <si>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</si>
  <si>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</si>
  <si>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</si>
  <si>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</si>
  <si>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</si>
  <si>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</si>
  <si>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</si>
  <si>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</si>
  <si>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</si>
  <si>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</si>
  <si>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</si>
  <si>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</si>
  <si>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</si>
  <si>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</si>
  <si>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</si>
  <si>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</si>
  <si>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</si>
  <si>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</si>
  <si>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</si>
  <si>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</si>
  <si>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</si>
  <si>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</si>
  <si>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</si>
  <si>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</si>
  <si>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</si>
  <si>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</si>
  <si>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</si>
  <si>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</si>
  <si>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</si>
  <si>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</si>
  <si>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</si>
  <si>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</si>
  <si>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</si>
  <si>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</si>
  <si>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</si>
  <si>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</si>
  <si>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</si>
  <si>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</si>
  <si>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</si>
  <si>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</si>
  <si>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</si>
  <si>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</si>
  <si>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</si>
  <si>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</si>
  <si>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</si>
  <si>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</si>
  <si>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</si>
  <si>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</si>
  <si>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</si>
  <si>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</si>
  <si>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</si>
  <si>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</si>
  <si>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</si>
  <si>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</si>
  <si>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</si>
  <si>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</si>
  <si>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</si>
  <si>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</si>
  <si>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</si>
  <si>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</si>
  <si>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</si>
  <si>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</si>
  <si>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</si>
  <si>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</si>
  <si>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</si>
  <si>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</si>
  <si>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</si>
  <si>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</si>
  <si>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</si>
  <si>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</si>
  <si>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</si>
  <si>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</si>
  <si>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</si>
  <si>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</si>
  <si>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</si>
  <si>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</si>
  <si>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</si>
  <si>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</si>
  <si>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</si>
  <si>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</si>
  <si>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</si>
  <si>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</si>
  <si>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</si>
  <si>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</si>
  <si>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</si>
  <si>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</si>
  <si>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</si>
  <si>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</si>
  <si>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</si>
  <si>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</si>
  <si>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</si>
  <si>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</si>
  <si>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</si>
  <si>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</si>
  <si>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</si>
  <si>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</si>
  <si>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</si>
  <si>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</si>
  <si>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</si>
  <si>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</si>
  <si>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</si>
  <si>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</si>
  <si>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</si>
  <si>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</si>
  <si>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</si>
  <si>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</si>
  <si>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</si>
  <si>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</si>
  <si>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</si>
  <si>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</si>
  <si>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</si>
  <si>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</si>
  <si>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</si>
  <si>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</si>
  <si>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</si>
  <si>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</si>
  <si>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</si>
  <si>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</si>
  <si>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</si>
  <si>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</si>
  <si>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</si>
  <si>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</si>
  <si>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</si>
  <si>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</si>
  <si>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</si>
  <si>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</si>
  <si>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</si>
  <si>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</si>
  <si>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</si>
  <si>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</si>
  <si>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</si>
  <si>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</si>
  <si>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</si>
  <si>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</si>
  <si>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</si>
  <si>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</si>
  <si>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</si>
  <si>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</si>
  <si>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</si>
  <si>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</si>
  <si>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</si>
  <si>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</si>
  <si>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</si>
  <si>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</si>
  <si>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</si>
  <si>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</si>
  <si>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</si>
  <si>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</si>
  <si>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</si>
  <si>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</si>
  <si>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</si>
  <si>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</si>
  <si>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</si>
  <si>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</si>
  <si>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</si>
  <si>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</si>
  <si>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</si>
  <si>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</si>
  <si>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</si>
  <si>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</si>
  <si>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</si>
  <si>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</si>
  <si>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</si>
  <si>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</si>
  <si>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</si>
  <si>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</si>
  <si>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</si>
  <si>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</si>
  <si>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</si>
  <si>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</si>
  <si>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</si>
  <si>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</si>
  <si>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</si>
  <si>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</si>
  <si>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</si>
  <si>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</si>
  <si>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</si>
  <si>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</si>
  <si>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</si>
  <si>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</si>
  <si>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</si>
  <si>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</si>
  <si>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</si>
  <si>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</si>
  <si>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</si>
  <si>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</si>
  <si>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</si>
  <si>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</si>
  <si>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</si>
  <si>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</si>
  <si>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</si>
  <si>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</si>
  <si>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</si>
  <si>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</si>
  <si>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</si>
  <si>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</si>
  <si>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</si>
  <si>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</si>
  <si>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</si>
  <si>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</si>
  <si>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</si>
  <si>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</si>
  <si>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</si>
  <si>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</si>
  <si>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</si>
  <si>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</si>
  <si>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</si>
  <si>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</si>
  <si>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</si>
  <si>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</si>
  <si>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</si>
  <si>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</si>
  <si>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</si>
  <si>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</si>
  <si>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</si>
  <si>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</si>
  <si>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</si>
  <si>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</si>
  <si>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</si>
  <si>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</si>
  <si>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</si>
  <si>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</si>
  <si>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</si>
  <si>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</si>
  <si>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</si>
  <si>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</si>
  <si>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</si>
  <si>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</si>
  <si>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</si>
  <si>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</si>
  <si>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</si>
  <si>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</si>
  <si>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</si>
  <si>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</si>
  <si>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</si>
  <si>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</si>
  <si>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</si>
  <si>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</si>
  <si>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</si>
  <si>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</si>
  <si>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</si>
  <si>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</si>
  <si>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</si>
  <si>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</si>
  <si>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</si>
  <si>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</si>
  <si>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</si>
  <si>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</si>
  <si>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</si>
  <si>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</si>
  <si>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</si>
  <si>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</si>
  <si>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</si>
  <si>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</si>
  <si>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</si>
  <si>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</si>
  <si>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</si>
  <si>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</si>
  <si>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</si>
  <si>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</si>
  <si>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</si>
  <si>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</si>
  <si>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</si>
  <si>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</si>
  <si>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</si>
  <si>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</si>
  <si>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</si>
  <si>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</si>
  <si>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</si>
  <si>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</si>
  <si>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</si>
  <si>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</si>
  <si>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</si>
  <si>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</si>
  <si>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</si>
  <si>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</si>
  <si>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</si>
  <si>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</si>
  <si>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</si>
  <si>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</si>
  <si>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</si>
  <si>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</si>
  <si>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</si>
  <si>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</si>
  <si>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</si>
  <si>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</si>
  <si>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</si>
  <si>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</si>
  <si>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</si>
  <si>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</si>
  <si>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</si>
  <si>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</si>
  <si>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</si>
  <si>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</si>
  <si>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</si>
  <si>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</si>
  <si>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</si>
  <si>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</si>
  <si>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</si>
  <si>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</si>
  <si>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</si>
  <si>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</si>
  <si>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</si>
  <si>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</si>
  <si>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</si>
  <si>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</si>
  <si>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</si>
  <si>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</si>
  <si>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</si>
  <si>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</si>
  <si>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</si>
  <si>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</si>
  <si>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</si>
  <si>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</si>
  <si>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</si>
  <si>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</si>
  <si>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</si>
  <si>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</si>
  <si>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</si>
  <si>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</si>
  <si>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</si>
  <si>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</si>
  <si>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</si>
  <si>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</si>
  <si>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</si>
  <si>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</si>
  <si>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</si>
  <si>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</si>
  <si>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</si>
  <si>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</si>
  <si>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</si>
  <si>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</si>
  <si>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</si>
  <si>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</si>
  <si>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</si>
  <si>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</si>
  <si>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</si>
  <si>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</si>
  <si>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</si>
  <si>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</si>
  <si>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</si>
  <si>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</si>
  <si>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</si>
  <si>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</si>
  <si>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</si>
  <si>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</si>
  <si>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</si>
  <si>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</si>
  <si>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</si>
  <si>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</si>
  <si>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</si>
  <si>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</si>
  <si>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</si>
  <si>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</si>
  <si>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</si>
  <si>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</si>
  <si>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</si>
  <si>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</si>
  <si>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</si>
  <si>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</si>
  <si>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</si>
  <si>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</si>
  <si>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</si>
  <si>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</si>
  <si>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</si>
  <si>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</si>
  <si>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</si>
  <si>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</si>
  <si>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</si>
  <si>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</si>
  <si>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</si>
  <si>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</si>
  <si>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</si>
  <si>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</si>
  <si>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</si>
  <si>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</si>
  <si>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</si>
  <si>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</si>
  <si>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</si>
  <si>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</si>
  <si>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</si>
  <si>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</si>
  <si>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</si>
  <si>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</si>
  <si>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</si>
  <si>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</si>
  <si>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</si>
  <si>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</si>
  <si>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</si>
  <si>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</si>
  <si>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</si>
  <si>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</si>
  <si>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</si>
  <si>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</si>
  <si>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</si>
  <si>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</si>
  <si>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</si>
  <si>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</si>
  <si>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</si>
  <si>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</si>
  <si>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</si>
  <si>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</si>
  <si>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</si>
  <si>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</si>
  <si>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</si>
  <si>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</si>
  <si>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</si>
  <si>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</si>
  <si>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</si>
  <si>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</si>
  <si>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</si>
  <si>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</si>
  <si>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</si>
  <si>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</si>
  <si>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</si>
  <si>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</si>
  <si>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</si>
  <si>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</si>
  <si>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</si>
  <si>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</si>
  <si>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</si>
  <si>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</si>
  <si>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</si>
  <si>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</si>
  <si>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</si>
  <si>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</si>
  <si>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</si>
  <si>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</si>
  <si>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</si>
  <si>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</si>
  <si>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</si>
  <si>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</si>
  <si>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</si>
  <si>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</si>
  <si>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</si>
  <si>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</si>
  <si>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</si>
  <si>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</si>
  <si>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</si>
  <si>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</si>
  <si>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</si>
  <si>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</si>
  <si>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</si>
  <si>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</si>
  <si>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</si>
  <si>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</si>
  <si>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</si>
  <si>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</si>
  <si>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</si>
  <si>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</si>
  <si>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</si>
  <si>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</si>
  <si>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</si>
  <si>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</si>
  <si>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</si>
  <si>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</si>
  <si>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</si>
  <si>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</si>
  <si>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</si>
  <si>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</si>
  <si>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</si>
  <si>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</si>
  <si>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</si>
  <si>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</si>
  <si>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</si>
  <si>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</si>
  <si>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</si>
  <si>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</si>
  <si>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</si>
  <si>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</si>
  <si>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</si>
  <si>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</si>
  <si>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</si>
  <si>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</si>
  <si>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</si>
  <si>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</si>
  <si>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</si>
  <si>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</si>
  <si>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</si>
  <si>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</si>
  <si>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</si>
  <si>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</si>
  <si>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</si>
  <si>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</si>
  <si>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</si>
  <si>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</si>
  <si>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</si>
  <si>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</si>
  <si>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</si>
  <si>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</si>
  <si>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</si>
  <si>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</si>
  <si>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</si>
  <si>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</si>
  <si>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</si>
  <si>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</si>
  <si>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</si>
  <si>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City of Beattie</t>
  </si>
  <si>
    <t>Marshall County</t>
  </si>
  <si>
    <t>Water</t>
  </si>
  <si>
    <t>Sewer</t>
  </si>
  <si>
    <t>KDHE Loan</t>
  </si>
  <si>
    <t>Sept</t>
  </si>
  <si>
    <t>None</t>
  </si>
  <si>
    <t>Water Deposits</t>
  </si>
  <si>
    <t>Licenses/Stamps</t>
  </si>
  <si>
    <t>Sale of iron/equipment</t>
  </si>
  <si>
    <t>Utilities &amp; Street Lights</t>
  </si>
  <si>
    <t>Maintenance</t>
  </si>
  <si>
    <t>Street Repairs &amp; Curbing</t>
  </si>
  <si>
    <t>Insurance</t>
  </si>
  <si>
    <t>Fire District # 3</t>
  </si>
  <si>
    <t>Council Fees</t>
  </si>
  <si>
    <t>Equipment</t>
  </si>
  <si>
    <t>Mowing</t>
  </si>
  <si>
    <t>Fuel</t>
  </si>
  <si>
    <t>Postage</t>
  </si>
  <si>
    <t>Office Supplies</t>
  </si>
  <si>
    <t>Budget &amp; Publications</t>
  </si>
  <si>
    <t>License</t>
  </si>
  <si>
    <t>Fees &amp; Dues</t>
  </si>
  <si>
    <t>Taxes</t>
  </si>
  <si>
    <t>Legal Fees</t>
  </si>
  <si>
    <t>Communications</t>
  </si>
  <si>
    <t>Phone</t>
  </si>
  <si>
    <t>Accounting Fees</t>
  </si>
  <si>
    <t>Rock &amp; Gravel</t>
  </si>
  <si>
    <t>Council Expenses</t>
  </si>
  <si>
    <t>Oil</t>
  </si>
  <si>
    <t>Rural Water District # 3</t>
  </si>
  <si>
    <t>Lab Fees</t>
  </si>
  <si>
    <t>Water Protection Fees</t>
  </si>
  <si>
    <t>Capital Improvements</t>
  </si>
  <si>
    <t>Sales Tax</t>
  </si>
  <si>
    <t>KS Water Members</t>
  </si>
  <si>
    <t>Capital Improvemets</t>
  </si>
  <si>
    <t>Maintenance &amp; Repairs</t>
  </si>
  <si>
    <t>Testing &amp; Evaluations</t>
  </si>
  <si>
    <t>KDHE Loan Principal &amp; Interest</t>
  </si>
  <si>
    <t xml:space="preserve">Capital Projects </t>
  </si>
  <si>
    <t>Reserves</t>
  </si>
  <si>
    <t>NeighborHood Revitalization</t>
  </si>
  <si>
    <t>Grave Opening &amp; Closing</t>
  </si>
  <si>
    <t>Community Center Trust</t>
  </si>
  <si>
    <t>Building Repairs</t>
  </si>
  <si>
    <t>Capital Outlay</t>
  </si>
  <si>
    <t>7:00 PM</t>
  </si>
  <si>
    <t>Kevin O'Neil</t>
  </si>
  <si>
    <t>Mayor</t>
  </si>
  <si>
    <t>Rent</t>
  </si>
  <si>
    <t>Milo fest/shack</t>
  </si>
  <si>
    <t>Trust/Donation</t>
  </si>
  <si>
    <t>August 14, 2013</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</si>
</sst>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97" fontId="4" fillId="30" borderId="20" xfId="0" applyNumberFormat="1" applyFont="1" applyFill="1" applyBorder="1" applyAlignment="1" applyProtection="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325</v>
      </c>
    </row>
    <row r="4" ht="15.75">
      <c r="A4" s="53"/>
    </row>
    <row r="5" ht="85.5" customHeight="1">
      <c r="A5" s="54" t="s">
        <v>48</v>
      </c>
    </row>
    <row r="6" ht="15.75">
      <c r="A6" s="54"/>
    </row>
    <row r="7" ht="53.25" customHeight="1">
      <c r="A7" s="54" t="s">
        <v>962</v>
      </c>
    </row>
    <row r="9" ht="15.75">
      <c r="A9" s="50" t="s">
        <v>62</v>
      </c>
    </row>
    <row r="10" ht="15.75">
      <c r="A10" s="50"/>
    </row>
    <row r="11" ht="27" customHeight="1">
      <c r="A11" s="53" t="s">
        <v>63</v>
      </c>
    </row>
    <row r="12" ht="51.75" customHeight="1" hidden="1"/>
    <row r="13" ht="12" customHeight="1"/>
    <row r="14" ht="42.75" customHeight="1">
      <c r="A14" s="55" t="s">
        <v>662</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752</v>
      </c>
    </row>
    <row r="37" ht="38.25" customHeight="1">
      <c r="A37" s="54" t="s">
        <v>40</v>
      </c>
    </row>
    <row r="38" ht="57" customHeight="1">
      <c r="A38" s="63" t="s">
        <v>14</v>
      </c>
    </row>
    <row r="39" ht="114.75" customHeight="1">
      <c r="A39" s="63" t="s">
        <v>919</v>
      </c>
    </row>
    <row r="40" ht="11.25" customHeight="1"/>
    <row r="41" ht="81" customHeight="1">
      <c r="A41" s="54" t="s">
        <v>661</v>
      </c>
    </row>
    <row r="42" ht="66" customHeight="1">
      <c r="A42" s="54" t="s">
        <v>97</v>
      </c>
    </row>
    <row r="43" ht="105" customHeight="1">
      <c r="A43" s="54" t="s">
        <v>101</v>
      </c>
    </row>
    <row r="44" ht="12.75" customHeight="1"/>
    <row r="45" ht="73.5" customHeight="1">
      <c r="A45" s="392" t="s">
        <v>901</v>
      </c>
    </row>
    <row r="46" ht="69.75" customHeight="1">
      <c r="A46" s="393" t="s">
        <v>615</v>
      </c>
    </row>
    <row r="47" ht="69.75" customHeight="1">
      <c r="A47" s="393" t="s">
        <v>902</v>
      </c>
    </row>
    <row r="48" ht="12.75" customHeight="1"/>
    <row r="49" ht="67.5" customHeight="1">
      <c r="A49" s="54" t="s">
        <v>616</v>
      </c>
    </row>
    <row r="50" ht="37.5" customHeight="1">
      <c r="A50" s="54" t="s">
        <v>617</v>
      </c>
    </row>
    <row r="51" ht="13.5" customHeight="1">
      <c r="A51" s="54"/>
    </row>
    <row r="52" ht="69.75" customHeight="1">
      <c r="A52" s="54" t="s">
        <v>618</v>
      </c>
    </row>
    <row r="53" ht="103.5" customHeight="1">
      <c r="A53" s="54" t="s">
        <v>974</v>
      </c>
    </row>
    <row r="54" ht="13.5" customHeight="1">
      <c r="A54" s="54"/>
    </row>
    <row r="55" ht="70.5" customHeight="1">
      <c r="A55" s="54" t="s">
        <v>753</v>
      </c>
    </row>
    <row r="56" ht="117.75" customHeight="1">
      <c r="A56" s="54" t="s">
        <v>619</v>
      </c>
    </row>
    <row r="57" ht="35.25" customHeight="1">
      <c r="A57" s="54" t="s">
        <v>620</v>
      </c>
    </row>
    <row r="58" ht="15.75">
      <c r="A58" s="54"/>
    </row>
    <row r="59" ht="82.5" customHeight="1">
      <c r="A59" s="54" t="s">
        <v>890</v>
      </c>
    </row>
    <row r="61" ht="64.5" customHeight="1">
      <c r="A61" s="54" t="s">
        <v>621</v>
      </c>
    </row>
    <row r="62" ht="42.75" customHeight="1">
      <c r="A62" s="54" t="s">
        <v>640</v>
      </c>
    </row>
    <row r="63" ht="88.5" customHeight="1">
      <c r="A63" s="54" t="s">
        <v>663</v>
      </c>
    </row>
    <row r="64" ht="39" customHeight="1">
      <c r="A64" s="357" t="s">
        <v>641</v>
      </c>
    </row>
    <row r="66" s="54" customFormat="1" ht="58.5" customHeight="1">
      <c r="A66" s="54" t="s">
        <v>622</v>
      </c>
    </row>
    <row r="68" ht="69" customHeight="1">
      <c r="A68" s="54" t="s">
        <v>623</v>
      </c>
    </row>
    <row r="69" ht="11.25" customHeight="1"/>
    <row r="70" ht="147" customHeight="1">
      <c r="A70" s="54" t="s">
        <v>951</v>
      </c>
    </row>
    <row r="71" ht="11.25" customHeight="1"/>
    <row r="72" ht="85.5" customHeight="1">
      <c r="A72" s="54" t="s">
        <v>963</v>
      </c>
    </row>
    <row r="73" ht="85.5" customHeight="1">
      <c r="A73" s="54" t="s">
        <v>903</v>
      </c>
    </row>
    <row r="74" ht="104.25" customHeight="1">
      <c r="A74" s="491" t="s">
        <v>950</v>
      </c>
    </row>
    <row r="75" ht="73.5" customHeight="1">
      <c r="A75" s="491" t="s">
        <v>949</v>
      </c>
    </row>
    <row r="76" ht="73.5" customHeight="1">
      <c r="A76" s="491" t="s">
        <v>955</v>
      </c>
    </row>
    <row r="77" ht="136.5" customHeight="1">
      <c r="A77" s="54" t="s">
        <v>904</v>
      </c>
    </row>
    <row r="78" ht="85.5" customHeight="1">
      <c r="A78" s="54" t="s">
        <v>905</v>
      </c>
    </row>
    <row r="79" ht="116.25" customHeight="1">
      <c r="A79" s="54" t="s">
        <v>906</v>
      </c>
    </row>
    <row r="80" ht="140.25" customHeight="1">
      <c r="A80" s="54" t="s">
        <v>964</v>
      </c>
    </row>
    <row r="81" ht="63" customHeight="1">
      <c r="A81" s="54" t="s">
        <v>907</v>
      </c>
    </row>
    <row r="82" ht="128.25" customHeight="1">
      <c r="A82" s="54" t="s">
        <v>908</v>
      </c>
    </row>
    <row r="83" ht="52.5" customHeight="1">
      <c r="A83" s="54" t="s">
        <v>909</v>
      </c>
    </row>
    <row r="84" ht="81" customHeight="1">
      <c r="A84" s="54" t="s">
        <v>910</v>
      </c>
    </row>
    <row r="85" ht="129" customHeight="1">
      <c r="A85" s="358" t="s">
        <v>911</v>
      </c>
    </row>
    <row r="86" ht="130.5" customHeight="1">
      <c r="A86" s="359" t="s">
        <v>912</v>
      </c>
    </row>
    <row r="87" ht="70.5" customHeight="1">
      <c r="A87" s="360" t="s">
        <v>913</v>
      </c>
    </row>
    <row r="88" ht="12" customHeight="1"/>
    <row r="89" ht="54" customHeight="1">
      <c r="A89" s="54" t="s">
        <v>891</v>
      </c>
    </row>
    <row r="90" ht="72" customHeight="1">
      <c r="A90" s="735" t="s">
        <v>967</v>
      </c>
    </row>
    <row r="91" ht="38.25" customHeight="1">
      <c r="A91" s="394" t="s">
        <v>968</v>
      </c>
    </row>
    <row r="92" ht="36.75" customHeight="1">
      <c r="A92" s="491" t="s">
        <v>969</v>
      </c>
    </row>
    <row r="93" ht="131.25" customHeight="1">
      <c r="A93" s="491" t="s">
        <v>970</v>
      </c>
    </row>
    <row r="94" ht="153.75" customHeight="1">
      <c r="A94" s="491" t="s">
        <v>971</v>
      </c>
    </row>
    <row r="95" ht="92.25" customHeight="1">
      <c r="A95" s="395" t="s">
        <v>972</v>
      </c>
    </row>
    <row r="96" ht="89.25" customHeight="1">
      <c r="A96" s="396" t="s">
        <v>973</v>
      </c>
    </row>
    <row r="97" ht="12" customHeight="1"/>
    <row r="98" ht="127.5" customHeight="1">
      <c r="A98" s="54" t="s">
        <v>892</v>
      </c>
    </row>
    <row r="99" ht="117" customHeight="1">
      <c r="A99" s="54" t="s">
        <v>893</v>
      </c>
    </row>
    <row r="100" ht="56.25" customHeight="1">
      <c r="A100" s="54" t="s">
        <v>894</v>
      </c>
    </row>
    <row r="101" ht="26.25" customHeight="1">
      <c r="A101" s="54" t="s">
        <v>895</v>
      </c>
    </row>
    <row r="102" ht="14.25" customHeight="1">
      <c r="A102" s="54"/>
    </row>
    <row r="103" ht="68.25" customHeight="1">
      <c r="A103" s="54" t="s">
        <v>896</v>
      </c>
    </row>
    <row r="105" ht="63.75" customHeight="1">
      <c r="A105" s="491" t="s">
        <v>897</v>
      </c>
    </row>
    <row r="106" ht="105.75" customHeight="1">
      <c r="A106" s="491" t="s">
        <v>898</v>
      </c>
    </row>
    <row r="107" ht="130.5" customHeight="1">
      <c r="A107" s="491" t="s">
        <v>899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E31" sqref="E31"/>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Beattie</v>
      </c>
      <c r="C1" s="65"/>
      <c r="D1" s="65"/>
      <c r="E1" s="65"/>
      <c r="F1" s="65"/>
      <c r="G1" s="65"/>
      <c r="H1" s="65"/>
      <c r="I1" s="162">
        <f>inputPrYr!$C$5</f>
        <v>2014</v>
      </c>
      <c r="J1" s="51"/>
      <c r="K1" s="267"/>
    </row>
    <row r="2" spans="2:11" ht="15.75">
      <c r="B2" s="202"/>
      <c r="C2" s="65"/>
      <c r="D2" s="65"/>
      <c r="E2" s="65"/>
      <c r="F2" s="65"/>
      <c r="G2" s="65"/>
      <c r="H2" s="65"/>
      <c r="I2" s="65"/>
      <c r="J2" s="51"/>
      <c r="K2" s="267"/>
    </row>
    <row r="3" spans="2:11" ht="15.75">
      <c r="B3" s="240" t="s">
        <v>258</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207</v>
      </c>
      <c r="E6" s="244" t="s">
        <v>208</v>
      </c>
      <c r="F6" s="244" t="s">
        <v>157</v>
      </c>
      <c r="G6" s="244" t="s">
        <v>311</v>
      </c>
      <c r="H6" s="244" t="s">
        <v>211</v>
      </c>
      <c r="I6" s="244" t="s">
        <v>211</v>
      </c>
    </row>
    <row r="7" spans="2:9" ht="15.75">
      <c r="B7" s="244" t="s">
        <v>916</v>
      </c>
      <c r="C7" s="244" t="s">
        <v>212</v>
      </c>
      <c r="D7" s="244" t="s">
        <v>213</v>
      </c>
      <c r="E7" s="244" t="s">
        <v>197</v>
      </c>
      <c r="F7" s="244" t="s">
        <v>214</v>
      </c>
      <c r="G7" s="244" t="s">
        <v>312</v>
      </c>
      <c r="H7" s="244" t="s">
        <v>215</v>
      </c>
      <c r="I7" s="244" t="s">
        <v>215</v>
      </c>
    </row>
    <row r="8" spans="2:9" ht="15.75">
      <c r="B8" s="247" t="s">
        <v>917</v>
      </c>
      <c r="C8" s="247" t="s">
        <v>194</v>
      </c>
      <c r="D8" s="271" t="s">
        <v>216</v>
      </c>
      <c r="E8" s="247" t="s">
        <v>176</v>
      </c>
      <c r="F8" s="271" t="s">
        <v>286</v>
      </c>
      <c r="G8" s="247">
        <f>inputPrYr!C5-1</f>
        <v>2013</v>
      </c>
      <c r="H8" s="247">
        <f>inputPrYr!C5-1</f>
        <v>2013</v>
      </c>
      <c r="I8" s="230">
        <f>inputPrYr!$C$5</f>
        <v>2014</v>
      </c>
    </row>
    <row r="9" spans="2:9" ht="15.75">
      <c r="B9" s="249"/>
      <c r="C9" s="272"/>
      <c r="D9" s="272"/>
      <c r="E9" s="250"/>
      <c r="F9" s="251"/>
      <c r="G9" s="251"/>
      <c r="H9" s="251"/>
      <c r="I9" s="251"/>
    </row>
    <row r="10" spans="2:9" ht="15.75">
      <c r="B10" s="249" t="s">
        <v>993</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4"/>
  <sheetViews>
    <sheetView zoomScale="70" zoomScaleNormal="70" zoomScalePageLayoutView="0" workbookViewId="0" topLeftCell="A6">
      <selection activeCell="E64" sqref="E64"/>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Beattie</v>
      </c>
      <c r="C1" s="65"/>
      <c r="D1" s="65"/>
      <c r="E1" s="162">
        <f>inputPrYr!$C$5</f>
        <v>2014</v>
      </c>
    </row>
    <row r="2" spans="2:5" ht="15.75">
      <c r="B2" s="65"/>
      <c r="C2" s="65"/>
      <c r="D2" s="65"/>
      <c r="E2" s="219"/>
    </row>
    <row r="3" spans="2:5" ht="15.75">
      <c r="B3" s="82"/>
      <c r="C3" s="224"/>
      <c r="D3" s="224"/>
      <c r="E3" s="164"/>
    </row>
    <row r="4" spans="2:5" ht="15.75">
      <c r="B4" s="82" t="s">
        <v>221</v>
      </c>
      <c r="C4" s="277"/>
      <c r="D4" s="277"/>
      <c r="E4" s="277"/>
    </row>
    <row r="5" spans="2:5" ht="15.75">
      <c r="B5" s="70" t="s">
        <v>165</v>
      </c>
      <c r="C5" s="708" t="s">
        <v>832</v>
      </c>
      <c r="D5" s="709" t="s">
        <v>833</v>
      </c>
      <c r="E5" s="175" t="s">
        <v>834</v>
      </c>
    </row>
    <row r="6" spans="2:5" ht="15.75">
      <c r="B6" s="453" t="str">
        <f>+(inputPrYr!B17)</f>
        <v>General</v>
      </c>
      <c r="C6" s="333" t="str">
        <f>CONCATENATE("Actual for ",$E$1-2,"")</f>
        <v>Actual for 2012</v>
      </c>
      <c r="D6" s="415" t="str">
        <f>CONCATENATE("Estimate for ",$E$1-1,"")</f>
        <v>Estimate for 2013</v>
      </c>
      <c r="E6" s="230" t="str">
        <f>CONCATENATE("Year for ",$E$1,"")</f>
        <v>Year for 2014</v>
      </c>
    </row>
    <row r="7" spans="2:5" ht="15.75">
      <c r="B7" s="179" t="s">
        <v>278</v>
      </c>
      <c r="C7" s="423">
        <v>75108</v>
      </c>
      <c r="D7" s="441">
        <f>C58</f>
        <v>60295</v>
      </c>
      <c r="E7" s="278">
        <f>D58</f>
        <v>48769</v>
      </c>
    </row>
    <row r="8" spans="2:7" ht="15.75">
      <c r="B8" s="279" t="s">
        <v>280</v>
      </c>
      <c r="C8" s="424"/>
      <c r="D8" s="441"/>
      <c r="E8" s="280"/>
      <c r="G8" s="66">
        <v>62037</v>
      </c>
    </row>
    <row r="9" spans="2:7" ht="15.75">
      <c r="B9" s="179" t="s">
        <v>166</v>
      </c>
      <c r="C9" s="423">
        <v>46486</v>
      </c>
      <c r="D9" s="441">
        <f>IF(inputPrYr!H16&gt;0,inputPrYr!G17,inputPrYr!E17)</f>
        <v>47467</v>
      </c>
      <c r="E9" s="281" t="s">
        <v>153</v>
      </c>
      <c r="G9" s="66">
        <v>61869</v>
      </c>
    </row>
    <row r="10" spans="2:7" ht="15.75">
      <c r="B10" s="179" t="s">
        <v>167</v>
      </c>
      <c r="C10" s="423">
        <f>1336</f>
        <v>1336</v>
      </c>
      <c r="D10" s="425"/>
      <c r="E10" s="282"/>
      <c r="G10" s="66">
        <f>+G8-G9</f>
        <v>168</v>
      </c>
    </row>
    <row r="11" spans="2:5" ht="15.75">
      <c r="B11" s="179" t="s">
        <v>168</v>
      </c>
      <c r="C11" s="423" t="s">
        <v>141</v>
      </c>
      <c r="D11" s="425">
        <v>12501</v>
      </c>
      <c r="E11" s="283">
        <f>Mvalloc!D9</f>
        <v>13173</v>
      </c>
    </row>
    <row r="12" spans="2:5" ht="15.75">
      <c r="B12" s="179" t="s">
        <v>169</v>
      </c>
      <c r="C12" s="423">
        <v>183</v>
      </c>
      <c r="D12" s="425">
        <v>198</v>
      </c>
      <c r="E12" s="283">
        <f>Mvalloc!E9</f>
        <v>184</v>
      </c>
    </row>
    <row r="13" spans="2:5" ht="15.75">
      <c r="B13" s="284" t="s">
        <v>217</v>
      </c>
      <c r="C13" s="423">
        <v>623</v>
      </c>
      <c r="D13" s="425">
        <v>607</v>
      </c>
      <c r="E13" s="283">
        <f>Mvalloc!F9</f>
        <v>667</v>
      </c>
    </row>
    <row r="14" spans="2:5" ht="15.75">
      <c r="B14" s="284" t="s">
        <v>259</v>
      </c>
      <c r="C14" s="423"/>
      <c r="D14" s="425"/>
      <c r="E14" s="283">
        <f>inputOth!E16</f>
        <v>0</v>
      </c>
    </row>
    <row r="15" spans="2:5" ht="15.75">
      <c r="B15" s="284" t="s">
        <v>121</v>
      </c>
      <c r="C15" s="423"/>
      <c r="D15" s="425"/>
      <c r="E15" s="283">
        <f>inputOth!E36</f>
        <v>0</v>
      </c>
    </row>
    <row r="16" spans="2:5" ht="15.75">
      <c r="B16" s="284" t="s">
        <v>1031</v>
      </c>
      <c r="C16" s="423">
        <v>-168</v>
      </c>
      <c r="D16" s="425"/>
      <c r="E16" s="283">
        <f>inputOth!E37</f>
        <v>0</v>
      </c>
    </row>
    <row r="17" spans="2:5" ht="15.75">
      <c r="B17" s="285" t="s">
        <v>254</v>
      </c>
      <c r="C17" s="423">
        <v>8972</v>
      </c>
      <c r="D17" s="425">
        <v>10500</v>
      </c>
      <c r="E17" s="282">
        <v>10500</v>
      </c>
    </row>
    <row r="18" spans="2:5" ht="15.75">
      <c r="B18" s="285" t="s">
        <v>255</v>
      </c>
      <c r="C18" s="423">
        <v>233</v>
      </c>
      <c r="D18" s="425">
        <v>250</v>
      </c>
      <c r="E18" s="282">
        <v>250</v>
      </c>
    </row>
    <row r="19" spans="2:5" ht="15.75">
      <c r="B19" s="285" t="s">
        <v>994</v>
      </c>
      <c r="C19" s="423">
        <v>225</v>
      </c>
      <c r="D19" s="425">
        <v>200</v>
      </c>
      <c r="E19" s="282">
        <v>200</v>
      </c>
    </row>
    <row r="20" spans="2:5" ht="15.75">
      <c r="B20" s="41" t="s">
        <v>1032</v>
      </c>
      <c r="C20" s="423">
        <v>1750</v>
      </c>
      <c r="D20" s="425">
        <v>600</v>
      </c>
      <c r="E20" s="282">
        <v>600</v>
      </c>
    </row>
    <row r="21" spans="2:5" ht="15.75">
      <c r="B21" s="285" t="s">
        <v>995</v>
      </c>
      <c r="C21" s="421"/>
      <c r="D21" s="425">
        <v>250</v>
      </c>
      <c r="E21" s="282">
        <v>250</v>
      </c>
    </row>
    <row r="22" spans="2:5" ht="15.75">
      <c r="B22" s="285" t="s">
        <v>996</v>
      </c>
      <c r="C22" s="421"/>
      <c r="D22" s="425"/>
      <c r="E22" s="282"/>
    </row>
    <row r="23" spans="2:5" ht="15.75">
      <c r="B23" s="285"/>
      <c r="C23" s="423"/>
      <c r="D23" s="425"/>
      <c r="E23" s="282"/>
    </row>
    <row r="24" spans="2:5" ht="15.75">
      <c r="B24" s="285"/>
      <c r="C24" s="423"/>
      <c r="D24" s="425"/>
      <c r="E24" s="282"/>
    </row>
    <row r="25" spans="2:5" ht="15.75">
      <c r="B25" s="286" t="s">
        <v>170</v>
      </c>
      <c r="C25" s="423">
        <v>236</v>
      </c>
      <c r="D25" s="425">
        <v>350</v>
      </c>
      <c r="E25" s="282">
        <v>350</v>
      </c>
    </row>
    <row r="26" spans="2:5" ht="15.75">
      <c r="B26" s="192" t="s">
        <v>256</v>
      </c>
      <c r="C26" s="421">
        <v>2388</v>
      </c>
      <c r="D26" s="425">
        <v>1000</v>
      </c>
      <c r="E26" s="287">
        <v>1000</v>
      </c>
    </row>
    <row r="27" spans="2:5" ht="15.75">
      <c r="B27" s="192" t="s">
        <v>651</v>
      </c>
      <c r="C27" s="414">
        <f>IF(C28*0.1&lt;C26,"Exceed 10% Rule","")</f>
      </c>
      <c r="D27" s="426">
        <f>IF(D28*0.1&lt;D26,"Exceed 10% Rule","")</f>
      </c>
      <c r="E27" s="288">
        <f>IF(E28*0.1+E64&lt;E26,"Exceed 10% Rule","")</f>
      </c>
    </row>
    <row r="28" spans="2:5" ht="15.75">
      <c r="B28" s="289" t="s">
        <v>171</v>
      </c>
      <c r="C28" s="420">
        <f>SUM(C9:C26)</f>
        <v>62264</v>
      </c>
      <c r="D28" s="427">
        <f>SUM(D9:D26)</f>
        <v>73923</v>
      </c>
      <c r="E28" s="290">
        <f>SUM(E9:E26)</f>
        <v>27174</v>
      </c>
    </row>
    <row r="29" spans="2:5" ht="15.75">
      <c r="B29" s="289" t="s">
        <v>172</v>
      </c>
      <c r="C29" s="420">
        <f>C7+C28</f>
        <v>137372</v>
      </c>
      <c r="D29" s="427">
        <f>D7+D28</f>
        <v>134218</v>
      </c>
      <c r="E29" s="291">
        <f>E7+E28</f>
        <v>75943</v>
      </c>
    </row>
    <row r="30" spans="2:5" ht="15.75">
      <c r="B30" s="279" t="s">
        <v>173</v>
      </c>
      <c r="C30" s="422"/>
      <c r="D30" s="428"/>
      <c r="E30" s="283"/>
    </row>
    <row r="31" spans="2:5" ht="15.75">
      <c r="B31" s="292"/>
      <c r="C31" s="421"/>
      <c r="D31" s="425"/>
      <c r="E31" s="439"/>
    </row>
    <row r="32" spans="2:5" ht="15.75">
      <c r="B32" s="292" t="s">
        <v>290</v>
      </c>
      <c r="C32" s="421">
        <v>8329</v>
      </c>
      <c r="D32" s="615">
        <v>17000</v>
      </c>
      <c r="E32" s="623">
        <v>17000</v>
      </c>
    </row>
    <row r="33" spans="2:5" ht="15.75">
      <c r="B33" s="292" t="s">
        <v>293</v>
      </c>
      <c r="C33" s="421">
        <f>1233+3258+497</f>
        <v>4988</v>
      </c>
      <c r="D33" s="615">
        <v>14000</v>
      </c>
      <c r="E33" s="623">
        <v>14000</v>
      </c>
    </row>
    <row r="34" spans="2:5" ht="15.75">
      <c r="B34" s="618" t="s">
        <v>997</v>
      </c>
      <c r="C34" s="421">
        <v>12101</v>
      </c>
      <c r="D34" s="615">
        <v>13000</v>
      </c>
      <c r="E34" s="623">
        <v>13000</v>
      </c>
    </row>
    <row r="35" spans="2:5" ht="15.75">
      <c r="B35" s="618" t="s">
        <v>998</v>
      </c>
      <c r="C35" s="421">
        <v>1744</v>
      </c>
      <c r="D35" s="615">
        <v>7500</v>
      </c>
      <c r="E35" s="623">
        <v>7500</v>
      </c>
    </row>
    <row r="36" spans="2:5" ht="15.75">
      <c r="B36" s="618" t="s">
        <v>999</v>
      </c>
      <c r="C36" s="421">
        <v>29548</v>
      </c>
      <c r="D36" s="615"/>
      <c r="E36" s="623">
        <v>20000</v>
      </c>
    </row>
    <row r="37" spans="2:5" ht="15.75">
      <c r="B37" s="618" t="s">
        <v>1000</v>
      </c>
      <c r="C37" s="421">
        <v>7443</v>
      </c>
      <c r="D37" s="615">
        <v>10000</v>
      </c>
      <c r="E37" s="623">
        <v>10000</v>
      </c>
    </row>
    <row r="38" spans="2:5" ht="15.75">
      <c r="B38" s="618" t="s">
        <v>1001</v>
      </c>
      <c r="C38" s="421">
        <v>2455</v>
      </c>
      <c r="D38" s="615">
        <v>2800</v>
      </c>
      <c r="E38" s="623">
        <v>2800</v>
      </c>
    </row>
    <row r="39" spans="2:5" ht="15.75">
      <c r="B39" s="618" t="s">
        <v>1002</v>
      </c>
      <c r="C39" s="421">
        <v>120</v>
      </c>
      <c r="D39" s="615">
        <v>300</v>
      </c>
      <c r="E39" s="623">
        <v>300</v>
      </c>
    </row>
    <row r="40" spans="2:5" ht="15.75">
      <c r="B40" s="618" t="s">
        <v>1035</v>
      </c>
      <c r="C40" s="421"/>
      <c r="D40" s="615"/>
      <c r="E40" s="623">
        <v>6000</v>
      </c>
    </row>
    <row r="41" spans="2:5" ht="15.75">
      <c r="B41" s="618" t="s">
        <v>1003</v>
      </c>
      <c r="C41" s="421"/>
      <c r="D41" s="615">
        <v>10000</v>
      </c>
      <c r="E41" s="623">
        <f>47509-33506</f>
        <v>14003</v>
      </c>
    </row>
    <row r="42" spans="2:5" ht="15.75">
      <c r="B42" s="618" t="s">
        <v>1004</v>
      </c>
      <c r="C42" s="421">
        <v>4250</v>
      </c>
      <c r="D42" s="615">
        <v>6500</v>
      </c>
      <c r="E42" s="623">
        <v>6500</v>
      </c>
    </row>
    <row r="43" spans="2:10" ht="15.75">
      <c r="B43" s="618" t="s">
        <v>1005</v>
      </c>
      <c r="C43" s="421">
        <v>1282</v>
      </c>
      <c r="D43" s="615"/>
      <c r="E43" s="623">
        <v>4000</v>
      </c>
      <c r="G43" s="775"/>
      <c r="H43" s="776"/>
      <c r="I43" s="776"/>
      <c r="J43" s="776"/>
    </row>
    <row r="44" spans="2:5" ht="15.75">
      <c r="B44" s="622" t="s">
        <v>1006</v>
      </c>
      <c r="C44" s="421">
        <v>670</v>
      </c>
      <c r="D44" s="425">
        <v>900</v>
      </c>
      <c r="E44" s="282">
        <v>900</v>
      </c>
    </row>
    <row r="45" spans="2:5" ht="15.75">
      <c r="B45" s="622" t="s">
        <v>1014</v>
      </c>
      <c r="C45" s="421">
        <v>399</v>
      </c>
      <c r="D45" s="425">
        <v>500</v>
      </c>
      <c r="E45" s="282">
        <v>500</v>
      </c>
    </row>
    <row r="46" spans="2:5" ht="15.75">
      <c r="B46" s="622" t="s">
        <v>1007</v>
      </c>
      <c r="C46" s="421">
        <v>196</v>
      </c>
      <c r="D46" s="425">
        <v>400</v>
      </c>
      <c r="E46" s="282">
        <v>400</v>
      </c>
    </row>
    <row r="47" spans="2:10" ht="15.75">
      <c r="B47" s="622" t="s">
        <v>1008</v>
      </c>
      <c r="C47" s="421">
        <v>86</v>
      </c>
      <c r="D47" s="425">
        <v>400</v>
      </c>
      <c r="E47" s="282">
        <v>400</v>
      </c>
      <c r="G47" s="777" t="str">
        <f>CONCATENATE("Desired Carryover Into ",E1+1,"")</f>
        <v>Desired Carryover Into 2015</v>
      </c>
      <c r="H47" s="778"/>
      <c r="I47" s="778"/>
      <c r="J47" s="779"/>
    </row>
    <row r="48" spans="2:10" ht="15.75">
      <c r="B48" s="292" t="s">
        <v>1009</v>
      </c>
      <c r="C48" s="421">
        <v>77</v>
      </c>
      <c r="D48" s="425">
        <v>500</v>
      </c>
      <c r="E48" s="282">
        <v>500</v>
      </c>
      <c r="G48" s="559"/>
      <c r="H48" s="464"/>
      <c r="I48" s="480"/>
      <c r="J48" s="560"/>
    </row>
    <row r="49" spans="2:10" ht="15.75">
      <c r="B49" s="292" t="s">
        <v>1010</v>
      </c>
      <c r="C49" s="421">
        <v>818</v>
      </c>
      <c r="D49" s="425">
        <v>500</v>
      </c>
      <c r="E49" s="282">
        <v>500</v>
      </c>
      <c r="G49" s="486" t="s">
        <v>659</v>
      </c>
      <c r="H49" s="480"/>
      <c r="I49" s="480"/>
      <c r="J49" s="474">
        <v>0</v>
      </c>
    </row>
    <row r="50" spans="2:10" ht="15.75">
      <c r="B50" s="292" t="s">
        <v>1015</v>
      </c>
      <c r="C50" s="421">
        <v>478</v>
      </c>
      <c r="D50" s="425">
        <v>600</v>
      </c>
      <c r="E50" s="282">
        <v>600</v>
      </c>
      <c r="G50" s="486"/>
      <c r="H50" s="480"/>
      <c r="I50" s="480"/>
      <c r="J50" s="739"/>
    </row>
    <row r="51" spans="2:10" ht="15.75">
      <c r="B51" s="292"/>
      <c r="C51" s="421"/>
      <c r="D51" s="425"/>
      <c r="E51" s="282"/>
      <c r="G51" s="559" t="s">
        <v>658</v>
      </c>
      <c r="H51" s="464"/>
      <c r="I51" s="464"/>
      <c r="J51" s="654">
        <f>IF(J49=0,"",ROUND((J49+E64-G63)/inputOth!E7*1000,3)-G68)</f>
      </c>
    </row>
    <row r="52" spans="2:10" ht="15.75">
      <c r="B52" s="292" t="s">
        <v>1011</v>
      </c>
      <c r="C52" s="421">
        <v>1468</v>
      </c>
      <c r="D52" s="425">
        <v>345</v>
      </c>
      <c r="E52" s="282">
        <v>345</v>
      </c>
      <c r="G52" s="655" t="str">
        <f>CONCATENATE("",E1," Tot Exp/Non-Appr Must Be:")</f>
        <v>2014 Tot Exp/Non-Appr Must Be:</v>
      </c>
      <c r="H52" s="652"/>
      <c r="I52" s="653"/>
      <c r="J52" s="649">
        <f>IF(J49&gt;0,IF(E61&lt;E29,IF(J49=G63,E61,((J49-G63)*(1-D63))+E29),E61+(J49-G63)),0)</f>
        <v>0</v>
      </c>
    </row>
    <row r="53" spans="2:10" ht="15.75">
      <c r="B53" s="292" t="s">
        <v>1012</v>
      </c>
      <c r="C53" s="421"/>
      <c r="D53" s="425"/>
      <c r="E53" s="282"/>
      <c r="G53" s="687" t="s">
        <v>836</v>
      </c>
      <c r="H53" s="692"/>
      <c r="I53" s="692"/>
      <c r="J53" s="656">
        <f>IF(J49&gt;0,J52-E61,0)</f>
        <v>0</v>
      </c>
    </row>
    <row r="54" spans="2:5" ht="15.75">
      <c r="B54" s="192" t="s">
        <v>53</v>
      </c>
      <c r="C54" s="421"/>
      <c r="D54" s="425">
        <v>204</v>
      </c>
      <c r="E54" s="283">
        <v>204</v>
      </c>
    </row>
    <row r="55" spans="2:10" ht="15.75">
      <c r="B55" s="192" t="s">
        <v>256</v>
      </c>
      <c r="C55" s="421">
        <f>593+32</f>
        <v>625</v>
      </c>
      <c r="D55" s="425"/>
      <c r="E55" s="282"/>
      <c r="G55" s="777" t="str">
        <f>CONCATENATE("Projected Carryover Into ",E1+1,"")</f>
        <v>Projected Carryover Into 2015</v>
      </c>
      <c r="H55" s="778"/>
      <c r="I55" s="778"/>
      <c r="J55" s="779"/>
    </row>
    <row r="56" spans="2:10" ht="15.75">
      <c r="B56" s="192" t="s">
        <v>650</v>
      </c>
      <c r="C56" s="414">
        <f>IF(C57*0.1&lt;C55,"Exceed 10% Rule","")</f>
      </c>
      <c r="D56" s="426">
        <f>IF(D57*0.1&lt;D55,"Exceed 10% Rule","")</f>
      </c>
      <c r="E56" s="288">
        <f>IF(E57*0.1&lt;E55,"Exceed 10% Rule","")</f>
      </c>
      <c r="G56" s="475"/>
      <c r="H56" s="464"/>
      <c r="I56" s="464"/>
      <c r="J56" s="476"/>
    </row>
    <row r="57" spans="2:10" ht="15.75">
      <c r="B57" s="289" t="s">
        <v>174</v>
      </c>
      <c r="C57" s="420">
        <f>SUM(C31:C55)</f>
        <v>77077</v>
      </c>
      <c r="D57" s="427">
        <f>SUM(D31:D55)</f>
        <v>85449</v>
      </c>
      <c r="E57" s="290">
        <f>SUM(E31:E55)</f>
        <v>119452</v>
      </c>
      <c r="G57" s="477">
        <f>D58</f>
        <v>48769</v>
      </c>
      <c r="H57" s="478" t="str">
        <f>CONCATENATE("",E1-1," Ending Cash Balance (est.)")</f>
        <v>2013 Ending Cash Balance (est.)</v>
      </c>
      <c r="I57" s="479"/>
      <c r="J57" s="476"/>
    </row>
    <row r="58" spans="2:10" ht="15.75">
      <c r="B58" s="179" t="s">
        <v>279</v>
      </c>
      <c r="C58" s="413">
        <f>C29-C57</f>
        <v>60295</v>
      </c>
      <c r="D58" s="236">
        <f>D29-D57</f>
        <v>48769</v>
      </c>
      <c r="E58" s="281" t="s">
        <v>153</v>
      </c>
      <c r="G58" s="477">
        <f>E28</f>
        <v>27174</v>
      </c>
      <c r="H58" s="480" t="str">
        <f>CONCATENATE("",E1," Non-AV Receipts (est.)")</f>
        <v>2014 Non-AV Receipts (est.)</v>
      </c>
      <c r="I58" s="479"/>
      <c r="J58" s="476"/>
    </row>
    <row r="59" spans="2:11" ht="15.75">
      <c r="B59" s="211" t="str">
        <f>CONCATENATE("",E1-2,"/",E1-1," Budget Authority Amount:")</f>
        <v>2012/2013 Budget Authority Amount:</v>
      </c>
      <c r="C59" s="222">
        <f>inputOth!B55</f>
        <v>111504</v>
      </c>
      <c r="D59" s="222">
        <f>inputPrYr!D17</f>
        <v>112449</v>
      </c>
      <c r="E59" s="281" t="s">
        <v>153</v>
      </c>
      <c r="F59" s="294"/>
      <c r="G59" s="481">
        <f>IF(E63&gt;0,E62,E64)</f>
        <v>43509</v>
      </c>
      <c r="H59" s="480" t="str">
        <f>CONCATENATE("",E1," Ad Valorem Tax (est.)")</f>
        <v>2014 Ad Valorem Tax (est.)</v>
      </c>
      <c r="I59" s="479"/>
      <c r="J59" s="476"/>
      <c r="K59" s="694">
        <f>IF(G59=E64,"","Note: Does not include Delinquent Taxes")</f>
      </c>
    </row>
    <row r="60" spans="2:10" ht="15.75">
      <c r="B60" s="211"/>
      <c r="C60" s="785" t="s">
        <v>652</v>
      </c>
      <c r="D60" s="786"/>
      <c r="E60" s="88"/>
      <c r="F60" s="470">
        <f>IF(E57/0.95-E57&lt;E60,"Exceeds 5%","")</f>
      </c>
      <c r="G60" s="477">
        <f>SUM(G57:G59)</f>
        <v>119452</v>
      </c>
      <c r="H60" s="480" t="str">
        <f>CONCATENATE("Total ",E1," Resources Available")</f>
        <v>Total 2014 Resources Available</v>
      </c>
      <c r="I60" s="479"/>
      <c r="J60" s="476"/>
    </row>
    <row r="61" spans="2:10" ht="15.75">
      <c r="B61" s="429" t="str">
        <f>CONCATENATE(C73,"     ",D73)</f>
        <v>     </v>
      </c>
      <c r="C61" s="787" t="s">
        <v>653</v>
      </c>
      <c r="D61" s="788"/>
      <c r="E61" s="190">
        <f>E57+E60</f>
        <v>119452</v>
      </c>
      <c r="G61" s="482"/>
      <c r="H61" s="480"/>
      <c r="I61" s="480"/>
      <c r="J61" s="476"/>
    </row>
    <row r="62" spans="2:10" ht="15.75">
      <c r="B62" s="429" t="str">
        <f>CONCATENATE(C74,"     ",D74)</f>
        <v>     </v>
      </c>
      <c r="C62" s="295"/>
      <c r="D62" s="219" t="s">
        <v>175</v>
      </c>
      <c r="E62" s="637">
        <f>IF(E61-E29&gt;0,E61-E29,0)</f>
        <v>43509</v>
      </c>
      <c r="G62" s="481">
        <f>ROUND(C57*0.05+C57,0)</f>
        <v>80931</v>
      </c>
      <c r="H62" s="480" t="str">
        <f>CONCATENATE("Less ",E1-2," Expenditures + 5%")</f>
        <v>Less 2012 Expenditures + 5%</v>
      </c>
      <c r="I62" s="479"/>
      <c r="J62" s="476"/>
    </row>
    <row r="63" spans="2:10" ht="15.75">
      <c r="B63" s="296"/>
      <c r="C63" s="442" t="s">
        <v>654</v>
      </c>
      <c r="D63" s="698">
        <f>inputOth!E41</f>
        <v>0</v>
      </c>
      <c r="E63" s="190">
        <f>ROUND(IF(inputOth!E41&gt;0,(E62*inputOth!E41),0),0)</f>
        <v>0</v>
      </c>
      <c r="G63" s="487">
        <f>G60-G62</f>
        <v>38521</v>
      </c>
      <c r="H63" s="483" t="str">
        <f>CONCATENATE("Projected ",E1+1," Carryover (est.)")</f>
        <v>Projected 2015 Carryover (est.)</v>
      </c>
      <c r="I63" s="484"/>
      <c r="J63" s="485"/>
    </row>
    <row r="64" spans="2:5" ht="16.5" thickBot="1">
      <c r="B64" s="65"/>
      <c r="C64" s="780" t="str">
        <f>CONCATENATE("Amount of  ",E1-1," Ad Valorem Tax")</f>
        <v>Amount of  2013 Ad Valorem Tax</v>
      </c>
      <c r="D64" s="781"/>
      <c r="E64" s="699">
        <f>E62+E63</f>
        <v>43509</v>
      </c>
    </row>
    <row r="65" spans="2:10" ht="16.5" thickTop="1">
      <c r="B65" s="219"/>
      <c r="C65" s="780"/>
      <c r="D65" s="781"/>
      <c r="E65" s="65"/>
      <c r="G65" s="789" t="s">
        <v>954</v>
      </c>
      <c r="H65" s="790"/>
      <c r="I65" s="790"/>
      <c r="J65" s="791"/>
    </row>
    <row r="66" spans="2:16" ht="15.75">
      <c r="B66" s="211"/>
      <c r="C66" s="219"/>
      <c r="D66" s="465"/>
      <c r="E66" s="65"/>
      <c r="G66" s="700"/>
      <c r="H66" s="478"/>
      <c r="I66" s="650"/>
      <c r="J66" s="651"/>
      <c r="M66" s="775"/>
      <c r="N66" s="775"/>
      <c r="O66" s="775"/>
      <c r="P66" s="784"/>
    </row>
    <row r="67" spans="2:16" ht="15.75">
      <c r="B67" s="211" t="s">
        <v>177</v>
      </c>
      <c r="C67" s="70">
        <f>IF(inputPrYr!D19&gt;0,8,7)</f>
        <v>7</v>
      </c>
      <c r="D67" s="219"/>
      <c r="E67" s="219"/>
      <c r="G67" s="702">
        <f>summ!H16</f>
        <v>48.57</v>
      </c>
      <c r="H67" s="478" t="str">
        <f>CONCATENATE("",E1," Fund Mill Rate")</f>
        <v>2014 Fund Mill Rate</v>
      </c>
      <c r="I67" s="650"/>
      <c r="J67" s="651"/>
      <c r="M67" s="495"/>
      <c r="N67" s="495"/>
      <c r="O67" s="495"/>
      <c r="P67" s="495"/>
    </row>
    <row r="68" spans="3:16" ht="15.75">
      <c r="C68" s="417"/>
      <c r="D68" s="417"/>
      <c r="E68" s="471"/>
      <c r="F68" s="460"/>
      <c r="G68" s="701">
        <f>summ!E16</f>
        <v>53.092</v>
      </c>
      <c r="H68" s="478" t="str">
        <f>CONCATENATE("",E1-1," Fund Mill Rate")</f>
        <v>2013 Fund Mill Rate</v>
      </c>
      <c r="I68" s="650"/>
      <c r="J68" s="651"/>
      <c r="L68" s="500"/>
      <c r="M68" s="496"/>
      <c r="N68" s="497"/>
      <c r="O68" s="497"/>
      <c r="P68" s="498"/>
    </row>
    <row r="69" spans="3:16" ht="15.75">
      <c r="C69" s="472"/>
      <c r="D69" s="660"/>
      <c r="E69" s="661"/>
      <c r="F69" s="419"/>
      <c r="G69" s="703">
        <f>summ!H22</f>
        <v>48.57</v>
      </c>
      <c r="H69" s="478" t="str">
        <f>CONCATENATE("Total ",E1," Mill Rate")</f>
        <v>Total 2014 Mill Rate</v>
      </c>
      <c r="I69" s="650"/>
      <c r="J69" s="651"/>
      <c r="M69" s="472"/>
      <c r="N69" s="419"/>
      <c r="O69" s="472"/>
      <c r="P69" s="498"/>
    </row>
    <row r="70" spans="3:16" ht="15.75">
      <c r="C70" s="473"/>
      <c r="D70" s="419"/>
      <c r="E70" s="419"/>
      <c r="F70" s="419"/>
      <c r="G70" s="701">
        <f>summ!E22</f>
        <v>53.092</v>
      </c>
      <c r="H70" s="638" t="str">
        <f>CONCATENATE("Total ",E1-1," Mill Rate")</f>
        <v>Total 2013 Mill Rate</v>
      </c>
      <c r="I70" s="639"/>
      <c r="J70" s="640"/>
      <c r="M70" s="472"/>
      <c r="N70" s="419"/>
      <c r="O70" s="472"/>
      <c r="P70" s="499"/>
    </row>
    <row r="71" spans="3:6" ht="14.25" customHeight="1">
      <c r="C71" s="418"/>
      <c r="D71" s="659"/>
      <c r="E71" s="498"/>
      <c r="F71" s="419"/>
    </row>
    <row r="72" spans="3:6" ht="15.75">
      <c r="C72" s="418"/>
      <c r="D72" s="419"/>
      <c r="E72" s="419"/>
      <c r="F72" s="419"/>
    </row>
    <row r="73" spans="3:6" ht="15.75" customHeight="1" hidden="1">
      <c r="C73" s="459">
        <f>IF(C57&gt;C59,"See Tab A","")</f>
      </c>
      <c r="D73" s="458">
        <f>IF(D57&gt;D59,"See Tab C","")</f>
      </c>
      <c r="E73" s="419"/>
      <c r="F73" s="419"/>
    </row>
    <row r="74" spans="3:10" ht="15.75" customHeight="1" hidden="1">
      <c r="C74" s="457">
        <f>IF(C58&lt;0,"See Tab B","")</f>
      </c>
      <c r="D74" s="457">
        <f>IF(D58&lt;0,"See Tab D","")</f>
      </c>
      <c r="G74" s="782" t="s">
        <v>835</v>
      </c>
      <c r="H74" s="783"/>
      <c r="I74" s="783"/>
      <c r="J74" s="649">
        <f>IF(J48&gt;0,J51-E61,0)</f>
        <v>0</v>
      </c>
    </row>
  </sheetData>
  <sheetProtection/>
  <mergeCells count="10">
    <mergeCell ref="G43:J43"/>
    <mergeCell ref="G55:J55"/>
    <mergeCell ref="G47:J47"/>
    <mergeCell ref="C65:D65"/>
    <mergeCell ref="G74:I74"/>
    <mergeCell ref="M66:P66"/>
    <mergeCell ref="C64:D64"/>
    <mergeCell ref="C60:D60"/>
    <mergeCell ref="C61:D61"/>
    <mergeCell ref="G65:J65"/>
  </mergeCells>
  <conditionalFormatting sqref="E55">
    <cfRule type="cellIs" priority="3" dxfId="135" operator="greaterThan" stopIfTrue="1">
      <formula>$E$57*0.1</formula>
    </cfRule>
  </conditionalFormatting>
  <conditionalFormatting sqref="E60">
    <cfRule type="cellIs" priority="4" dxfId="135" operator="greaterThan" stopIfTrue="1">
      <formula>$E$57/0.95-$E$57</formula>
    </cfRule>
  </conditionalFormatting>
  <conditionalFormatting sqref="C58">
    <cfRule type="cellIs" priority="5" dxfId="2" operator="lessThan" stopIfTrue="1">
      <formula>0</formula>
    </cfRule>
  </conditionalFormatting>
  <conditionalFormatting sqref="D57">
    <cfRule type="cellIs" priority="6" dxfId="2" operator="greaterThan" stopIfTrue="1">
      <formula>$D$59</formula>
    </cfRule>
  </conditionalFormatting>
  <conditionalFormatting sqref="C55">
    <cfRule type="cellIs" priority="8" dxfId="2" operator="greaterThan" stopIfTrue="1">
      <formula>$C$57*0.1</formula>
    </cfRule>
  </conditionalFormatting>
  <conditionalFormatting sqref="D55">
    <cfRule type="cellIs" priority="9" dxfId="2" operator="greaterThan" stopIfTrue="1">
      <formula>$D$57*0.1</formula>
    </cfRule>
  </conditionalFormatting>
  <conditionalFormatting sqref="C26">
    <cfRule type="cellIs" priority="10" dxfId="2" operator="greaterThan" stopIfTrue="1">
      <formula>$C$28*0.1</formula>
    </cfRule>
  </conditionalFormatting>
  <conditionalFormatting sqref="D26">
    <cfRule type="cellIs" priority="11" dxfId="2" operator="greaterThan" stopIfTrue="1">
      <formula>$D$28*0.1</formula>
    </cfRule>
  </conditionalFormatting>
  <conditionalFormatting sqref="E26">
    <cfRule type="cellIs" priority="12" dxfId="135" operator="greaterThan" stopIfTrue="1">
      <formula>$E$28*0.1+E64</formula>
    </cfRule>
  </conditionalFormatting>
  <conditionalFormatting sqref="D58">
    <cfRule type="cellIs" priority="2" dxfId="0" operator="lessThan" stopIfTrue="1">
      <formula>0</formula>
    </cfRule>
  </conditionalFormatting>
  <conditionalFormatting sqref="C57">
    <cfRule type="cellIs" priority="1" dxfId="0" operator="greaterThan" stopIfTrue="1">
      <formula>$C$59</formula>
    </cfRule>
  </conditionalFormatting>
  <printOptions/>
  <pageMargins left="0.5" right="0.5" top="1" bottom="0.5" header="0.5" footer="0.5"/>
  <pageSetup blackAndWhite="1" fitToHeight="1" fitToWidth="1" horizontalDpi="300" verticalDpi="300" orientation="portrait" scale="64"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4"/>
  <sheetViews>
    <sheetView zoomScale="80" zoomScaleNormal="80" zoomScalePageLayoutView="0" workbookViewId="0" topLeftCell="A40">
      <selection activeCell="E57" sqref="E5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Beattie</v>
      </c>
      <c r="C1" s="65"/>
      <c r="D1" s="65"/>
      <c r="E1" s="162">
        <f>inputPrYr!$C$5</f>
        <v>2014</v>
      </c>
    </row>
    <row r="2" spans="2:5" ht="15.75">
      <c r="B2" s="65"/>
      <c r="C2" s="65"/>
      <c r="D2" s="65"/>
      <c r="E2" s="219"/>
    </row>
    <row r="3" spans="2:5" ht="15.75">
      <c r="B3" s="82" t="s">
        <v>222</v>
      </c>
      <c r="C3" s="331"/>
      <c r="D3" s="331"/>
      <c r="E3" s="332"/>
    </row>
    <row r="4" spans="2:5" ht="15.75">
      <c r="B4" s="70" t="s">
        <v>165</v>
      </c>
      <c r="C4" s="708" t="s">
        <v>832</v>
      </c>
      <c r="D4" s="709" t="s">
        <v>833</v>
      </c>
      <c r="E4" s="175" t="s">
        <v>834</v>
      </c>
    </row>
    <row r="5" spans="2:5" ht="15.75">
      <c r="B5" s="453" t="str">
        <f>(inputPrYr!B28)</f>
        <v>Special Highway</v>
      </c>
      <c r="C5" s="333" t="str">
        <f>CONCATENATE("Actual for ",$E$1-2,"")</f>
        <v>Actual for 2012</v>
      </c>
      <c r="D5" s="415" t="str">
        <f>CONCATENATE("Estimate for ",$E$1-1,"")</f>
        <v>Estimate for 2013</v>
      </c>
      <c r="E5" s="230" t="str">
        <f>CONCATENATE("Year for ",$E$1,"")</f>
        <v>Year for 2014</v>
      </c>
    </row>
    <row r="6" spans="2:5" ht="15.75">
      <c r="B6" s="179" t="s">
        <v>278</v>
      </c>
      <c r="C6" s="88">
        <v>347</v>
      </c>
      <c r="D6" s="190">
        <f>C26</f>
        <v>1771</v>
      </c>
      <c r="E6" s="190">
        <f>D26</f>
        <v>1541</v>
      </c>
    </row>
    <row r="7" spans="2:5" ht="15.75">
      <c r="B7" s="279" t="s">
        <v>280</v>
      </c>
      <c r="C7" s="190"/>
      <c r="D7" s="190"/>
      <c r="E7" s="190"/>
    </row>
    <row r="8" spans="2:5" ht="15.75">
      <c r="B8" s="343" t="s">
        <v>179</v>
      </c>
      <c r="C8" s="88">
        <v>5155</v>
      </c>
      <c r="D8" s="190">
        <f>inputOth!E47</f>
        <v>4980</v>
      </c>
      <c r="E8" s="190">
        <f>inputOth!E45</f>
        <v>5160</v>
      </c>
    </row>
    <row r="9" spans="2:5" ht="15.75">
      <c r="B9" s="343" t="s">
        <v>323</v>
      </c>
      <c r="C9" s="88"/>
      <c r="D9" s="190">
        <f>inputOth!E48</f>
        <v>0</v>
      </c>
      <c r="E9" s="190">
        <f>inputOth!E46</f>
        <v>0</v>
      </c>
    </row>
    <row r="10" spans="2:5" ht="15.75">
      <c r="B10" s="292"/>
      <c r="C10" s="88"/>
      <c r="D10" s="88"/>
      <c r="E10" s="88"/>
    </row>
    <row r="11" spans="2:5" ht="15.75">
      <c r="B11" s="292"/>
      <c r="C11" s="88"/>
      <c r="D11" s="88"/>
      <c r="E11" s="88"/>
    </row>
    <row r="12" spans="2:5" ht="15.75">
      <c r="B12" s="337" t="s">
        <v>170</v>
      </c>
      <c r="C12" s="88"/>
      <c r="D12" s="88"/>
      <c r="E12" s="88"/>
    </row>
    <row r="13" spans="2:5" ht="15.75">
      <c r="B13" s="341" t="s">
        <v>256</v>
      </c>
      <c r="C13" s="88"/>
      <c r="D13" s="88"/>
      <c r="E13" s="88"/>
    </row>
    <row r="14" spans="2:5" ht="15.75">
      <c r="B14" s="341" t="s">
        <v>651</v>
      </c>
      <c r="C14" s="454">
        <f>IF(C15*0.1&lt;C13,"Exceed 10% Rule","")</f>
      </c>
      <c r="D14" s="338">
        <f>IF(D15*0.1&lt;D13,"Exceed 10% Rule","")</f>
      </c>
      <c r="E14" s="338">
        <f>IF(E15*0.1&lt;E13,"Exceed 10% Rule","")</f>
      </c>
    </row>
    <row r="15" spans="2:5" ht="15.75">
      <c r="B15" s="289" t="s">
        <v>171</v>
      </c>
      <c r="C15" s="340">
        <f>SUM(C8:C13)</f>
        <v>5155</v>
      </c>
      <c r="D15" s="340">
        <f>SUM(D8:D13)</f>
        <v>4980</v>
      </c>
      <c r="E15" s="340">
        <f>SUM(E8:E13)</f>
        <v>5160</v>
      </c>
    </row>
    <row r="16" spans="2:5" ht="15.75">
      <c r="B16" s="289" t="s">
        <v>172</v>
      </c>
      <c r="C16" s="340">
        <f>C6+C15</f>
        <v>5502</v>
      </c>
      <c r="D16" s="340">
        <f>D6+D15</f>
        <v>6751</v>
      </c>
      <c r="E16" s="340">
        <f>E6+E15</f>
        <v>6701</v>
      </c>
    </row>
    <row r="17" spans="2:5" ht="15.75">
      <c r="B17" s="179" t="s">
        <v>173</v>
      </c>
      <c r="C17" s="190"/>
      <c r="D17" s="190"/>
      <c r="E17" s="190"/>
    </row>
    <row r="18" spans="2:5" ht="15.75">
      <c r="B18" s="292" t="s">
        <v>180</v>
      </c>
      <c r="C18" s="88"/>
      <c r="D18" s="88">
        <v>5210</v>
      </c>
      <c r="E18" s="88">
        <v>6701</v>
      </c>
    </row>
    <row r="19" spans="2:5" ht="15.75">
      <c r="B19" s="406" t="s">
        <v>290</v>
      </c>
      <c r="C19" s="88">
        <f>2523+816+48+1</f>
        <v>3388</v>
      </c>
      <c r="D19" s="88"/>
      <c r="E19" s="88"/>
    </row>
    <row r="20" spans="2:5" ht="15.75">
      <c r="B20" s="292" t="s">
        <v>1016</v>
      </c>
      <c r="C20" s="88">
        <v>263</v>
      </c>
      <c r="D20" s="88"/>
      <c r="E20" s="88"/>
    </row>
    <row r="21" spans="2:5" ht="15.75">
      <c r="B21" s="292" t="s">
        <v>1018</v>
      </c>
      <c r="C21" s="88"/>
      <c r="D21" s="88"/>
      <c r="E21" s="88"/>
    </row>
    <row r="22" spans="2:5" ht="15.75">
      <c r="B22" s="292" t="s">
        <v>1017</v>
      </c>
      <c r="C22" s="88">
        <v>80</v>
      </c>
      <c r="D22" s="88"/>
      <c r="E22" s="88"/>
    </row>
    <row r="23" spans="2:5" ht="15.75">
      <c r="B23" s="192" t="s">
        <v>256</v>
      </c>
      <c r="C23" s="88"/>
      <c r="D23" s="88"/>
      <c r="E23" s="88"/>
    </row>
    <row r="24" spans="2:5" ht="15.75">
      <c r="B24" s="87" t="s">
        <v>650</v>
      </c>
      <c r="C24" s="454">
        <f>IF(C25*0.1&lt;C23,"Exceed 10% Rule","")</f>
      </c>
      <c r="D24" s="338">
        <f>IF(D25*0.1&lt;D23,"Exceed 10% Rule","")</f>
      </c>
      <c r="E24" s="338">
        <f>IF(E25*0.1&lt;E23,"Exceed 10% Rule","")</f>
      </c>
    </row>
    <row r="25" spans="2:5" ht="15.75">
      <c r="B25" s="289" t="s">
        <v>174</v>
      </c>
      <c r="C25" s="340">
        <f>SUM(C18:C23)</f>
        <v>3731</v>
      </c>
      <c r="D25" s="340">
        <f>SUM(D18:D23)</f>
        <v>5210</v>
      </c>
      <c r="E25" s="340">
        <f>SUM(E18:E23)</f>
        <v>6701</v>
      </c>
    </row>
    <row r="26" spans="2:5" ht="15.75">
      <c r="B26" s="179" t="s">
        <v>279</v>
      </c>
      <c r="C26" s="95">
        <f>C16-C25</f>
        <v>1771</v>
      </c>
      <c r="D26" s="95">
        <f>D16-D25</f>
        <v>1541</v>
      </c>
      <c r="E26" s="95">
        <f>E16-E25</f>
        <v>0</v>
      </c>
    </row>
    <row r="27" spans="2:5" ht="15.75">
      <c r="B27" s="211" t="str">
        <f>CONCATENATE("",E1-2,"/",E1-1," Budget Authority Amount:")</f>
        <v>2012/2013 Budget Authority Amount:</v>
      </c>
      <c r="C27" s="222">
        <f>inputOth!B62</f>
        <v>5517</v>
      </c>
      <c r="D27" s="222">
        <f>inputPrYr!D28</f>
        <v>5210</v>
      </c>
      <c r="E27" s="461">
        <f>IF(E26&lt;0,"See Tab E","")</f>
      </c>
    </row>
    <row r="28" spans="2:5" ht="15.75">
      <c r="B28" s="211"/>
      <c r="C28" s="295">
        <f>IF(C25&gt;C27,"See Tab A","")</f>
      </c>
      <c r="D28" s="295">
        <f>IF(D25&gt;D27,"See Tab C","")</f>
      </c>
      <c r="E28" s="209"/>
    </row>
    <row r="29" spans="2:5" ht="15.75">
      <c r="B29" s="211"/>
      <c r="C29" s="295">
        <f>IF(C26&lt;0,"See Tab B","")</f>
      </c>
      <c r="D29" s="295">
        <f>IF(D26&lt;0,"See Tab D","")</f>
      </c>
      <c r="E29" s="209"/>
    </row>
    <row r="30" spans="2:5" ht="15.75">
      <c r="B30" s="65"/>
      <c r="C30" s="209"/>
      <c r="D30" s="209"/>
      <c r="E30" s="209"/>
    </row>
    <row r="31" spans="2:5" ht="15.75">
      <c r="B31" s="70" t="s">
        <v>165</v>
      </c>
      <c r="C31" s="708" t="s">
        <v>832</v>
      </c>
      <c r="D31" s="709" t="s">
        <v>833</v>
      </c>
      <c r="E31" s="175" t="s">
        <v>834</v>
      </c>
    </row>
    <row r="32" spans="2:5" ht="15.75">
      <c r="B32" s="452" t="str">
        <f>(inputPrYr!B29)</f>
        <v>Water</v>
      </c>
      <c r="C32" s="333" t="str">
        <f>CONCATENATE("Actual for ",$E$1-2,"")</f>
        <v>Actual for 2012</v>
      </c>
      <c r="D32" s="415" t="str">
        <f>CONCATENATE("Estimate for ",$E$1-1,"")</f>
        <v>Estimate for 2013</v>
      </c>
      <c r="E32" s="230" t="str">
        <f>CONCATENATE("Year for ",$E$1,"")</f>
        <v>Year for 2014</v>
      </c>
    </row>
    <row r="33" spans="2:5" ht="15.75">
      <c r="B33" s="179" t="s">
        <v>278</v>
      </c>
      <c r="C33" s="88">
        <v>56311</v>
      </c>
      <c r="D33" s="190">
        <f>C59</f>
        <v>68902</v>
      </c>
      <c r="E33" s="190">
        <f>D59</f>
        <v>65582</v>
      </c>
    </row>
    <row r="34" spans="2:5" ht="15.75">
      <c r="B34" s="179" t="s">
        <v>280</v>
      </c>
      <c r="C34" s="190"/>
      <c r="D34" s="190"/>
      <c r="E34" s="190"/>
    </row>
    <row r="35" spans="2:5" ht="15.75">
      <c r="B35" s="292"/>
      <c r="C35" s="88"/>
      <c r="D35" s="88"/>
      <c r="E35" s="88"/>
    </row>
    <row r="36" spans="2:5" ht="15.75">
      <c r="B36" s="292" t="s">
        <v>181</v>
      </c>
      <c r="C36" s="88">
        <v>37116</v>
      </c>
      <c r="D36" s="88">
        <v>40000</v>
      </c>
      <c r="E36" s="88">
        <v>40000</v>
      </c>
    </row>
    <row r="37" spans="2:5" ht="15.75">
      <c r="B37" s="292"/>
      <c r="C37" s="88"/>
      <c r="D37" s="88"/>
      <c r="E37" s="88"/>
    </row>
    <row r="38" spans="2:5" ht="15.75">
      <c r="B38" s="337" t="s">
        <v>170</v>
      </c>
      <c r="C38" s="88"/>
      <c r="D38" s="88"/>
      <c r="E38" s="88"/>
    </row>
    <row r="39" spans="2:5" ht="15.75">
      <c r="B39" s="341" t="s">
        <v>256</v>
      </c>
      <c r="C39" s="88"/>
      <c r="D39" s="88"/>
      <c r="E39" s="88"/>
    </row>
    <row r="40" spans="2:5" ht="15.75">
      <c r="B40" s="341" t="s">
        <v>54</v>
      </c>
      <c r="C40" s="454">
        <f>IF(C41*0.1&lt;C39,"Exceed 10% Rule","")</f>
      </c>
      <c r="D40" s="338">
        <f>IF(D41*0.1&lt;D39,"Exceed 10% Rule","")</f>
      </c>
      <c r="E40" s="338">
        <f>IF(E41*0.1&lt;E39,"Exceed 10% Rule","")</f>
      </c>
    </row>
    <row r="41" spans="2:5" ht="15.75">
      <c r="B41" s="289" t="s">
        <v>171</v>
      </c>
      <c r="C41" s="340">
        <f>SUM(C35:C39)</f>
        <v>37116</v>
      </c>
      <c r="D41" s="340">
        <f>SUM(D35:D39)</f>
        <v>40000</v>
      </c>
      <c r="E41" s="340">
        <f>SUM(E35:E39)</f>
        <v>40000</v>
      </c>
    </row>
    <row r="42" spans="2:5" ht="15.75">
      <c r="B42" s="289" t="s">
        <v>172</v>
      </c>
      <c r="C42" s="340">
        <f>C33+C41</f>
        <v>93427</v>
      </c>
      <c r="D42" s="340">
        <f>D33+D41</f>
        <v>108902</v>
      </c>
      <c r="E42" s="340">
        <f>E33+E41</f>
        <v>105582</v>
      </c>
    </row>
    <row r="43" spans="2:5" ht="15.75">
      <c r="B43" s="179" t="s">
        <v>173</v>
      </c>
      <c r="C43" s="190"/>
      <c r="D43" s="190"/>
      <c r="E43" s="190"/>
    </row>
    <row r="44" spans="2:5" ht="15.75">
      <c r="B44" s="292" t="s">
        <v>290</v>
      </c>
      <c r="C44" s="88">
        <v>7456</v>
      </c>
      <c r="D44" s="88">
        <v>11000</v>
      </c>
      <c r="E44" s="88">
        <v>11000</v>
      </c>
    </row>
    <row r="45" spans="2:5" ht="15.75">
      <c r="B45" s="618" t="s">
        <v>293</v>
      </c>
      <c r="C45" s="88"/>
      <c r="D45" s="88"/>
      <c r="E45" s="88"/>
    </row>
    <row r="46" spans="2:5" ht="15.75">
      <c r="B46" s="618" t="s">
        <v>1019</v>
      </c>
      <c r="C46" s="88">
        <v>15751</v>
      </c>
      <c r="D46" s="88">
        <v>20000</v>
      </c>
      <c r="E46" s="88">
        <v>20000</v>
      </c>
    </row>
    <row r="47" spans="2:5" ht="15.75">
      <c r="B47" s="618" t="s">
        <v>998</v>
      </c>
      <c r="C47" s="88">
        <v>81</v>
      </c>
      <c r="D47" s="88">
        <v>10000</v>
      </c>
      <c r="E47" s="88">
        <v>10000</v>
      </c>
    </row>
    <row r="48" spans="2:5" ht="15.75">
      <c r="B48" s="618" t="s">
        <v>1020</v>
      </c>
      <c r="C48" s="88">
        <v>192</v>
      </c>
      <c r="D48" s="88">
        <v>500</v>
      </c>
      <c r="E48" s="88">
        <v>500</v>
      </c>
    </row>
    <row r="49" spans="2:5" ht="15.75">
      <c r="B49" s="618" t="s">
        <v>1021</v>
      </c>
      <c r="C49" s="88">
        <v>417</v>
      </c>
      <c r="D49" s="88">
        <v>900</v>
      </c>
      <c r="E49" s="88">
        <v>900</v>
      </c>
    </row>
    <row r="50" spans="2:5" ht="15.75">
      <c r="B50" s="618" t="s">
        <v>1023</v>
      </c>
      <c r="C50" s="88">
        <v>283</v>
      </c>
      <c r="D50" s="88">
        <v>300</v>
      </c>
      <c r="E50" s="88">
        <v>300</v>
      </c>
    </row>
    <row r="51" spans="2:5" ht="15.75">
      <c r="B51" s="618" t="s">
        <v>1024</v>
      </c>
      <c r="C51" s="88"/>
      <c r="D51" s="88">
        <v>120</v>
      </c>
      <c r="E51" s="88">
        <v>120</v>
      </c>
    </row>
    <row r="52" spans="2:5" ht="15.75">
      <c r="B52" s="618" t="s">
        <v>1002</v>
      </c>
      <c r="C52" s="88">
        <v>330</v>
      </c>
      <c r="D52" s="88">
        <v>400</v>
      </c>
      <c r="E52" s="88">
        <v>400</v>
      </c>
    </row>
    <row r="53" spans="2:5" ht="15.75">
      <c r="B53" s="618" t="s">
        <v>1003</v>
      </c>
      <c r="C53" s="88"/>
      <c r="D53" s="88"/>
      <c r="E53" s="88"/>
    </row>
    <row r="54" spans="2:5" ht="15.75">
      <c r="B54" s="618" t="s">
        <v>1025</v>
      </c>
      <c r="C54" s="88"/>
      <c r="D54" s="88"/>
      <c r="E54" s="88">
        <v>62262</v>
      </c>
    </row>
    <row r="55" spans="2:5" ht="15.75">
      <c r="B55" s="407" t="s">
        <v>1013</v>
      </c>
      <c r="C55" s="88">
        <v>15</v>
      </c>
      <c r="D55" s="88">
        <v>100</v>
      </c>
      <c r="E55" s="88">
        <v>100</v>
      </c>
    </row>
    <row r="56" spans="2:5" ht="15.75">
      <c r="B56" s="192" t="s">
        <v>256</v>
      </c>
      <c r="C56" s="88"/>
      <c r="D56" s="88"/>
      <c r="E56" s="88"/>
    </row>
    <row r="57" spans="2:5" ht="15.75">
      <c r="B57" s="192" t="s">
        <v>55</v>
      </c>
      <c r="C57" s="454">
        <f>IF(C58*0.1&lt;C56,"Exceed 10% Rule","")</f>
      </c>
      <c r="D57" s="338">
        <f>IF(D58*0.1&lt;D56,"Exceed 10% Rule","")</f>
      </c>
      <c r="E57" s="338">
        <f>IF(E58*0.1&lt;E56,"Exceed 10% Rule","")</f>
      </c>
    </row>
    <row r="58" spans="2:5" ht="15.75">
      <c r="B58" s="289" t="s">
        <v>174</v>
      </c>
      <c r="C58" s="340">
        <f>SUM(C44:C56)</f>
        <v>24525</v>
      </c>
      <c r="D58" s="340">
        <f>SUM(D44:D56)</f>
        <v>43320</v>
      </c>
      <c r="E58" s="340">
        <f>SUM(E44:E56)</f>
        <v>105582</v>
      </c>
    </row>
    <row r="59" spans="2:5" ht="15.75">
      <c r="B59" s="179" t="s">
        <v>279</v>
      </c>
      <c r="C59" s="95">
        <f>C42-C58</f>
        <v>68902</v>
      </c>
      <c r="D59" s="95">
        <f>D42-D58</f>
        <v>65582</v>
      </c>
      <c r="E59" s="95">
        <f>E42-E58</f>
        <v>0</v>
      </c>
    </row>
    <row r="60" spans="2:5" ht="15.75">
      <c r="B60" s="211" t="str">
        <f>CONCATENATE("",E1-2,"/",E1-1," Budget Authority Amount:")</f>
        <v>2012/2013 Budget Authority Amount:</v>
      </c>
      <c r="C60" s="222">
        <f>inputOth!B63</f>
        <v>43170</v>
      </c>
      <c r="D60" s="222">
        <f>inputPrYr!D29</f>
        <v>93141</v>
      </c>
      <c r="E60" s="461">
        <f>IF(E59&lt;0,"See Tab E","")</f>
      </c>
    </row>
    <row r="61" spans="2:5" ht="15.75">
      <c r="B61" s="211"/>
      <c r="C61" s="295">
        <f>IF(C58&gt;C60,"See Tab A","")</f>
      </c>
      <c r="D61" s="295">
        <f>IF(D58&gt;D60,"See Tab C","")</f>
      </c>
      <c r="E61" s="65"/>
    </row>
    <row r="62" spans="2:5" ht="15.75">
      <c r="B62" s="211"/>
      <c r="C62" s="295">
        <f>IF(C59&lt;0,"See Tab B","")</f>
      </c>
      <c r="D62" s="295">
        <f>IF(D59&lt;0,"See Tab D","")</f>
      </c>
      <c r="E62" s="65"/>
    </row>
    <row r="63" spans="2:5" ht="15.75">
      <c r="B63" s="65"/>
      <c r="C63" s="65"/>
      <c r="D63" s="65"/>
      <c r="E63" s="65"/>
    </row>
    <row r="64" spans="2:5" ht="15.75">
      <c r="B64" s="219" t="s">
        <v>177</v>
      </c>
      <c r="C64" s="297">
        <v>8</v>
      </c>
      <c r="D64" s="65"/>
      <c r="E64" s="65"/>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3">
    <cfRule type="cellIs" priority="15" dxfId="135" operator="greaterThan" stopIfTrue="1">
      <formula>$C$25*0.1</formula>
    </cfRule>
  </conditionalFormatting>
  <conditionalFormatting sqref="D23">
    <cfRule type="cellIs" priority="16" dxfId="135" operator="greaterThan" stopIfTrue="1">
      <formula>$D$25*0.1</formula>
    </cfRule>
  </conditionalFormatting>
  <conditionalFormatting sqref="E23">
    <cfRule type="cellIs" priority="17" dxfId="135" operator="greaterThan" stopIfTrue="1">
      <formula>$E$25*0.1</formula>
    </cfRule>
  </conditionalFormatting>
  <conditionalFormatting sqref="C56">
    <cfRule type="cellIs" priority="18" dxfId="135" operator="greaterThan" stopIfTrue="1">
      <formula>$C$58*0.1</formula>
    </cfRule>
  </conditionalFormatting>
  <conditionalFormatting sqref="D56">
    <cfRule type="cellIs" priority="19" dxfId="135" operator="greaterThan" stopIfTrue="1">
      <formula>$D$58*0.1</formula>
    </cfRule>
  </conditionalFormatting>
  <conditionalFormatting sqref="E56">
    <cfRule type="cellIs" priority="20" dxfId="135" operator="greaterThan" stopIfTrue="1">
      <formula>$E$58*0.1</formula>
    </cfRule>
  </conditionalFormatting>
  <conditionalFormatting sqref="C59 E26">
    <cfRule type="cellIs" priority="21" dxfId="2" operator="lessThan" stopIfTrue="1">
      <formula>0</formula>
    </cfRule>
  </conditionalFormatting>
  <conditionalFormatting sqref="D58">
    <cfRule type="cellIs" priority="22" dxfId="2" operator="greaterThan" stopIfTrue="1">
      <formula>$D$60</formula>
    </cfRule>
  </conditionalFormatting>
  <conditionalFormatting sqref="E59">
    <cfRule type="cellIs" priority="23" dxfId="3" operator="lessThan" stopIfTrue="1">
      <formula>0</formula>
    </cfRule>
  </conditionalFormatting>
  <conditionalFormatting sqref="D26">
    <cfRule type="cellIs" priority="6" dxfId="0" operator="lessThan" stopIfTrue="1">
      <formula>0</formula>
    </cfRule>
    <cfRule type="cellIs" priority="8" dxfId="0" operator="lessThan" stopIfTrue="1">
      <formula>0</formula>
    </cfRule>
  </conditionalFormatting>
  <conditionalFormatting sqref="D59 C26">
    <cfRule type="cellIs" priority="7" dxfId="0" operator="lessThan" stopIfTrue="1">
      <formula>0</formula>
    </cfRule>
  </conditionalFormatting>
  <conditionalFormatting sqref="D25">
    <cfRule type="cellIs" priority="3" dxfId="0" operator="greaterThan" stopIfTrue="1">
      <formula>$D$27</formula>
    </cfRule>
  </conditionalFormatting>
  <conditionalFormatting sqref="C25">
    <cfRule type="cellIs" priority="2" dxfId="0" operator="greaterThan" stopIfTrue="1">
      <formula>$C$27</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300" verticalDpi="30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59"/>
  <sheetViews>
    <sheetView zoomScale="80" zoomScaleNormal="80" zoomScalePageLayoutView="0" workbookViewId="0" topLeftCell="A25">
      <selection activeCell="E26" sqref="E26"/>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Beattie</v>
      </c>
      <c r="C1" s="65"/>
      <c r="D1" s="65"/>
      <c r="E1" s="162">
        <f>inputPrYr!$C$5</f>
        <v>2014</v>
      </c>
    </row>
    <row r="2" spans="2:5" ht="15.75">
      <c r="B2" s="65"/>
      <c r="C2" s="65"/>
      <c r="D2" s="65"/>
      <c r="E2" s="219"/>
    </row>
    <row r="3" spans="2:5" ht="15.75">
      <c r="B3" s="82" t="s">
        <v>222</v>
      </c>
      <c r="C3" s="173"/>
      <c r="D3" s="173"/>
      <c r="E3" s="164"/>
    </row>
    <row r="4" spans="2:5" ht="15.75">
      <c r="B4" s="70" t="s">
        <v>165</v>
      </c>
      <c r="C4" s="708" t="s">
        <v>832</v>
      </c>
      <c r="D4" s="709" t="s">
        <v>833</v>
      </c>
      <c r="E4" s="175" t="s">
        <v>834</v>
      </c>
    </row>
    <row r="5" spans="2:5" ht="15.75">
      <c r="B5" s="453" t="str">
        <f>(inputPrYr!B30)</f>
        <v>Sewer</v>
      </c>
      <c r="C5" s="333" t="str">
        <f>CONCATENATE("Actual for ",$E$1-2,"")</f>
        <v>Actual for 2012</v>
      </c>
      <c r="D5" s="415" t="str">
        <f>CONCATENATE("Estimate for ",$E$1-1,"")</f>
        <v>Estimate for 2013</v>
      </c>
      <c r="E5" s="230" t="str">
        <f>CONCATENATE("Year for ",$E$1,"")</f>
        <v>Year for 2014</v>
      </c>
    </row>
    <row r="6" spans="2:5" ht="15.75">
      <c r="B6" s="179" t="s">
        <v>278</v>
      </c>
      <c r="C6" s="88">
        <v>68517</v>
      </c>
      <c r="D6" s="190">
        <f>C31</f>
        <v>71151</v>
      </c>
      <c r="E6" s="190">
        <f>D31</f>
        <v>69148</v>
      </c>
    </row>
    <row r="7" spans="2:5" ht="15.75">
      <c r="B7" s="279" t="s">
        <v>280</v>
      </c>
      <c r="C7" s="190"/>
      <c r="D7" s="190"/>
      <c r="E7" s="190"/>
    </row>
    <row r="8" spans="2:5" ht="15.75">
      <c r="B8" s="292"/>
      <c r="C8" s="88"/>
      <c r="D8" s="88"/>
      <c r="E8" s="88"/>
    </row>
    <row r="9" spans="2:5" ht="15.75">
      <c r="B9" s="292" t="s">
        <v>181</v>
      </c>
      <c r="C9" s="88">
        <v>27254</v>
      </c>
      <c r="D9" s="88">
        <v>29000</v>
      </c>
      <c r="E9" s="88">
        <v>29000</v>
      </c>
    </row>
    <row r="10" spans="2:5" ht="15.75">
      <c r="B10" s="292"/>
      <c r="C10" s="88"/>
      <c r="D10" s="88"/>
      <c r="E10" s="88"/>
    </row>
    <row r="11" spans="2:5" ht="15.75">
      <c r="B11" s="337" t="s">
        <v>170</v>
      </c>
      <c r="C11" s="88"/>
      <c r="D11" s="88"/>
      <c r="E11" s="88"/>
    </row>
    <row r="12" spans="2:5" ht="15.75">
      <c r="B12" s="341" t="s">
        <v>256</v>
      </c>
      <c r="C12" s="88"/>
      <c r="D12" s="88"/>
      <c r="E12" s="88"/>
    </row>
    <row r="13" spans="2:5" ht="15.75">
      <c r="B13" s="341" t="s">
        <v>651</v>
      </c>
      <c r="C13" s="454">
        <f>IF(C14*0.1&lt;C12,"Exceed 10% Rule","")</f>
      </c>
      <c r="D13" s="338">
        <f>IF(D14*0.1&lt;D12,"Exceed 10% Rule","")</f>
      </c>
      <c r="E13" s="338">
        <f>IF(E14*0.1&lt;E12,"Exceed 10% Rule","")</f>
      </c>
    </row>
    <row r="14" spans="2:5" ht="15.75">
      <c r="B14" s="289" t="s">
        <v>171</v>
      </c>
      <c r="C14" s="340">
        <f>SUM(C8:C12)</f>
        <v>27254</v>
      </c>
      <c r="D14" s="340">
        <f>SUM(D8:D12)</f>
        <v>29000</v>
      </c>
      <c r="E14" s="340">
        <f>SUM(E8:E12)</f>
        <v>29000</v>
      </c>
    </row>
    <row r="15" spans="2:5" ht="15.75">
      <c r="B15" s="289" t="s">
        <v>172</v>
      </c>
      <c r="C15" s="340">
        <f>C6+C14</f>
        <v>95771</v>
      </c>
      <c r="D15" s="340">
        <f>D6+D14</f>
        <v>100151</v>
      </c>
      <c r="E15" s="340">
        <f>E6+E14</f>
        <v>98148</v>
      </c>
    </row>
    <row r="16" spans="2:5" ht="15.75">
      <c r="B16" s="179" t="s">
        <v>173</v>
      </c>
      <c r="C16" s="190"/>
      <c r="D16" s="190"/>
      <c r="E16" s="190"/>
    </row>
    <row r="17" spans="2:5" ht="15.75">
      <c r="B17" s="408" t="s">
        <v>290</v>
      </c>
      <c r="C17" s="88">
        <v>2648</v>
      </c>
      <c r="D17" s="409">
        <v>4000</v>
      </c>
      <c r="E17" s="88">
        <v>4000</v>
      </c>
    </row>
    <row r="18" spans="2:5" ht="15.75">
      <c r="B18" s="408" t="s">
        <v>293</v>
      </c>
      <c r="C18" s="88"/>
      <c r="D18" s="409"/>
      <c r="E18" s="88"/>
    </row>
    <row r="19" spans="2:5" ht="15.75">
      <c r="B19" s="408" t="s">
        <v>1026</v>
      </c>
      <c r="C19" s="88">
        <v>8575</v>
      </c>
      <c r="D19" s="409">
        <v>12000</v>
      </c>
      <c r="E19" s="88">
        <v>12000</v>
      </c>
    </row>
    <row r="20" spans="2:5" ht="15.75">
      <c r="B20" s="408" t="s">
        <v>1027</v>
      </c>
      <c r="C20" s="88">
        <v>287</v>
      </c>
      <c r="D20" s="409">
        <v>500</v>
      </c>
      <c r="E20" s="88">
        <v>500</v>
      </c>
    </row>
    <row r="21" spans="2:5" ht="15.75">
      <c r="B21" s="408" t="s">
        <v>1012</v>
      </c>
      <c r="C21" s="88"/>
      <c r="D21" s="409">
        <v>1500</v>
      </c>
      <c r="E21" s="88">
        <v>1500</v>
      </c>
    </row>
    <row r="22" spans="2:5" ht="15.75">
      <c r="B22" s="408" t="s">
        <v>1002</v>
      </c>
      <c r="C22" s="88">
        <v>220</v>
      </c>
      <c r="D22" s="409">
        <v>250</v>
      </c>
      <c r="E22" s="88">
        <v>250</v>
      </c>
    </row>
    <row r="23" spans="2:5" ht="15.75">
      <c r="B23" s="408" t="s">
        <v>1028</v>
      </c>
      <c r="C23" s="88">
        <v>12753</v>
      </c>
      <c r="D23" s="409">
        <f>12754-1</f>
        <v>12753</v>
      </c>
      <c r="E23" s="88">
        <f>4217+8536</f>
        <v>12753</v>
      </c>
    </row>
    <row r="24" spans="2:5" ht="15.75">
      <c r="B24" s="408" t="s">
        <v>1003</v>
      </c>
      <c r="C24" s="88"/>
      <c r="D24" s="409"/>
      <c r="E24" s="88"/>
    </row>
    <row r="25" spans="2:5" ht="15.75">
      <c r="B25" s="408" t="s">
        <v>1022</v>
      </c>
      <c r="C25" s="88"/>
      <c r="D25" s="409"/>
      <c r="E25" s="88">
        <v>67145</v>
      </c>
    </row>
    <row r="26" spans="2:5" ht="15.75">
      <c r="B26" s="408"/>
      <c r="C26" s="88"/>
      <c r="D26" s="409"/>
      <c r="E26" s="88"/>
    </row>
    <row r="27" spans="2:5" ht="15.75">
      <c r="B27" s="408"/>
      <c r="C27" s="88"/>
      <c r="D27" s="409"/>
      <c r="E27" s="88"/>
    </row>
    <row r="28" spans="2:5" ht="15.75">
      <c r="B28" s="192" t="s">
        <v>256</v>
      </c>
      <c r="C28" s="88">
        <v>137</v>
      </c>
      <c r="D28" s="409"/>
      <c r="E28" s="88"/>
    </row>
    <row r="29" spans="2:5" ht="15.75">
      <c r="B29" s="192" t="s">
        <v>650</v>
      </c>
      <c r="C29" s="454">
        <f>IF(C30*0.1&lt;C28,"Exceed 10% Rule","")</f>
      </c>
      <c r="D29" s="338">
        <f>IF(D30*0.1&lt;D28,"Exceed 10% Rule","")</f>
      </c>
      <c r="E29" s="338">
        <f>IF(E30*0.1&lt;E28,"Exceed 10% Rule","")</f>
      </c>
    </row>
    <row r="30" spans="2:5" ht="15.75">
      <c r="B30" s="289" t="s">
        <v>174</v>
      </c>
      <c r="C30" s="340">
        <f>SUM(C17:C28)</f>
        <v>24620</v>
      </c>
      <c r="D30" s="340">
        <f>SUM(D17:D28)</f>
        <v>31003</v>
      </c>
      <c r="E30" s="340">
        <f>SUM(E17:E28)</f>
        <v>98148</v>
      </c>
    </row>
    <row r="31" spans="2:5" ht="15.75">
      <c r="B31" s="179" t="s">
        <v>279</v>
      </c>
      <c r="C31" s="95">
        <f>C15-C30</f>
        <v>71151</v>
      </c>
      <c r="D31" s="95">
        <f>D15-D30</f>
        <v>69148</v>
      </c>
      <c r="E31" s="95">
        <f>E15-E30</f>
        <v>0</v>
      </c>
    </row>
    <row r="32" spans="2:5" ht="15.75">
      <c r="B32" s="211" t="str">
        <f>CONCATENATE("",E1-2,"/",E1-1," Budget Authority Amount:")</f>
        <v>2012/2013 Budget Authority Amount:</v>
      </c>
      <c r="C32" s="222">
        <f>inputOth!B64</f>
        <v>34204</v>
      </c>
      <c r="D32" s="222">
        <f>inputPrYr!D30</f>
        <v>98313</v>
      </c>
      <c r="E32" s="461">
        <f>IF(E31&lt;0,"See Tab E","")</f>
      </c>
    </row>
    <row r="33" spans="2:5" ht="15.75">
      <c r="B33" s="211"/>
      <c r="C33" s="295">
        <f>IF(C30&gt;C32,"See Tab A","")</f>
      </c>
      <c r="D33" s="295">
        <f>IF(D30&gt;D32,"See Tab C","")</f>
      </c>
      <c r="E33" s="342"/>
    </row>
    <row r="34" spans="2:5" ht="15.75">
      <c r="B34" s="211"/>
      <c r="C34" s="295">
        <f>IF(C31&lt;0,"See Tab B","")</f>
      </c>
      <c r="D34" s="295">
        <f>IF(D31&lt;0,"See Tab D","")</f>
      </c>
      <c r="E34" s="342"/>
    </row>
    <row r="35" spans="2:5" ht="15.75">
      <c r="B35" s="65"/>
      <c r="C35" s="342"/>
      <c r="D35" s="342"/>
      <c r="E35" s="342"/>
    </row>
    <row r="36" spans="2:5" ht="15.75">
      <c r="B36" s="65"/>
      <c r="C36" s="342"/>
      <c r="D36" s="342"/>
      <c r="E36" s="342"/>
    </row>
    <row r="37" spans="2:5" ht="15.75">
      <c r="B37" s="70" t="s">
        <v>165</v>
      </c>
      <c r="C37" s="708" t="s">
        <v>832</v>
      </c>
      <c r="D37" s="709" t="s">
        <v>833</v>
      </c>
      <c r="E37" s="175" t="s">
        <v>834</v>
      </c>
    </row>
    <row r="38" spans="2:5" ht="15.75">
      <c r="B38" s="453">
        <f>(inputPrYr!B31)</f>
        <v>0</v>
      </c>
      <c r="C38" s="333" t="str">
        <f>CONCATENATE("Actual for ",$E$1-2,"")</f>
        <v>Actual for 2012</v>
      </c>
      <c r="D38" s="415" t="str">
        <f>CONCATENATE("Estimate for ",$E$1-1,"")</f>
        <v>Estimate for 2013</v>
      </c>
      <c r="E38" s="230" t="str">
        <f>CONCATENATE("Year for ",$E$1,"")</f>
        <v>Year for 2014</v>
      </c>
    </row>
    <row r="39" spans="2:5" ht="15.75">
      <c r="B39" s="179" t="s">
        <v>278</v>
      </c>
      <c r="C39" s="88">
        <v>0</v>
      </c>
      <c r="D39" s="190">
        <f>C54</f>
        <v>0</v>
      </c>
      <c r="E39" s="190">
        <f>D54</f>
        <v>0</v>
      </c>
    </row>
    <row r="40" spans="2:5" ht="15.75">
      <c r="B40" s="279" t="s">
        <v>280</v>
      </c>
      <c r="C40" s="190"/>
      <c r="D40" s="190"/>
      <c r="E40" s="190"/>
    </row>
    <row r="41" spans="2:5" ht="15.75">
      <c r="B41" s="292"/>
      <c r="C41" s="88"/>
      <c r="D41" s="88"/>
      <c r="E41" s="88"/>
    </row>
    <row r="42" spans="2:5" ht="15.75">
      <c r="B42" s="337" t="s">
        <v>170</v>
      </c>
      <c r="C42" s="88"/>
      <c r="D42" s="88"/>
      <c r="E42" s="88"/>
    </row>
    <row r="43" spans="2:5" ht="15.75">
      <c r="B43" s="341" t="s">
        <v>256</v>
      </c>
      <c r="C43" s="88"/>
      <c r="D43" s="88"/>
      <c r="E43" s="88"/>
    </row>
    <row r="44" spans="2:5" ht="15.75">
      <c r="B44" s="341" t="s">
        <v>651</v>
      </c>
      <c r="C44" s="454">
        <f>IF(C45*0.1&lt;C43,"Exceed 10% Rule","")</f>
      </c>
      <c r="D44" s="338">
        <f>IF(D45*0.1&lt;D43,"Exceed 10% Rule","")</f>
      </c>
      <c r="E44" s="338">
        <f>IF(E45*0.1&lt;E43,"Exceed 10% Rule","")</f>
      </c>
    </row>
    <row r="45" spans="2:5" ht="15.75">
      <c r="B45" s="289" t="s">
        <v>171</v>
      </c>
      <c r="C45" s="340">
        <f>SUM(C41:C43)</f>
        <v>0</v>
      </c>
      <c r="D45" s="340">
        <f>SUM(D41:D43)</f>
        <v>0</v>
      </c>
      <c r="E45" s="340">
        <f>SUM(E41:E43)</f>
        <v>0</v>
      </c>
    </row>
    <row r="46" spans="2:5" ht="15.75">
      <c r="B46" s="289" t="s">
        <v>172</v>
      </c>
      <c r="C46" s="340">
        <f>C39+C45</f>
        <v>0</v>
      </c>
      <c r="D46" s="340">
        <f>D39+D45</f>
        <v>0</v>
      </c>
      <c r="E46" s="340">
        <f>E39+E45</f>
        <v>0</v>
      </c>
    </row>
    <row r="47" spans="2:5" ht="15.75">
      <c r="B47" s="179" t="s">
        <v>173</v>
      </c>
      <c r="C47" s="190"/>
      <c r="D47" s="190"/>
      <c r="E47" s="190"/>
    </row>
    <row r="48" spans="2:5" ht="15.75">
      <c r="B48" s="410"/>
      <c r="C48" s="88"/>
      <c r="D48" s="88"/>
      <c r="E48" s="88"/>
    </row>
    <row r="49" spans="2:5" ht="15.75">
      <c r="B49" s="410"/>
      <c r="C49" s="88"/>
      <c r="D49" s="411"/>
      <c r="E49" s="88"/>
    </row>
    <row r="50" spans="2:5" ht="15.75">
      <c r="B50" s="292"/>
      <c r="C50" s="88"/>
      <c r="D50" s="88"/>
      <c r="E50" s="88"/>
    </row>
    <row r="51" spans="2:5" ht="15.75">
      <c r="B51" s="192" t="s">
        <v>256</v>
      </c>
      <c r="C51" s="88"/>
      <c r="D51" s="334"/>
      <c r="E51" s="334"/>
    </row>
    <row r="52" spans="2:5" ht="15.75">
      <c r="B52" s="192" t="s">
        <v>650</v>
      </c>
      <c r="C52" s="454">
        <f>IF(C53*0.1&lt;C51,"Exceed 10% Rule","")</f>
      </c>
      <c r="D52" s="338">
        <f>IF(D53*0.1&lt;D51,"Exceed 10% Rule","")</f>
      </c>
      <c r="E52" s="338">
        <f>IF(E53*0.1&lt;E51,"Exceed 10% Rule","")</f>
      </c>
    </row>
    <row r="53" spans="2:5" ht="15.75">
      <c r="B53" s="289" t="s">
        <v>174</v>
      </c>
      <c r="C53" s="340">
        <f>SUM(C48:C51)</f>
        <v>0</v>
      </c>
      <c r="D53" s="340">
        <f>SUM(D48:D51)</f>
        <v>0</v>
      </c>
      <c r="E53" s="340">
        <f>SUM(E48:E51)</f>
        <v>0</v>
      </c>
    </row>
    <row r="54" spans="2:5" ht="15.75">
      <c r="B54" s="179" t="s">
        <v>279</v>
      </c>
      <c r="C54" s="95">
        <f>C46-C53</f>
        <v>0</v>
      </c>
      <c r="D54" s="95">
        <f>D46-D53</f>
        <v>0</v>
      </c>
      <c r="E54" s="95">
        <f>E46-E53</f>
        <v>0</v>
      </c>
    </row>
    <row r="55" spans="2:5" ht="15.75">
      <c r="B55" s="211" t="str">
        <f>CONCATENATE("",E1-2,"/",E1-1," Budget Authority Amount:")</f>
        <v>2012/2013 Budget Authority Amount:</v>
      </c>
      <c r="C55" s="222">
        <f>inputOth!B65</f>
        <v>0</v>
      </c>
      <c r="D55" s="222">
        <f>inputPrYr!D31</f>
        <v>0</v>
      </c>
      <c r="E55" s="461">
        <f>IF(E54&lt;0,"See Tab E","")</f>
      </c>
    </row>
    <row r="56" spans="2:5" ht="15.75">
      <c r="B56" s="211"/>
      <c r="C56" s="295">
        <f>IF(C53&gt;C55,"See Tab A","")</f>
      </c>
      <c r="D56" s="295">
        <f>IF(D53&gt;D55,"See Tab C","")</f>
      </c>
      <c r="E56" s="65"/>
    </row>
    <row r="57" spans="2:5" ht="15.75">
      <c r="B57" s="211"/>
      <c r="C57" s="295">
        <f>IF(C54&lt;0,"See Tab B","")</f>
      </c>
      <c r="D57" s="295">
        <f>IF(D54&lt;0,"See Tab D","")</f>
      </c>
      <c r="E57" s="65"/>
    </row>
    <row r="58" spans="2:5" ht="15.75">
      <c r="B58" s="65"/>
      <c r="C58" s="65"/>
      <c r="D58" s="65"/>
      <c r="E58" s="65"/>
    </row>
    <row r="59" spans="2:5" ht="15.75">
      <c r="B59" s="219" t="s">
        <v>177</v>
      </c>
      <c r="C59" s="297">
        <v>9</v>
      </c>
      <c r="D59" s="65"/>
      <c r="E59" s="65"/>
    </row>
  </sheetData>
  <sheetProtection/>
  <conditionalFormatting sqref="C12">
    <cfRule type="cellIs" priority="4" dxfId="135" operator="greaterThan" stopIfTrue="1">
      <formula>$C$14*0.1</formula>
    </cfRule>
  </conditionalFormatting>
  <conditionalFormatting sqref="D12">
    <cfRule type="cellIs" priority="5" dxfId="135" operator="greaterThan" stopIfTrue="1">
      <formula>$D$14*0.1</formula>
    </cfRule>
  </conditionalFormatting>
  <conditionalFormatting sqref="E12">
    <cfRule type="cellIs" priority="6" dxfId="135" operator="greaterThan" stopIfTrue="1">
      <formula>$E$14*0.1</formula>
    </cfRule>
  </conditionalFormatting>
  <conditionalFormatting sqref="C43">
    <cfRule type="cellIs" priority="7" dxfId="135" operator="greaterThan" stopIfTrue="1">
      <formula>$C$45*0.1</formula>
    </cfRule>
  </conditionalFormatting>
  <conditionalFormatting sqref="D43">
    <cfRule type="cellIs" priority="8" dxfId="135" operator="greaterThan" stopIfTrue="1">
      <formula>$D$45*0.1</formula>
    </cfRule>
  </conditionalFormatting>
  <conditionalFormatting sqref="E43">
    <cfRule type="cellIs" priority="9" dxfId="135" operator="greaterThan" stopIfTrue="1">
      <formula>$E$45*0.1</formula>
    </cfRule>
  </conditionalFormatting>
  <conditionalFormatting sqref="C51">
    <cfRule type="cellIs" priority="10" dxfId="135" operator="greaterThan" stopIfTrue="1">
      <formula>$C$53*0.1</formula>
    </cfRule>
  </conditionalFormatting>
  <conditionalFormatting sqref="D51">
    <cfRule type="cellIs" priority="11" dxfId="135" operator="greaterThan" stopIfTrue="1">
      <formula>$D$53*0.1</formula>
    </cfRule>
  </conditionalFormatting>
  <conditionalFormatting sqref="E51">
    <cfRule type="cellIs" priority="12" dxfId="135" operator="greaterThan" stopIfTrue="1">
      <formula>$E$53*0.1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54 E54 C31 E31">
    <cfRule type="cellIs" priority="16" dxfId="2" operator="lessThan" stopIfTrue="1">
      <formula>0</formula>
    </cfRule>
  </conditionalFormatting>
  <conditionalFormatting sqref="D30">
    <cfRule type="cellIs" priority="17" dxfId="2" operator="greaterThan" stopIfTrue="1">
      <formula>$D$32</formula>
    </cfRule>
  </conditionalFormatting>
  <conditionalFormatting sqref="C53">
    <cfRule type="cellIs" priority="18" dxfId="2" operator="greaterThan" stopIfTrue="1">
      <formula>$C$55</formula>
    </cfRule>
  </conditionalFormatting>
  <conditionalFormatting sqref="D53">
    <cfRule type="cellIs" priority="19" dxfId="2" operator="greaterThan" stopIfTrue="1">
      <formula>$D$55</formula>
    </cfRule>
  </conditionalFormatting>
  <conditionalFormatting sqref="D31">
    <cfRule type="cellIs" priority="3" dxfId="0" operator="lessThan" stopIfTrue="1">
      <formula>0</formula>
    </cfRule>
  </conditionalFormatting>
  <conditionalFormatting sqref="D54">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1" sqref="D1"/>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Beattie</v>
      </c>
      <c r="B1" s="218"/>
      <c r="C1" s="130"/>
      <c r="D1" s="130"/>
      <c r="E1" s="130"/>
      <c r="F1" s="298" t="s">
        <v>34</v>
      </c>
      <c r="G1" s="130"/>
      <c r="H1" s="130"/>
      <c r="I1" s="130"/>
      <c r="J1" s="130"/>
      <c r="K1" s="130">
        <f>inputPrYr!$C$5</f>
        <v>2014</v>
      </c>
    </row>
    <row r="2" spans="1:11" ht="15.75">
      <c r="A2" s="130"/>
      <c r="B2" s="130"/>
      <c r="C2" s="130"/>
      <c r="D2" s="130"/>
      <c r="E2" s="130"/>
      <c r="F2" s="299" t="str">
        <f>CONCATENATE("(Only the actual budget year for ",K1-2," is to be shown)")</f>
        <v>(Only the actual budget year for 2012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792" t="str">
        <f>inputPrYr!B38</f>
        <v>Capital Projects </v>
      </c>
      <c r="B5" s="793"/>
      <c r="C5" s="792" t="str">
        <f>inputPrYr!B39</f>
        <v>Community Center Trust</v>
      </c>
      <c r="D5" s="793"/>
      <c r="E5" s="792">
        <f>inputPrYr!B40</f>
        <v>0</v>
      </c>
      <c r="F5" s="793"/>
      <c r="G5" s="792">
        <f>inputPrYr!B41</f>
        <v>0</v>
      </c>
      <c r="H5" s="793"/>
      <c r="I5" s="792">
        <f>inputPrYr!B42</f>
        <v>0</v>
      </c>
      <c r="J5" s="793"/>
      <c r="K5" s="149"/>
    </row>
    <row r="6" spans="1:11" ht="15.75">
      <c r="A6" s="301" t="s">
        <v>31</v>
      </c>
      <c r="B6" s="302"/>
      <c r="C6" s="303" t="s">
        <v>31</v>
      </c>
      <c r="D6" s="304"/>
      <c r="E6" s="303" t="s">
        <v>31</v>
      </c>
      <c r="F6" s="305"/>
      <c r="G6" s="303" t="s">
        <v>31</v>
      </c>
      <c r="H6" s="300"/>
      <c r="I6" s="303" t="s">
        <v>31</v>
      </c>
      <c r="J6" s="130"/>
      <c r="K6" s="306" t="s">
        <v>135</v>
      </c>
    </row>
    <row r="7" spans="1:11" ht="15.75">
      <c r="A7" s="307" t="s">
        <v>75</v>
      </c>
      <c r="B7" s="308">
        <v>110976</v>
      </c>
      <c r="C7" s="309" t="s">
        <v>75</v>
      </c>
      <c r="D7" s="308">
        <v>346</v>
      </c>
      <c r="E7" s="309" t="s">
        <v>75</v>
      </c>
      <c r="F7" s="308"/>
      <c r="G7" s="309" t="s">
        <v>75</v>
      </c>
      <c r="H7" s="308"/>
      <c r="I7" s="309" t="s">
        <v>75</v>
      </c>
      <c r="J7" s="308"/>
      <c r="K7" s="310">
        <f>SUM(B7+D7+F7+H7+J7)</f>
        <v>111322</v>
      </c>
    </row>
    <row r="8" spans="1:11" ht="15.75">
      <c r="A8" s="311" t="s">
        <v>280</v>
      </c>
      <c r="B8" s="312"/>
      <c r="C8" s="311" t="s">
        <v>280</v>
      </c>
      <c r="D8" s="313"/>
      <c r="E8" s="311" t="s">
        <v>280</v>
      </c>
      <c r="F8" s="218"/>
      <c r="G8" s="311" t="s">
        <v>280</v>
      </c>
      <c r="H8" s="130"/>
      <c r="I8" s="311" t="s">
        <v>280</v>
      </c>
      <c r="J8" s="130"/>
      <c r="K8" s="218"/>
    </row>
    <row r="9" spans="1:11" ht="15.75">
      <c r="A9" s="314"/>
      <c r="B9" s="308"/>
      <c r="C9" s="314"/>
      <c r="D9" s="308"/>
      <c r="E9" s="314"/>
      <c r="F9" s="308"/>
      <c r="G9" s="314"/>
      <c r="H9" s="308"/>
      <c r="I9" s="314"/>
      <c r="J9" s="308"/>
      <c r="K9" s="218"/>
    </row>
    <row r="10" spans="1:11" ht="15.75">
      <c r="A10" s="314"/>
      <c r="B10" s="308"/>
      <c r="C10" s="314" t="s">
        <v>1041</v>
      </c>
      <c r="D10" s="308">
        <f>12000+130+838+320</f>
        <v>13288</v>
      </c>
      <c r="E10" s="314"/>
      <c r="F10" s="308"/>
      <c r="G10" s="314"/>
      <c r="H10" s="308"/>
      <c r="I10" s="314"/>
      <c r="J10" s="308"/>
      <c r="K10" s="218"/>
    </row>
    <row r="11" spans="1:11" ht="15.75">
      <c r="A11" s="314"/>
      <c r="B11" s="308"/>
      <c r="C11" s="315" t="s">
        <v>1039</v>
      </c>
      <c r="D11" s="316">
        <v>800</v>
      </c>
      <c r="E11" s="315"/>
      <c r="F11" s="308"/>
      <c r="G11" s="315"/>
      <c r="H11" s="308"/>
      <c r="I11" s="317"/>
      <c r="J11" s="308"/>
      <c r="K11" s="218"/>
    </row>
    <row r="12" spans="1:11" ht="15.75">
      <c r="A12" s="314"/>
      <c r="B12" s="318"/>
      <c r="C12" s="314" t="s">
        <v>1040</v>
      </c>
      <c r="D12" s="319">
        <v>3383</v>
      </c>
      <c r="E12" s="320"/>
      <c r="F12" s="308"/>
      <c r="G12" s="320"/>
      <c r="H12" s="308"/>
      <c r="I12" s="320"/>
      <c r="J12" s="308"/>
      <c r="K12" s="218"/>
    </row>
    <row r="13" spans="1:11" ht="15.75">
      <c r="A13" s="321"/>
      <c r="B13" s="322"/>
      <c r="C13" s="323"/>
      <c r="D13" s="319"/>
      <c r="E13" s="323"/>
      <c r="F13" s="308"/>
      <c r="G13" s="323"/>
      <c r="H13" s="308"/>
      <c r="I13" s="317"/>
      <c r="J13" s="308"/>
      <c r="K13" s="218"/>
    </row>
    <row r="14" spans="1:11" ht="15.75">
      <c r="A14" s="314"/>
      <c r="B14" s="308"/>
      <c r="C14" s="320"/>
      <c r="D14" s="319"/>
      <c r="E14" s="320"/>
      <c r="F14" s="308"/>
      <c r="G14" s="320"/>
      <c r="H14" s="308"/>
      <c r="I14" s="320"/>
      <c r="J14" s="308"/>
      <c r="K14" s="218"/>
    </row>
    <row r="15" spans="1:11" ht="15.75">
      <c r="A15" s="314"/>
      <c r="B15" s="308"/>
      <c r="C15" s="320"/>
      <c r="D15" s="319"/>
      <c r="E15" s="320"/>
      <c r="F15" s="308"/>
      <c r="G15" s="320"/>
      <c r="H15" s="308"/>
      <c r="I15" s="320"/>
      <c r="J15" s="308"/>
      <c r="K15" s="218"/>
    </row>
    <row r="16" spans="1:11" ht="15.75">
      <c r="A16" s="314"/>
      <c r="B16" s="322"/>
      <c r="C16" s="314"/>
      <c r="D16" s="319"/>
      <c r="E16" s="314"/>
      <c r="F16" s="308"/>
      <c r="G16" s="320"/>
      <c r="H16" s="308"/>
      <c r="I16" s="314"/>
      <c r="J16" s="308"/>
      <c r="K16" s="218"/>
    </row>
    <row r="17" spans="1:11" ht="15.75">
      <c r="A17" s="311" t="s">
        <v>171</v>
      </c>
      <c r="B17" s="310">
        <f>SUM(B9:B16)</f>
        <v>0</v>
      </c>
      <c r="C17" s="311" t="s">
        <v>171</v>
      </c>
      <c r="D17" s="310">
        <f>SUM(D9:D16)</f>
        <v>17471</v>
      </c>
      <c r="E17" s="311" t="s">
        <v>171</v>
      </c>
      <c r="F17" s="324">
        <f>SUM(F9:F16)</f>
        <v>0</v>
      </c>
      <c r="G17" s="311" t="s">
        <v>171</v>
      </c>
      <c r="H17" s="310">
        <f>SUM(H9:H16)</f>
        <v>0</v>
      </c>
      <c r="I17" s="311" t="s">
        <v>171</v>
      </c>
      <c r="J17" s="310">
        <f>SUM(J9:J16)</f>
        <v>0</v>
      </c>
      <c r="K17" s="310">
        <f>SUM(B17+D17+F17+H17+J17)</f>
        <v>17471</v>
      </c>
    </row>
    <row r="18" spans="1:11" ht="15.75">
      <c r="A18" s="311" t="s">
        <v>172</v>
      </c>
      <c r="B18" s="310">
        <f>SUM(B7+B17)</f>
        <v>110976</v>
      </c>
      <c r="C18" s="311" t="s">
        <v>172</v>
      </c>
      <c r="D18" s="310">
        <f>SUM(D7+D17)</f>
        <v>17817</v>
      </c>
      <c r="E18" s="311" t="s">
        <v>172</v>
      </c>
      <c r="F18" s="310">
        <f>SUM(F7+F17)</f>
        <v>0</v>
      </c>
      <c r="G18" s="311" t="s">
        <v>172</v>
      </c>
      <c r="H18" s="310">
        <f>SUM(H7+H17)</f>
        <v>0</v>
      </c>
      <c r="I18" s="311" t="s">
        <v>172</v>
      </c>
      <c r="J18" s="310">
        <f>SUM(J7+J17)</f>
        <v>0</v>
      </c>
      <c r="K18" s="310">
        <f>SUM(B18+D18+F18+H18+J18)</f>
        <v>128793</v>
      </c>
    </row>
    <row r="19" spans="1:11" ht="15.75">
      <c r="A19" s="311" t="s">
        <v>173</v>
      </c>
      <c r="B19" s="312"/>
      <c r="C19" s="311" t="s">
        <v>173</v>
      </c>
      <c r="D19" s="313"/>
      <c r="E19" s="311" t="s">
        <v>173</v>
      </c>
      <c r="F19" s="218"/>
      <c r="G19" s="311" t="s">
        <v>173</v>
      </c>
      <c r="H19" s="130"/>
      <c r="I19" s="311" t="s">
        <v>173</v>
      </c>
      <c r="J19" s="130"/>
      <c r="K19" s="218"/>
    </row>
    <row r="20" spans="1:11" ht="15.75">
      <c r="A20" s="314"/>
      <c r="B20" s="308"/>
      <c r="C20" s="320"/>
      <c r="D20" s="308"/>
      <c r="E20" s="320"/>
      <c r="F20" s="308"/>
      <c r="G20" s="320"/>
      <c r="H20" s="308"/>
      <c r="I20" s="320"/>
      <c r="J20" s="308"/>
      <c r="K20" s="218"/>
    </row>
    <row r="21" spans="1:11" ht="15.75">
      <c r="A21" s="314"/>
      <c r="B21" s="308"/>
      <c r="C21" s="320" t="s">
        <v>1034</v>
      </c>
      <c r="D21" s="308">
        <v>7971</v>
      </c>
      <c r="E21" s="320"/>
      <c r="F21" s="308"/>
      <c r="G21" s="320"/>
      <c r="H21" s="308"/>
      <c r="I21" s="320"/>
      <c r="J21" s="308"/>
      <c r="K21" s="218"/>
    </row>
    <row r="22" spans="1:11" ht="15.75">
      <c r="A22" s="314"/>
      <c r="B22" s="308"/>
      <c r="C22" s="323"/>
      <c r="D22" s="308"/>
      <c r="E22" s="323"/>
      <c r="F22" s="308"/>
      <c r="G22" s="323"/>
      <c r="H22" s="308"/>
      <c r="I22" s="317"/>
      <c r="J22" s="308"/>
      <c r="K22" s="218"/>
    </row>
    <row r="23" spans="1:11" ht="15.75">
      <c r="A23" s="314"/>
      <c r="B23" s="308"/>
      <c r="C23" s="320"/>
      <c r="D23" s="308"/>
      <c r="E23" s="320"/>
      <c r="F23" s="308"/>
      <c r="G23" s="320"/>
      <c r="H23" s="308"/>
      <c r="I23" s="320"/>
      <c r="J23" s="308"/>
      <c r="K23" s="218"/>
    </row>
    <row r="24" spans="1:11" ht="15.75">
      <c r="A24" s="314"/>
      <c r="B24" s="308"/>
      <c r="C24" s="323"/>
      <c r="D24" s="308"/>
      <c r="E24" s="323"/>
      <c r="F24" s="308"/>
      <c r="G24" s="323"/>
      <c r="H24" s="308"/>
      <c r="I24" s="317"/>
      <c r="J24" s="308"/>
      <c r="K24" s="218"/>
    </row>
    <row r="25" spans="1:11" ht="15.75">
      <c r="A25" s="314"/>
      <c r="B25" s="308"/>
      <c r="C25" s="320"/>
      <c r="D25" s="308"/>
      <c r="E25" s="320"/>
      <c r="F25" s="308"/>
      <c r="G25" s="320"/>
      <c r="H25" s="308"/>
      <c r="I25" s="320"/>
      <c r="J25" s="308"/>
      <c r="K25" s="218"/>
    </row>
    <row r="26" spans="1:11" ht="15.75">
      <c r="A26" s="314"/>
      <c r="B26" s="308"/>
      <c r="C26" s="320"/>
      <c r="D26" s="308"/>
      <c r="E26" s="320"/>
      <c r="F26" s="308"/>
      <c r="G26" s="320"/>
      <c r="H26" s="308"/>
      <c r="I26" s="320"/>
      <c r="J26" s="308"/>
      <c r="K26" s="218"/>
    </row>
    <row r="27" spans="1:11" ht="15.75">
      <c r="A27" s="314"/>
      <c r="B27" s="308"/>
      <c r="C27" s="314"/>
      <c r="D27" s="308"/>
      <c r="E27" s="314"/>
      <c r="F27" s="308"/>
      <c r="G27" s="320"/>
      <c r="H27" s="308"/>
      <c r="I27" s="320"/>
      <c r="J27" s="308"/>
      <c r="K27" s="218"/>
    </row>
    <row r="28" spans="1:11" ht="15.75">
      <c r="A28" s="311" t="s">
        <v>174</v>
      </c>
      <c r="B28" s="310">
        <f>SUM(B20:B27)</f>
        <v>0</v>
      </c>
      <c r="C28" s="311" t="s">
        <v>174</v>
      </c>
      <c r="D28" s="310">
        <f>SUM(D20:D27)</f>
        <v>7971</v>
      </c>
      <c r="E28" s="311" t="s">
        <v>174</v>
      </c>
      <c r="F28" s="324">
        <f>SUM(F20:F27)</f>
        <v>0</v>
      </c>
      <c r="G28" s="311" t="s">
        <v>174</v>
      </c>
      <c r="H28" s="324">
        <f>SUM(H20:H27)</f>
        <v>0</v>
      </c>
      <c r="I28" s="311" t="s">
        <v>174</v>
      </c>
      <c r="J28" s="310">
        <f>SUM(J20:J27)</f>
        <v>0</v>
      </c>
      <c r="K28" s="310">
        <f>SUM(B28+D28+F28+H28+J28)</f>
        <v>7971</v>
      </c>
    </row>
    <row r="29" spans="1:12" ht="15.75">
      <c r="A29" s="311" t="s">
        <v>32</v>
      </c>
      <c r="B29" s="310">
        <f>SUM(B18-B28)</f>
        <v>110976</v>
      </c>
      <c r="C29" s="311" t="s">
        <v>32</v>
      </c>
      <c r="D29" s="310">
        <f>SUM(D18-D28)</f>
        <v>9846</v>
      </c>
      <c r="E29" s="311" t="s">
        <v>32</v>
      </c>
      <c r="F29" s="310">
        <f>SUM(F18-F28)</f>
        <v>0</v>
      </c>
      <c r="G29" s="311" t="s">
        <v>32</v>
      </c>
      <c r="H29" s="310">
        <f>SUM(H18-H28)</f>
        <v>0</v>
      </c>
      <c r="I29" s="311" t="s">
        <v>32</v>
      </c>
      <c r="J29" s="310">
        <f>SUM(J18-J28)</f>
        <v>0</v>
      </c>
      <c r="K29" s="325">
        <f>SUM(B29+D29+F29+H29+J29)</f>
        <v>120822</v>
      </c>
      <c r="L29" s="51" t="s">
        <v>37</v>
      </c>
    </row>
    <row r="30" spans="1:12" ht="15.75">
      <c r="A30" s="311"/>
      <c r="B30" s="326">
        <f>IF(B29&lt;0,"See Tab B","")</f>
      </c>
      <c r="C30" s="311"/>
      <c r="D30" s="326">
        <f>IF(D29&lt;0,"See Tab B","")</f>
      </c>
      <c r="E30" s="311"/>
      <c r="F30" s="326">
        <f>IF(F29&lt;0,"See Tab B","")</f>
      </c>
      <c r="G30" s="130"/>
      <c r="H30" s="326">
        <f>IF(H29&lt;0,"See Tab B","")</f>
      </c>
      <c r="I30" s="130"/>
      <c r="J30" s="326">
        <f>IF(J29&lt;0,"See Tab B","")</f>
      </c>
      <c r="K30" s="325">
        <f>SUM(K7+K17-K28)</f>
        <v>120822</v>
      </c>
      <c r="L30" s="51" t="s">
        <v>37</v>
      </c>
    </row>
    <row r="31" spans="1:11" ht="15.75">
      <c r="A31" s="130"/>
      <c r="B31" s="327"/>
      <c r="C31" s="130"/>
      <c r="D31" s="218"/>
      <c r="E31" s="130"/>
      <c r="F31" s="130"/>
      <c r="G31" s="62" t="s">
        <v>38</v>
      </c>
      <c r="H31" s="62"/>
      <c r="I31" s="62"/>
      <c r="J31" s="62"/>
      <c r="K31" s="130"/>
    </row>
    <row r="32" spans="1:11" ht="15.75">
      <c r="A32" s="130"/>
      <c r="B32" s="327"/>
      <c r="C32" s="130"/>
      <c r="D32" s="130"/>
      <c r="E32" s="130"/>
      <c r="F32" s="130"/>
      <c r="G32" s="130"/>
      <c r="H32" s="130"/>
      <c r="I32" s="130"/>
      <c r="J32" s="130"/>
      <c r="K32" s="130"/>
    </row>
    <row r="33" spans="1:11" ht="15.75">
      <c r="A33" s="130"/>
      <c r="B33" s="327"/>
      <c r="C33" s="130"/>
      <c r="D33" s="130"/>
      <c r="E33" s="328" t="s">
        <v>177</v>
      </c>
      <c r="F33" s="297">
        <v>10</v>
      </c>
      <c r="G33" s="130"/>
      <c r="H33" s="130"/>
      <c r="I33" s="130"/>
      <c r="J33" s="130"/>
      <c r="K33" s="130"/>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58"/>
  <sheetViews>
    <sheetView zoomScale="75" zoomScaleNormal="75" zoomScalePageLayoutView="0" workbookViewId="0" topLeftCell="A1">
      <selection activeCell="A10" sqref="A1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797" t="s">
        <v>219</v>
      </c>
      <c r="B2" s="797"/>
      <c r="C2" s="797"/>
      <c r="D2" s="797"/>
      <c r="E2" s="797"/>
      <c r="F2" s="797"/>
      <c r="G2" s="797"/>
      <c r="H2" s="797"/>
    </row>
    <row r="3" spans="1:8" ht="15.75">
      <c r="A3" s="7"/>
      <c r="B3" s="7"/>
      <c r="C3" s="7"/>
      <c r="D3" s="7"/>
      <c r="E3" s="7"/>
      <c r="F3" s="7"/>
      <c r="G3" s="7"/>
      <c r="H3" s="7"/>
    </row>
    <row r="4" spans="1:8" ht="15.75">
      <c r="A4" s="796" t="s">
        <v>182</v>
      </c>
      <c r="B4" s="796"/>
      <c r="C4" s="796"/>
      <c r="D4" s="796"/>
      <c r="E4" s="796"/>
      <c r="F4" s="796"/>
      <c r="G4" s="796"/>
      <c r="H4" s="796"/>
    </row>
    <row r="5" spans="1:8" ht="15.75">
      <c r="A5" s="798" t="str">
        <f>inputPrYr!D2</f>
        <v>City of Beattie</v>
      </c>
      <c r="B5" s="798"/>
      <c r="C5" s="798"/>
      <c r="D5" s="798"/>
      <c r="E5" s="798"/>
      <c r="F5" s="798"/>
      <c r="G5" s="798"/>
      <c r="H5" s="798"/>
    </row>
    <row r="6" spans="1:8" ht="15.75">
      <c r="A6" s="799" t="str">
        <f>CONCATENATE("will meet on ",inputBudSum!B7," at ",inputBudSum!B9," at ",inputBudSum!B11," for the purpose of hearing and")</f>
        <v>will meet on August 14, 2013 at 7:00 PM at City Hall for the purpose of hearing and</v>
      </c>
      <c r="B6" s="799"/>
      <c r="C6" s="799"/>
      <c r="D6" s="799"/>
      <c r="E6" s="799"/>
      <c r="F6" s="799"/>
      <c r="G6" s="799"/>
      <c r="H6" s="799"/>
    </row>
    <row r="7" spans="1:8" ht="15.75">
      <c r="A7" s="796" t="s">
        <v>628</v>
      </c>
      <c r="B7" s="796"/>
      <c r="C7" s="796"/>
      <c r="D7" s="796"/>
      <c r="E7" s="796"/>
      <c r="F7" s="796"/>
      <c r="G7" s="796"/>
      <c r="H7" s="796"/>
    </row>
    <row r="8" spans="1:8" ht="15.75">
      <c r="A8" s="796" t="str">
        <f>CONCATENATE("Detailed budget information is available at ",inputBudSum!B14," and will be available at this hearing.")</f>
        <v>Detailed budget information is available at City Hall and will be available at this hearing.</v>
      </c>
      <c r="B8" s="796"/>
      <c r="C8" s="796"/>
      <c r="D8" s="796"/>
      <c r="E8" s="796"/>
      <c r="F8" s="796"/>
      <c r="G8" s="796"/>
      <c r="H8" s="796"/>
    </row>
    <row r="9" spans="1:8" ht="15.75">
      <c r="A9" s="17" t="s">
        <v>220</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287</v>
      </c>
      <c r="B11" s="10"/>
      <c r="C11" s="10"/>
      <c r="D11" s="10"/>
      <c r="E11" s="10"/>
      <c r="F11" s="10"/>
      <c r="G11" s="10"/>
      <c r="H11" s="10"/>
    </row>
    <row r="12" spans="1:8" ht="15.75">
      <c r="A12" s="7"/>
      <c r="B12" s="20"/>
      <c r="C12" s="20"/>
      <c r="D12" s="20"/>
      <c r="E12" s="20"/>
      <c r="F12" s="20"/>
      <c r="G12" s="20"/>
      <c r="H12" s="20"/>
    </row>
    <row r="13" spans="1:8" ht="15.75">
      <c r="A13" s="7"/>
      <c r="B13" s="710" t="str">
        <f>CONCATENATE("Prior Year Actual for ",H1-2,"")</f>
        <v>Prior Year Actual for 2012</v>
      </c>
      <c r="C13" s="172"/>
      <c r="D13" s="710" t="str">
        <f>CONCATENATE("Current Year Estimate for ",H1-1,"")</f>
        <v>Current Year Estimate for 2013</v>
      </c>
      <c r="E13" s="172"/>
      <c r="F13" s="711" t="str">
        <f>CONCATENATE("Proposed Budget for ",H1,"")</f>
        <v>Proposed Budget for 2014</v>
      </c>
      <c r="G13" s="712"/>
      <c r="H13" s="172"/>
    </row>
    <row r="14" spans="1:8" ht="22.5" customHeight="1">
      <c r="A14" s="7"/>
      <c r="B14" s="11"/>
      <c r="C14" s="11" t="s">
        <v>178</v>
      </c>
      <c r="D14" s="11"/>
      <c r="E14" s="11" t="s">
        <v>178</v>
      </c>
      <c r="F14" s="11" t="s">
        <v>51</v>
      </c>
      <c r="G14" s="27" t="str">
        <f>CONCATENATE("Amount of ",H1-1,"")</f>
        <v>Amount of 2013</v>
      </c>
      <c r="H14" s="11" t="s">
        <v>7</v>
      </c>
    </row>
    <row r="15" spans="1:8" ht="17.25" customHeight="1">
      <c r="A15" s="21" t="s">
        <v>183</v>
      </c>
      <c r="B15" s="12" t="s">
        <v>147</v>
      </c>
      <c r="C15" s="12" t="s">
        <v>184</v>
      </c>
      <c r="D15" s="12" t="s">
        <v>5</v>
      </c>
      <c r="E15" s="12" t="s">
        <v>184</v>
      </c>
      <c r="F15" s="12" t="s">
        <v>657</v>
      </c>
      <c r="G15" s="16" t="s">
        <v>166</v>
      </c>
      <c r="H15" s="12" t="s">
        <v>184</v>
      </c>
    </row>
    <row r="16" spans="1:8" ht="15.75">
      <c r="A16" s="86" t="s">
        <v>131</v>
      </c>
      <c r="B16" s="222">
        <f>IF((general!$C$57)&lt;&gt;0,general!$C$57,"  ")</f>
        <v>77077</v>
      </c>
      <c r="C16" s="713">
        <f>IF(inputPrYr!D47&gt;0,inputPrYr!D47,"  ")</f>
        <v>54.911</v>
      </c>
      <c r="D16" s="222">
        <f>IF((general!$D$57)&lt;&gt;0,general!$D$57,"  ")</f>
        <v>85449</v>
      </c>
      <c r="E16" s="713">
        <f>IF(inputOth!D21&gt;0,inputOth!D21,"  ")</f>
        <v>53.092</v>
      </c>
      <c r="F16" s="222">
        <f>IF((general!$E$57)&lt;&gt;0,general!$E$57,"  ")</f>
        <v>119452</v>
      </c>
      <c r="G16" s="222">
        <f>IF((general!$E$64)&lt;&gt;0,(general!$E$64),"  ")</f>
        <v>43509</v>
      </c>
      <c r="H16" s="713">
        <f>IF((general!E64&gt;0),ROUND(G16/$F$26*1000,3),"  ")</f>
        <v>48.57</v>
      </c>
    </row>
    <row r="17" spans="1:8" ht="15.75">
      <c r="A17" s="109" t="str">
        <f>IF((inputPrYr!$B28&gt;"  "),(inputPrYr!$B28),"  ")</f>
        <v>Special Highway</v>
      </c>
      <c r="B17" s="222">
        <f>IF(('SpecHwy-Water'!$C$25)&lt;&gt;0,('SpecHwy-Water'!$C$25),"  ")</f>
        <v>3731</v>
      </c>
      <c r="C17" s="188"/>
      <c r="D17" s="222">
        <f>IF(('SpecHwy-Water'!$D$25)&lt;&gt;0,('SpecHwy-Water'!$D$25),"  ")</f>
        <v>5210</v>
      </c>
      <c r="E17" s="188"/>
      <c r="F17" s="222">
        <f>IF(('SpecHwy-Water'!$E$25)&lt;&gt;0,('SpecHwy-Water'!$E$25),"  ")</f>
        <v>6701</v>
      </c>
      <c r="G17" s="188"/>
      <c r="H17" s="188"/>
    </row>
    <row r="18" spans="1:13" ht="15.75">
      <c r="A18" s="109" t="str">
        <f>IF((inputPrYr!$B29&gt;"  "),(inputPrYr!$B29),"  ")</f>
        <v>Water</v>
      </c>
      <c r="B18" s="222">
        <f>IF(('SpecHwy-Water'!$C$58)&lt;&gt;0,('SpecHwy-Water'!$C$58),"  ")</f>
        <v>24525</v>
      </c>
      <c r="C18" s="188"/>
      <c r="D18" s="222">
        <f>IF(('SpecHwy-Water'!$D$58)&lt;&gt;0,('SpecHwy-Water'!$D$58),"  ")</f>
        <v>43320</v>
      </c>
      <c r="E18" s="188"/>
      <c r="F18" s="222">
        <f>IF(('SpecHwy-Water'!$E$58)&lt;&gt;0,('SpecHwy-Water'!$E$58),"  ")</f>
        <v>105582</v>
      </c>
      <c r="G18" s="188"/>
      <c r="H18" s="188"/>
      <c r="J18" s="800" t="str">
        <f>CONCATENATE("Want The Mill Rate The Same As For ",H1-1,"?")</f>
        <v>Want The Mill Rate The Same As For 2013?</v>
      </c>
      <c r="K18" s="805"/>
      <c r="L18" s="805"/>
      <c r="M18" s="806"/>
    </row>
    <row r="19" spans="1:13" ht="15.75">
      <c r="A19" s="109" t="str">
        <f>IF((inputPrYr!$B30&gt;"  "),(inputPrYr!$B30),"  ")</f>
        <v>Sewer</v>
      </c>
      <c r="B19" s="222">
        <f>IF((Sewer!$C$30)&lt;&gt;0,(Sewer!$C$30),"")</f>
        <v>24620</v>
      </c>
      <c r="C19" s="188"/>
      <c r="D19" s="222">
        <f>IF((Sewer!$D$30)&lt;&gt;0,(Sewer!$D$30),"")</f>
        <v>31003</v>
      </c>
      <c r="E19" s="188"/>
      <c r="F19" s="222">
        <f>IF((Sewer!$E$30)&lt;&gt;0,(Sewer!$E$30),"")</f>
        <v>98148</v>
      </c>
      <c r="G19" s="188"/>
      <c r="H19" s="188"/>
      <c r="J19" s="507"/>
      <c r="K19" s="503"/>
      <c r="L19" s="503"/>
      <c r="M19" s="508"/>
    </row>
    <row r="20" spans="1:13" ht="15.75">
      <c r="A20" s="109" t="str">
        <f>IF((inputPrYr!$B35&gt;"  "),(inputPrYr!$B35),"  ")</f>
        <v>  </v>
      </c>
      <c r="B20" s="222">
        <f>IF((Sinnolevy14!$C$51)&lt;&gt;0,(Sinnolevy14!$C$51),"")</f>
      </c>
      <c r="C20" s="188"/>
      <c r="D20" s="222">
        <f>IF((Sinnolevy14!$D$51)&lt;&gt;0,(Sinnolevy14!$D$51),"")</f>
      </c>
      <c r="E20" s="188"/>
      <c r="F20" s="222">
        <f>IF((Sinnolevy14!$E$51)&lt;&gt;0,(Sinnolevy14!$E$51),"")</f>
      </c>
      <c r="G20" s="188"/>
      <c r="H20" s="188"/>
      <c r="J20" s="509" t="e">
        <f>IF(M26&gt;0,"Reduced By:","")</f>
        <v>#REF!</v>
      </c>
      <c r="K20" s="510"/>
      <c r="L20" s="510"/>
      <c r="M20" s="613" t="e">
        <f>IF(M26&gt;0,M26*-1,0)</f>
        <v>#REF!</v>
      </c>
    </row>
    <row r="21" spans="1:13" ht="15.75">
      <c r="A21" s="109" t="s">
        <v>1030</v>
      </c>
      <c r="B21" s="714">
        <f>IF((Reserves!$K$28)&lt;&gt;0,(Reserves!$K$28),"  ")</f>
        <v>7971</v>
      </c>
      <c r="C21" s="220"/>
      <c r="D21" s="714"/>
      <c r="E21" s="220"/>
      <c r="F21" s="714"/>
      <c r="G21" s="220"/>
      <c r="H21" s="220"/>
      <c r="J21" s="511"/>
      <c r="K21" s="511"/>
      <c r="L21" s="511"/>
      <c r="M21" s="511"/>
    </row>
    <row r="22" spans="1:13" ht="15.75">
      <c r="A22" s="5" t="s">
        <v>754</v>
      </c>
      <c r="B22" s="715">
        <f>SUM(B16:B21)</f>
        <v>137924</v>
      </c>
      <c r="C22" s="716">
        <f>SUM(C16:C16)</f>
        <v>54.911</v>
      </c>
      <c r="D22" s="715">
        <f>SUM(D16:D21)</f>
        <v>164982</v>
      </c>
      <c r="E22" s="716">
        <f>SUM(E16:E16)</f>
        <v>53.092</v>
      </c>
      <c r="F22" s="715">
        <f>SUM(F16:F21)</f>
        <v>329883</v>
      </c>
      <c r="G22" s="715">
        <f>SUM(G16:G16)</f>
        <v>43509</v>
      </c>
      <c r="H22" s="716">
        <f>SUM(H16:H21)</f>
        <v>48.57</v>
      </c>
      <c r="J22" s="800" t="str">
        <f>CONCATENATE("Impact On Keeping The Same Mill Rate As For ",H1-1,"")</f>
        <v>Impact On Keeping The Same Mill Rate As For 2013</v>
      </c>
      <c r="K22" s="803"/>
      <c r="L22" s="803"/>
      <c r="M22" s="804"/>
    </row>
    <row r="23" spans="1:13" ht="15.75">
      <c r="A23" s="8" t="s">
        <v>185</v>
      </c>
      <c r="B23" s="717">
        <f>Transfers!$C$15</f>
        <v>0</v>
      </c>
      <c r="C23" s="718"/>
      <c r="D23" s="717">
        <f>Transfers!$D$15</f>
        <v>0</v>
      </c>
      <c r="E23" s="719"/>
      <c r="F23" s="717">
        <f>Transfers!$E$15</f>
        <v>0</v>
      </c>
      <c r="G23" s="636"/>
      <c r="H23" s="720"/>
      <c r="I23" s="463"/>
      <c r="J23" s="507"/>
      <c r="K23" s="503"/>
      <c r="L23" s="503"/>
      <c r="M23" s="508"/>
    </row>
    <row r="24" spans="1:13" ht="16.5" thickBot="1">
      <c r="A24" s="49" t="s">
        <v>186</v>
      </c>
      <c r="B24" s="721">
        <f>B22-B23</f>
        <v>137924</v>
      </c>
      <c r="C24" s="65"/>
      <c r="D24" s="721">
        <f>D22-D23</f>
        <v>164982</v>
      </c>
      <c r="E24" s="65"/>
      <c r="F24" s="721">
        <f>F22-F23</f>
        <v>329883</v>
      </c>
      <c r="G24" s="65"/>
      <c r="H24" s="65"/>
      <c r="J24" s="507" t="str">
        <f>CONCATENATE("",H1," Ad Valorem Tax Revenue:")</f>
        <v>2014 Ad Valorem Tax Revenue:</v>
      </c>
      <c r="K24" s="503"/>
      <c r="L24" s="503"/>
      <c r="M24" s="504">
        <f>G22</f>
        <v>43509</v>
      </c>
    </row>
    <row r="25" spans="1:13" ht="16.5" thickTop="1">
      <c r="A25" s="8" t="s">
        <v>187</v>
      </c>
      <c r="B25" s="717">
        <f>inputPrYr!E56</f>
        <v>47279</v>
      </c>
      <c r="C25" s="722"/>
      <c r="D25" s="717">
        <f>inputPrYr!E25</f>
        <v>47467</v>
      </c>
      <c r="E25" s="723"/>
      <c r="F25" s="724" t="s">
        <v>153</v>
      </c>
      <c r="G25" s="725"/>
      <c r="H25" s="725"/>
      <c r="J25" s="507" t="str">
        <f>CONCATENATE("",H1-1," Ad Valorem Tax Revenue:")</f>
        <v>2013 Ad Valorem Tax Revenue:</v>
      </c>
      <c r="K25" s="503"/>
      <c r="L25" s="503"/>
      <c r="M25" s="512" t="e">
        <f>ROUND(F26*#REF!/1000,0)</f>
        <v>#REF!</v>
      </c>
    </row>
    <row r="26" spans="1:13" ht="15.75">
      <c r="A26" s="8" t="s">
        <v>188</v>
      </c>
      <c r="B26" s="222">
        <f>inputPrYr!E57</f>
        <v>861007</v>
      </c>
      <c r="C26" s="244"/>
      <c r="D26" s="222">
        <f>inputOth!E30</f>
        <v>894056</v>
      </c>
      <c r="E26" s="221"/>
      <c r="F26" s="222">
        <f>inputOth!E7</f>
        <v>895803</v>
      </c>
      <c r="G26" s="725"/>
      <c r="H26" s="725"/>
      <c r="J26" s="509" t="s">
        <v>670</v>
      </c>
      <c r="K26" s="510"/>
      <c r="L26" s="510"/>
      <c r="M26" s="505" t="e">
        <f>M24-M25</f>
        <v>#REF!</v>
      </c>
    </row>
    <row r="27" spans="1:13" ht="15.75">
      <c r="A27" s="580"/>
      <c r="B27" s="636"/>
      <c r="C27" s="635"/>
      <c r="D27" s="636"/>
      <c r="E27" s="635"/>
      <c r="F27" s="342"/>
      <c r="G27" s="635"/>
      <c r="H27" s="726"/>
      <c r="I27" s="502"/>
      <c r="J27" s="506"/>
      <c r="K27" s="506"/>
      <c r="L27" s="506"/>
      <c r="M27" s="511"/>
    </row>
    <row r="28" spans="1:13" ht="15.75">
      <c r="A28" s="8" t="s">
        <v>189</v>
      </c>
      <c r="B28" s="636"/>
      <c r="C28" s="635"/>
      <c r="D28" s="636"/>
      <c r="E28" s="635"/>
      <c r="F28" s="636"/>
      <c r="G28" s="725"/>
      <c r="H28" s="725"/>
      <c r="J28" s="800" t="s">
        <v>730</v>
      </c>
      <c r="K28" s="801"/>
      <c r="L28" s="801"/>
      <c r="M28" s="802"/>
    </row>
    <row r="29" spans="1:13" ht="15.75">
      <c r="A29" s="8" t="s">
        <v>190</v>
      </c>
      <c r="B29" s="727">
        <f>$H$1-3</f>
        <v>2011</v>
      </c>
      <c r="C29" s="65"/>
      <c r="D29" s="727">
        <f>$H$1-2</f>
        <v>2012</v>
      </c>
      <c r="E29" s="65"/>
      <c r="F29" s="727">
        <f>$H$1-1</f>
        <v>2013</v>
      </c>
      <c r="G29" s="65"/>
      <c r="H29" s="65"/>
      <c r="J29" s="507"/>
      <c r="K29" s="503"/>
      <c r="L29" s="503"/>
      <c r="M29" s="508"/>
    </row>
    <row r="30" spans="1:13" ht="15.75">
      <c r="A30" s="24" t="s">
        <v>209</v>
      </c>
      <c r="B30" s="222">
        <f>inputPrYr!D62</f>
        <v>177656</v>
      </c>
      <c r="C30" s="65"/>
      <c r="D30" s="222">
        <f>inputPrYr!E62</f>
        <v>169557</v>
      </c>
      <c r="E30" s="65"/>
      <c r="F30" s="728">
        <f>debt!G30</f>
        <v>161243</v>
      </c>
      <c r="G30" s="65"/>
      <c r="H30" s="65"/>
      <c r="J30" s="507" t="str">
        <f>CONCATENATE("",H1," Ad Valorem Tax:")</f>
        <v>2014 Ad Valorem Tax:</v>
      </c>
      <c r="K30" s="503"/>
      <c r="L30" s="503"/>
      <c r="M30" s="512" t="e">
        <f>ROUND(F26*#REF!/1000,0)</f>
        <v>#REF!</v>
      </c>
    </row>
    <row r="31" spans="1:13" ht="15.75">
      <c r="A31" s="8" t="s">
        <v>288</v>
      </c>
      <c r="B31" s="222">
        <f>inputPrYr!D63</f>
        <v>0</v>
      </c>
      <c r="C31" s="65"/>
      <c r="D31" s="222">
        <f>inputPrYr!E63</f>
        <v>0</v>
      </c>
      <c r="E31" s="65"/>
      <c r="F31" s="222">
        <f>lpform!G20</f>
        <v>0</v>
      </c>
      <c r="G31" s="65"/>
      <c r="H31" s="65"/>
      <c r="J31" s="509" t="str">
        <f>CONCATENATE("",H1," Tax Levy Fund Exp. Changed By:")</f>
        <v>2014 Tax Levy Fund Exp. Changed By:</v>
      </c>
      <c r="K31" s="510"/>
      <c r="L31" s="510"/>
      <c r="M31" s="505" t="e">
        <f>IF(#REF!=0,0,(M30-G22))</f>
        <v>#REF!</v>
      </c>
    </row>
    <row r="32" spans="1:8" ht="16.5" thickBot="1">
      <c r="A32" s="8" t="s">
        <v>191</v>
      </c>
      <c r="B32" s="721">
        <f>SUM(B30:B31)</f>
        <v>177656</v>
      </c>
      <c r="C32" s="65"/>
      <c r="D32" s="721">
        <f>SUM(D30:D31)</f>
        <v>169557</v>
      </c>
      <c r="E32" s="65"/>
      <c r="F32" s="721">
        <f>SUM(F30:F31)</f>
        <v>161243</v>
      </c>
      <c r="G32" s="65"/>
      <c r="H32" s="65"/>
    </row>
    <row r="33" spans="1:8" ht="16.5" thickTop="1">
      <c r="A33" s="8" t="s">
        <v>192</v>
      </c>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794" t="str">
        <f>inputBudSum!B3</f>
        <v>Kevin O'Neil</v>
      </c>
      <c r="B36" s="795"/>
      <c r="C36" s="490"/>
      <c r="D36" s="7"/>
      <c r="E36" s="7"/>
      <c r="F36" s="7"/>
      <c r="G36" s="7"/>
      <c r="H36" s="7"/>
    </row>
    <row r="37" spans="1:8" ht="15.75">
      <c r="A37" s="70" t="str">
        <f>CONCATENATE("City Official Title: ",inputBudSum!B5,"")</f>
        <v>City Official Title: Mayor</v>
      </c>
      <c r="B37" s="489"/>
      <c r="C37" s="488"/>
      <c r="D37" s="7"/>
      <c r="E37" s="7"/>
      <c r="F37" s="7"/>
      <c r="G37" s="7"/>
      <c r="H37" s="7"/>
    </row>
    <row r="38" spans="1:8" ht="15.75">
      <c r="A38" s="14"/>
      <c r="B38" s="35"/>
      <c r="C38" s="36"/>
      <c r="D38" s="7"/>
      <c r="E38" s="7"/>
      <c r="F38" s="7"/>
      <c r="G38" s="7"/>
      <c r="H38" s="7"/>
    </row>
    <row r="39" spans="1:8" ht="15.75">
      <c r="A39" s="7"/>
      <c r="B39" s="7"/>
      <c r="C39" s="7"/>
      <c r="D39" s="7"/>
      <c r="E39" s="7"/>
      <c r="F39" s="7"/>
      <c r="G39" s="7"/>
      <c r="H39" s="7"/>
    </row>
    <row r="40" spans="1:8" ht="15.75">
      <c r="A40" s="7"/>
      <c r="B40" s="7"/>
      <c r="C40" s="211" t="s">
        <v>193</v>
      </c>
      <c r="D40" s="297">
        <v>11</v>
      </c>
      <c r="E40" s="7"/>
      <c r="F40" s="7"/>
      <c r="G40" s="7"/>
      <c r="H40" s="7"/>
    </row>
    <row r="41" spans="1:8" ht="15.75">
      <c r="A41" s="1"/>
      <c r="B41" s="1"/>
      <c r="C41" s="1"/>
      <c r="D41" s="1"/>
      <c r="E41" s="1"/>
      <c r="F41" s="1"/>
      <c r="G41" s="1"/>
      <c r="H41" s="1"/>
    </row>
    <row r="42" spans="9:13" ht="15.75">
      <c r="I42" s="1"/>
      <c r="J42" s="1"/>
      <c r="K42" s="1"/>
      <c r="L42" s="1"/>
      <c r="M42" s="1"/>
    </row>
    <row r="46" ht="15.75">
      <c r="K46" s="693"/>
    </row>
    <row r="81" spans="1:8" ht="15.75">
      <c r="A81" s="1"/>
      <c r="B81" s="1"/>
      <c r="C81" s="1"/>
      <c r="D81" s="1"/>
      <c r="E81" s="1"/>
      <c r="F81" s="1"/>
      <c r="G81" s="1"/>
      <c r="H81" s="1"/>
    </row>
    <row r="82" ht="15.75">
      <c r="I82" s="1"/>
    </row>
    <row r="92" spans="1:8" ht="15.75">
      <c r="A92" s="1"/>
      <c r="B92" s="1"/>
      <c r="C92" s="1"/>
      <c r="D92" s="1"/>
      <c r="E92" s="1"/>
      <c r="F92" s="1"/>
      <c r="G92" s="1"/>
      <c r="H92" s="1"/>
    </row>
    <row r="114" spans="1:15" ht="15.75">
      <c r="A114" s="1"/>
      <c r="B114" s="1"/>
      <c r="C114" s="1"/>
      <c r="D114" s="1"/>
      <c r="E114" s="1"/>
      <c r="F114" s="1"/>
      <c r="G114" s="1"/>
      <c r="H114" s="1"/>
      <c r="I114" s="1"/>
      <c r="J114" s="1"/>
      <c r="K114" s="1"/>
      <c r="L114" s="1"/>
      <c r="M114" s="1"/>
      <c r="N114" s="1"/>
      <c r="O114" s="1"/>
    </row>
    <row r="158" spans="1:17" ht="15.75">
      <c r="A158" s="1"/>
      <c r="B158" s="1"/>
      <c r="C158" s="1"/>
      <c r="D158" s="1"/>
      <c r="E158" s="1"/>
      <c r="F158" s="1"/>
      <c r="G158" s="1"/>
      <c r="H158" s="1"/>
      <c r="I158" s="1"/>
      <c r="J158" s="1"/>
      <c r="K158" s="1"/>
      <c r="L158" s="1"/>
      <c r="M158" s="1"/>
      <c r="N158" s="1"/>
      <c r="O158" s="1"/>
      <c r="P158" s="1"/>
      <c r="Q158" s="1"/>
    </row>
  </sheetData>
  <sheetProtection/>
  <mergeCells count="10">
    <mergeCell ref="J28:M28"/>
    <mergeCell ref="J22:M22"/>
    <mergeCell ref="J18:M18"/>
    <mergeCell ref="A36:B36"/>
    <mergeCell ref="A7:H7"/>
    <mergeCell ref="A8:H8"/>
    <mergeCell ref="A2:H2"/>
    <mergeCell ref="A4:H4"/>
    <mergeCell ref="A5:H5"/>
    <mergeCell ref="A6:H6"/>
  </mergeCells>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C7" sqref="C7"/>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Beattie</v>
      </c>
      <c r="B1" s="4"/>
      <c r="C1" s="4"/>
      <c r="D1" s="4"/>
      <c r="E1" s="4"/>
      <c r="F1" s="4">
        <f>inputPrYr!C5</f>
        <v>2014</v>
      </c>
    </row>
    <row r="2" spans="1:6" ht="15.75">
      <c r="A2" s="42"/>
      <c r="B2" s="4"/>
      <c r="C2" s="4"/>
      <c r="D2" s="4"/>
      <c r="E2" s="4"/>
      <c r="F2" s="4"/>
    </row>
    <row r="3" spans="1:6" ht="15.75">
      <c r="A3" s="4"/>
      <c r="B3" s="4"/>
      <c r="C3" s="4"/>
      <c r="D3" s="4"/>
      <c r="E3" s="4"/>
      <c r="F3" s="4"/>
    </row>
    <row r="4" spans="1:6" ht="15.75">
      <c r="A4" s="7"/>
      <c r="B4" s="807" t="str">
        <f>CONCATENATE("",F1," Neighborhood Revitalization Rebate")</f>
        <v>2014 Neighborhood Revitalization Rebate</v>
      </c>
      <c r="C4" s="808"/>
      <c r="D4" s="808"/>
      <c r="E4" s="809"/>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12" t="str">
        <f>CONCATENATE("",F1-1," July 1 Valuation:")</f>
        <v>2013 July 1 Valuation:</v>
      </c>
      <c r="B17" s="811"/>
      <c r="C17" s="812"/>
      <c r="D17" s="37">
        <f>inputOth!E7</f>
        <v>895803</v>
      </c>
      <c r="E17" s="7"/>
      <c r="F17" s="4"/>
    </row>
    <row r="18" spans="1:6" ht="15.75">
      <c r="A18" s="7"/>
      <c r="B18" s="7"/>
      <c r="C18" s="7"/>
      <c r="D18" s="7"/>
      <c r="E18" s="7"/>
      <c r="F18" s="4"/>
    </row>
    <row r="19" spans="1:6" ht="15.75">
      <c r="A19" s="7"/>
      <c r="B19" s="812" t="s">
        <v>346</v>
      </c>
      <c r="C19" s="812"/>
      <c r="D19" s="43">
        <f>IF(D17&gt;0,(D17*0.001),"")</f>
        <v>895.803</v>
      </c>
      <c r="E19" s="7"/>
      <c r="F19" s="4"/>
    </row>
    <row r="20" spans="1:6" ht="15.75">
      <c r="A20" s="7"/>
      <c r="B20" s="15"/>
      <c r="C20" s="15"/>
      <c r="D20" s="44"/>
      <c r="E20" s="7"/>
      <c r="F20" s="4"/>
    </row>
    <row r="21" spans="1:6" ht="15.75">
      <c r="A21" s="810" t="s">
        <v>347</v>
      </c>
      <c r="B21" s="809"/>
      <c r="C21" s="809"/>
      <c r="D21" s="45">
        <f>inputOth!E17</f>
        <v>1588</v>
      </c>
      <c r="E21" s="26"/>
      <c r="F21" s="26"/>
    </row>
    <row r="22" spans="1:6" ht="15">
      <c r="A22" s="26"/>
      <c r="B22" s="26"/>
      <c r="C22" s="26"/>
      <c r="D22" s="46"/>
      <c r="E22" s="26"/>
      <c r="F22" s="26"/>
    </row>
    <row r="23" spans="1:6" ht="15.75">
      <c r="A23" s="26"/>
      <c r="B23" s="810" t="s">
        <v>348</v>
      </c>
      <c r="C23" s="811"/>
      <c r="D23" s="47">
        <f>IF(D21&gt;0,(D21*0.001),"")</f>
        <v>1.588</v>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630</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5" t="s">
        <v>294</v>
      </c>
      <c r="B1" s="815"/>
      <c r="C1" s="815"/>
      <c r="D1" s="815"/>
      <c r="E1" s="815"/>
      <c r="F1" s="815"/>
      <c r="G1" s="815"/>
    </row>
    <row r="2" spans="1:7" ht="16.5" customHeight="1">
      <c r="A2" s="815"/>
      <c r="B2" s="815"/>
      <c r="C2" s="815"/>
      <c r="D2" s="815"/>
      <c r="E2" s="815"/>
      <c r="F2" s="815"/>
      <c r="G2" s="815"/>
    </row>
    <row r="3" spans="1:7" ht="16.5" customHeight="1">
      <c r="A3" s="816"/>
      <c r="B3" s="816"/>
      <c r="C3" s="816"/>
      <c r="D3" s="816"/>
      <c r="E3" s="816"/>
      <c r="F3" s="816"/>
      <c r="G3" s="816"/>
    </row>
    <row r="4" spans="1:7" ht="16.5" customHeight="1">
      <c r="A4" s="813" t="str">
        <f>CONCATENATE("AN ORDINANCE ATTESTING TO AN INCREASE IN TAX REVENUES FOR BUDGET YEAR ",(inputPrYr!$C$5)," FOR THE ",(inputPrYr!$D$2))</f>
        <v>AN ORDINANCE ATTESTING TO AN INCREASE IN TAX REVENUES FOR BUDGET YEAR 2014 FOR THE City of Beattie</v>
      </c>
      <c r="B4" s="813"/>
      <c r="C4" s="813"/>
      <c r="D4" s="813"/>
      <c r="E4" s="813"/>
      <c r="F4" s="813"/>
      <c r="G4" s="813"/>
    </row>
    <row r="5" spans="1:7" ht="16.5" customHeight="1">
      <c r="A5" s="813"/>
      <c r="B5" s="813"/>
      <c r="C5" s="813"/>
      <c r="D5" s="813"/>
      <c r="E5" s="813"/>
      <c r="F5" s="813"/>
      <c r="G5" s="813"/>
    </row>
    <row r="6" spans="1:7" ht="16.5" customHeight="1">
      <c r="A6" s="815"/>
      <c r="B6" s="815"/>
      <c r="C6" s="815"/>
      <c r="D6" s="815"/>
      <c r="E6" s="815"/>
      <c r="F6" s="815"/>
      <c r="G6" s="815"/>
    </row>
    <row r="7" spans="1:14" ht="16.5" customHeight="1">
      <c r="A7" s="813" t="str">
        <f>CONCATENATE("WHEREAS, the  ",(inputPrYr!$D$2)," must continue to provide services to protect the health, safety, and welfare of the citizens of this community; and")</f>
        <v>WHEREAS, the  City of Beattie must continue to provide services to protect the health, safety, and welfare of the citizens of this community; and</v>
      </c>
      <c r="B7" s="813"/>
      <c r="C7" s="813"/>
      <c r="D7" s="813"/>
      <c r="E7" s="813"/>
      <c r="F7" s="813"/>
      <c r="G7" s="813"/>
      <c r="H7" s="22"/>
      <c r="I7" s="22"/>
      <c r="J7" s="22"/>
      <c r="K7" s="22"/>
      <c r="L7" s="22"/>
      <c r="M7" s="22"/>
      <c r="N7" s="22"/>
    </row>
    <row r="8" spans="1:14" ht="16.5" customHeight="1">
      <c r="A8" s="813"/>
      <c r="B8" s="813"/>
      <c r="C8" s="813"/>
      <c r="D8" s="813"/>
      <c r="E8" s="813"/>
      <c r="F8" s="813"/>
      <c r="G8" s="813"/>
      <c r="H8" s="22"/>
      <c r="I8" s="22"/>
      <c r="J8" s="22"/>
      <c r="K8" s="22"/>
      <c r="L8" s="22"/>
      <c r="M8" s="22"/>
      <c r="N8" s="22"/>
    </row>
    <row r="9" spans="1:7" ht="16.5" customHeight="1">
      <c r="A9" s="31"/>
      <c r="B9" s="31"/>
      <c r="C9" s="31"/>
      <c r="D9" s="31"/>
      <c r="E9" s="31"/>
      <c r="F9" s="31"/>
      <c r="G9" s="31"/>
    </row>
    <row r="10" spans="1:7" ht="16.5" customHeight="1">
      <c r="A10" s="813" t="s">
        <v>295</v>
      </c>
      <c r="B10" s="813"/>
      <c r="C10" s="813"/>
      <c r="D10" s="813"/>
      <c r="E10" s="813"/>
      <c r="F10" s="813"/>
      <c r="G10" s="813"/>
    </row>
    <row r="11" spans="1:7" ht="16.5" customHeight="1">
      <c r="A11" s="813"/>
      <c r="B11" s="813"/>
      <c r="C11" s="813"/>
      <c r="D11" s="813"/>
      <c r="E11" s="813"/>
      <c r="F11" s="813"/>
      <c r="G11" s="813"/>
    </row>
    <row r="12" spans="1:7" ht="16.5" customHeight="1">
      <c r="A12" s="31"/>
      <c r="B12" s="31"/>
      <c r="C12" s="31"/>
      <c r="D12" s="31"/>
      <c r="E12" s="31"/>
      <c r="F12" s="31"/>
      <c r="G12" s="31"/>
    </row>
    <row r="13" spans="1:14" ht="16.5" customHeight="1">
      <c r="A13" s="813" t="str">
        <f>CONCATENATE("NOW THEREFORE, be it ordained by the Governing Body of the ",(inputPrYr!$D$2),":")</f>
        <v>NOW THEREFORE, be it ordained by the Governing Body of the City of Beattie:</v>
      </c>
      <c r="B13" s="813"/>
      <c r="C13" s="813"/>
      <c r="D13" s="813"/>
      <c r="E13" s="813"/>
      <c r="F13" s="813"/>
      <c r="G13" s="813"/>
      <c r="H13" s="22"/>
      <c r="I13" s="22"/>
      <c r="J13" s="22"/>
      <c r="K13" s="22"/>
      <c r="L13" s="22"/>
      <c r="M13" s="22"/>
      <c r="N13" s="22"/>
    </row>
    <row r="14" spans="1:14" ht="16.5" customHeight="1">
      <c r="A14" s="813"/>
      <c r="B14" s="813"/>
      <c r="C14" s="813"/>
      <c r="D14" s="813"/>
      <c r="E14" s="813"/>
      <c r="F14" s="813"/>
      <c r="G14" s="813"/>
      <c r="H14" s="22"/>
      <c r="I14" s="22"/>
      <c r="J14" s="22"/>
      <c r="K14" s="22"/>
      <c r="L14" s="22"/>
      <c r="M14" s="22"/>
      <c r="N14" s="22"/>
    </row>
    <row r="15" spans="1:14" ht="16.5" customHeight="1">
      <c r="A15" s="81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Beattie  has scheduled a public hearing and has prepared the proposed budget necessary to fund city services from January 1, 2014 until December 31, 2014.</v>
      </c>
      <c r="B15" s="813"/>
      <c r="C15" s="813"/>
      <c r="D15" s="813"/>
      <c r="E15" s="813"/>
      <c r="F15" s="813"/>
      <c r="G15" s="813"/>
      <c r="H15" s="22"/>
      <c r="I15" s="22"/>
      <c r="J15" s="22"/>
      <c r="K15" s="22"/>
      <c r="L15" s="22"/>
      <c r="M15" s="22"/>
      <c r="N15" s="22"/>
    </row>
    <row r="16" spans="1:14" ht="16.5" customHeight="1">
      <c r="A16" s="813"/>
      <c r="B16" s="813"/>
      <c r="C16" s="813"/>
      <c r="D16" s="813"/>
      <c r="E16" s="813"/>
      <c r="F16" s="813"/>
      <c r="G16" s="813"/>
      <c r="H16" s="22"/>
      <c r="I16" s="22"/>
      <c r="J16" s="22"/>
      <c r="K16" s="22"/>
      <c r="L16" s="22"/>
      <c r="M16" s="22"/>
      <c r="N16" s="22"/>
    </row>
    <row r="17" spans="1:14" ht="16.5" customHeight="1">
      <c r="A17" s="813"/>
      <c r="B17" s="813"/>
      <c r="C17" s="813"/>
      <c r="D17" s="813"/>
      <c r="E17" s="813"/>
      <c r="F17" s="813"/>
      <c r="G17" s="813"/>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13" t="s">
        <v>296</v>
      </c>
      <c r="B24" s="813"/>
      <c r="C24" s="813"/>
      <c r="D24" s="813"/>
      <c r="E24" s="813"/>
      <c r="F24" s="813"/>
      <c r="G24" s="813"/>
    </row>
    <row r="25" spans="1:7" ht="16.5" customHeight="1">
      <c r="A25" s="813"/>
      <c r="B25" s="813"/>
      <c r="C25" s="813"/>
      <c r="D25" s="813"/>
      <c r="E25" s="813"/>
      <c r="F25" s="813"/>
      <c r="G25" s="813"/>
    </row>
    <row r="26" spans="1:7" ht="16.5" customHeight="1">
      <c r="A26" s="32"/>
      <c r="B26" s="32"/>
      <c r="C26" s="32"/>
      <c r="D26" s="32"/>
      <c r="E26" s="32"/>
      <c r="F26" s="32"/>
      <c r="G26" s="32"/>
    </row>
    <row r="27" spans="1:7" ht="16.5" customHeight="1">
      <c r="A27" s="813" t="str">
        <f>CONCATENATE("Passed and approved by the Governing Body on this ______ day of __________, ",(inputPrYr!$C$5-1),".")</f>
        <v>Passed and approved by the Governing Body on this ______ day of __________, 2013.</v>
      </c>
      <c r="B27" s="813"/>
      <c r="C27" s="813"/>
      <c r="D27" s="813"/>
      <c r="E27" s="813"/>
      <c r="F27" s="813"/>
      <c r="G27" s="813"/>
    </row>
    <row r="28" spans="1:7" ht="16.5" customHeight="1">
      <c r="A28" s="813"/>
      <c r="B28" s="813"/>
      <c r="C28" s="813"/>
      <c r="D28" s="813"/>
      <c r="E28" s="813"/>
      <c r="F28" s="813"/>
      <c r="G28" s="813"/>
    </row>
    <row r="29" spans="1:7" ht="16.5" customHeight="1">
      <c r="A29" s="34"/>
      <c r="B29" s="1"/>
      <c r="C29" s="1"/>
      <c r="D29" s="1"/>
      <c r="E29" s="1"/>
      <c r="F29" s="1"/>
      <c r="G29" s="1"/>
    </row>
    <row r="30" spans="1:7" ht="16.5" customHeight="1">
      <c r="A30" s="814" t="s">
        <v>297</v>
      </c>
      <c r="B30" s="814"/>
      <c r="C30" s="814"/>
      <c r="D30" s="814"/>
      <c r="E30" s="814"/>
      <c r="F30" s="814"/>
      <c r="G30" s="814"/>
    </row>
    <row r="31" spans="1:7" ht="16.5" customHeight="1">
      <c r="A31" s="814" t="s">
        <v>298</v>
      </c>
      <c r="B31" s="814"/>
      <c r="C31" s="814"/>
      <c r="D31" s="814"/>
      <c r="E31" s="814"/>
      <c r="F31" s="814"/>
      <c r="G31" s="814"/>
    </row>
    <row r="32" spans="1:7" ht="16.5" customHeight="1">
      <c r="A32" s="34" t="s">
        <v>299</v>
      </c>
      <c r="B32" s="1"/>
      <c r="C32" s="1"/>
      <c r="D32" s="1"/>
      <c r="E32" s="1"/>
      <c r="F32" s="1"/>
      <c r="G32" s="1"/>
    </row>
    <row r="33" spans="1:7" ht="16.5" customHeight="1">
      <c r="A33" s="1"/>
      <c r="B33" s="34" t="s">
        <v>300</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301</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302</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464</v>
      </c>
      <c r="B3" s="385"/>
      <c r="C3" s="385"/>
      <c r="D3" s="385"/>
      <c r="E3" s="385"/>
      <c r="F3" s="385"/>
      <c r="G3" s="385"/>
      <c r="H3" s="385"/>
      <c r="I3" s="385"/>
      <c r="J3" s="385"/>
      <c r="K3" s="385"/>
      <c r="L3" s="385"/>
    </row>
    <row r="5" ht="15">
      <c r="A5" s="384" t="s">
        <v>465</v>
      </c>
    </row>
    <row r="6" ht="15">
      <c r="A6" s="384" t="str">
        <f>CONCATENATE(inputPrYr!C5-2," 'total expenditures' exceed your ",inputPrYr!C5-2," 'budget authority.'")</f>
        <v>2012 'total expenditures' exceed your 2012 'budget authority.'</v>
      </c>
    </row>
    <row r="7" ht="15">
      <c r="A7" s="384"/>
    </row>
    <row r="8" ht="15">
      <c r="A8" s="384" t="s">
        <v>466</v>
      </c>
    </row>
    <row r="9" ht="15">
      <c r="A9" s="384" t="s">
        <v>467</v>
      </c>
    </row>
    <row r="10" ht="15">
      <c r="A10" s="384" t="s">
        <v>468</v>
      </c>
    </row>
    <row r="11" ht="15">
      <c r="A11" s="384"/>
    </row>
    <row r="12" ht="15">
      <c r="A12" s="384"/>
    </row>
    <row r="13" ht="15">
      <c r="A13" s="383" t="s">
        <v>469</v>
      </c>
    </row>
    <row r="15" ht="15">
      <c r="A15" s="384" t="s">
        <v>470</v>
      </c>
    </row>
    <row r="16" ht="15">
      <c r="A16" s="384" t="str">
        <f>CONCATENATE("(i.e. an audit has not been completed, or the ",inputPrYr!C5," adopted")</f>
        <v>(i.e. an audit has not been completed, or the 2014 adopted</v>
      </c>
    </row>
    <row r="17" ht="15">
      <c r="A17" s="384" t="s">
        <v>471</v>
      </c>
    </row>
    <row r="18" ht="15">
      <c r="A18" s="384" t="s">
        <v>472</v>
      </c>
    </row>
    <row r="19" ht="15">
      <c r="A19" s="384" t="s">
        <v>473</v>
      </c>
    </row>
    <row r="21" ht="15">
      <c r="A21" s="383" t="s">
        <v>474</v>
      </c>
    </row>
    <row r="22" ht="15">
      <c r="A22" s="383"/>
    </row>
    <row r="23" ht="15">
      <c r="A23" s="384" t="s">
        <v>475</v>
      </c>
    </row>
    <row r="24" ht="15">
      <c r="A24" s="384" t="s">
        <v>476</v>
      </c>
    </row>
    <row r="25" ht="15">
      <c r="A25" s="384" t="str">
        <f>CONCATENATE("particular fund.  If your ",inputPrYr!C5-2," budget was amended, did you")</f>
        <v>particular fund.  If your 2012 budget was amended, did you</v>
      </c>
    </row>
    <row r="26" ht="15">
      <c r="A26" s="384" t="s">
        <v>477</v>
      </c>
    </row>
    <row r="27" ht="15">
      <c r="A27" s="384"/>
    </row>
    <row r="28" ht="15">
      <c r="A28" s="384" t="str">
        <f>CONCATENATE("Next, look to see if any of your ",inputPrYr!C5-2," expenditures can be")</f>
        <v>Next, look to see if any of your 2012 expenditures can be</v>
      </c>
    </row>
    <row r="29" ht="15">
      <c r="A29" s="384" t="s">
        <v>478</v>
      </c>
    </row>
    <row r="30" ht="15">
      <c r="A30" s="384" t="s">
        <v>479</v>
      </c>
    </row>
    <row r="31" ht="15">
      <c r="A31" s="384" t="s">
        <v>480</v>
      </c>
    </row>
    <row r="32" ht="15">
      <c r="A32" s="384"/>
    </row>
    <row r="33" ht="15">
      <c r="A33" s="384" t="str">
        <f>CONCATENATE("Additionally, do your ",inputPrYr!C5-2," receipts contain a reimbursement")</f>
        <v>Additionally, do your 2012 receipts contain a reimbursement</v>
      </c>
    </row>
    <row r="34" ht="15">
      <c r="A34" s="384" t="s">
        <v>481</v>
      </c>
    </row>
    <row r="35" ht="15">
      <c r="A35" s="384" t="s">
        <v>482</v>
      </c>
    </row>
    <row r="36" ht="15">
      <c r="A36" s="384"/>
    </row>
    <row r="37" ht="15">
      <c r="A37" s="384" t="s">
        <v>483</v>
      </c>
    </row>
    <row r="38" ht="15">
      <c r="A38" s="384" t="s">
        <v>484</v>
      </c>
    </row>
    <row r="39" ht="15">
      <c r="A39" s="384" t="s">
        <v>485</v>
      </c>
    </row>
    <row r="40" ht="15">
      <c r="A40" s="384" t="s">
        <v>486</v>
      </c>
    </row>
    <row r="41" ht="15">
      <c r="A41" s="384" t="s">
        <v>487</v>
      </c>
    </row>
    <row r="42" ht="15">
      <c r="A42" s="384" t="s">
        <v>488</v>
      </c>
    </row>
    <row r="43" ht="15">
      <c r="A43" s="384" t="s">
        <v>489</v>
      </c>
    </row>
    <row r="44" ht="15">
      <c r="A44" s="384" t="s">
        <v>490</v>
      </c>
    </row>
    <row r="45" ht="15">
      <c r="A45" s="384"/>
    </row>
    <row r="46" ht="15">
      <c r="A46" s="384" t="s">
        <v>491</v>
      </c>
    </row>
    <row r="47" ht="15">
      <c r="A47" s="384" t="s">
        <v>492</v>
      </c>
    </row>
    <row r="48" ht="15">
      <c r="A48" s="384" t="s">
        <v>493</v>
      </c>
    </row>
    <row r="49" ht="15">
      <c r="A49" s="384"/>
    </row>
    <row r="50" ht="15">
      <c r="A50" s="384" t="s">
        <v>494</v>
      </c>
    </row>
    <row r="51" ht="15">
      <c r="A51" s="384" t="s">
        <v>495</v>
      </c>
    </row>
    <row r="52" ht="15">
      <c r="A52" s="384" t="s">
        <v>496</v>
      </c>
    </row>
    <row r="53" ht="15">
      <c r="A53" s="384"/>
    </row>
    <row r="54" ht="15">
      <c r="A54" s="383" t="s">
        <v>497</v>
      </c>
    </row>
    <row r="55" ht="15">
      <c r="A55" s="384"/>
    </row>
    <row r="56" ht="15">
      <c r="A56" s="384" t="s">
        <v>498</v>
      </c>
    </row>
    <row r="57" ht="15">
      <c r="A57" s="384" t="s">
        <v>499</v>
      </c>
    </row>
    <row r="58" ht="15">
      <c r="A58" s="384" t="s">
        <v>500</v>
      </c>
    </row>
    <row r="59" ht="15">
      <c r="A59" s="384" t="s">
        <v>501</v>
      </c>
    </row>
    <row r="60" ht="15">
      <c r="A60" s="384" t="s">
        <v>502</v>
      </c>
    </row>
    <row r="61" ht="15">
      <c r="A61" s="384" t="s">
        <v>503</v>
      </c>
    </row>
    <row r="62" ht="15">
      <c r="A62" s="384" t="s">
        <v>504</v>
      </c>
    </row>
    <row r="63" ht="15">
      <c r="A63" s="384" t="s">
        <v>505</v>
      </c>
    </row>
    <row r="64" ht="15">
      <c r="A64" s="384" t="s">
        <v>506</v>
      </c>
    </row>
    <row r="65" ht="15">
      <c r="A65" s="384" t="s">
        <v>507</v>
      </c>
    </row>
    <row r="66" ht="15">
      <c r="A66" s="384" t="s">
        <v>508</v>
      </c>
    </row>
    <row r="67" ht="15">
      <c r="A67" s="384" t="s">
        <v>509</v>
      </c>
    </row>
    <row r="68" ht="15">
      <c r="A68" s="384" t="s">
        <v>510</v>
      </c>
    </row>
    <row r="69" ht="15">
      <c r="A69" s="384"/>
    </row>
    <row r="70" ht="15">
      <c r="A70" s="384" t="s">
        <v>511</v>
      </c>
    </row>
    <row r="71" ht="15">
      <c r="A71" s="384" t="s">
        <v>512</v>
      </c>
    </row>
    <row r="72" ht="15">
      <c r="A72" s="384" t="s">
        <v>513</v>
      </c>
    </row>
    <row r="73" ht="15">
      <c r="A73" s="384"/>
    </row>
    <row r="74" ht="15">
      <c r="A74" s="383" t="str">
        <f>CONCATENATE("What if the ",inputPrYr!C5-2," financial records have been closed?")</f>
        <v>What if the 2012 financial records have been closed?</v>
      </c>
    </row>
    <row r="76" ht="15">
      <c r="A76" s="384" t="s">
        <v>514</v>
      </c>
    </row>
    <row r="77" ht="15">
      <c r="A77" s="384" t="str">
        <f>CONCATENATE("(i.e. an audit for ",inputPrYr!C5-2," has been completed, or the ",inputPrYr!C5)</f>
        <v>(i.e. an audit for 2012 has been completed, or the 2014</v>
      </c>
    </row>
    <row r="78" ht="15">
      <c r="A78" s="384" t="s">
        <v>515</v>
      </c>
    </row>
    <row r="79" ht="15">
      <c r="A79" s="384" t="s">
        <v>516</v>
      </c>
    </row>
    <row r="80" ht="15">
      <c r="A80" s="384"/>
    </row>
    <row r="81" ht="15">
      <c r="A81" s="384" t="s">
        <v>517</v>
      </c>
    </row>
    <row r="82" ht="15">
      <c r="A82" s="384" t="s">
        <v>518</v>
      </c>
    </row>
    <row r="83" ht="15">
      <c r="A83" s="384" t="s">
        <v>519</v>
      </c>
    </row>
    <row r="84" ht="15">
      <c r="A84" s="384"/>
    </row>
    <row r="85" ht="15">
      <c r="A85" s="384" t="s">
        <v>463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408</v>
      </c>
      <c r="B3" s="385"/>
      <c r="C3" s="385"/>
      <c r="D3" s="385"/>
      <c r="E3" s="385"/>
      <c r="F3" s="385"/>
      <c r="G3" s="385"/>
      <c r="H3" s="386"/>
      <c r="I3" s="386"/>
      <c r="J3" s="386"/>
    </row>
    <row r="5" ht="15">
      <c r="A5" s="384" t="s">
        <v>409</v>
      </c>
    </row>
    <row r="6" ht="15">
      <c r="A6" t="str">
        <f>CONCATENATE(inputPrYr!C5-2," expenditures show that you finished the year with a ")</f>
        <v>2012 expenditures show that you finished the year with a </v>
      </c>
    </row>
    <row r="7" ht="15">
      <c r="A7" t="s">
        <v>410</v>
      </c>
    </row>
    <row r="9" ht="15">
      <c r="A9" t="s">
        <v>411</v>
      </c>
    </row>
    <row r="10" ht="15">
      <c r="A10" t="s">
        <v>412</v>
      </c>
    </row>
    <row r="11" ht="15">
      <c r="A11" t="s">
        <v>413</v>
      </c>
    </row>
    <row r="13" ht="15">
      <c r="A13" s="383" t="s">
        <v>414</v>
      </c>
    </row>
    <row r="14" ht="15">
      <c r="A14" s="383"/>
    </row>
    <row r="15" ht="15">
      <c r="A15" s="384" t="s">
        <v>415</v>
      </c>
    </row>
    <row r="16" ht="15">
      <c r="A16" s="384" t="s">
        <v>416</v>
      </c>
    </row>
    <row r="17" ht="15">
      <c r="A17" s="384" t="s">
        <v>417</v>
      </c>
    </row>
    <row r="18" ht="15">
      <c r="A18" s="384"/>
    </row>
    <row r="19" ht="15">
      <c r="A19" s="383" t="s">
        <v>418</v>
      </c>
    </row>
    <row r="20" ht="15">
      <c r="A20" s="383"/>
    </row>
    <row r="21" ht="15">
      <c r="A21" s="384" t="s">
        <v>419</v>
      </c>
    </row>
    <row r="22" ht="15">
      <c r="A22" s="384" t="s">
        <v>420</v>
      </c>
    </row>
    <row r="23" ht="15">
      <c r="A23" s="384" t="s">
        <v>421</v>
      </c>
    </row>
    <row r="24" ht="15">
      <c r="A24" s="384"/>
    </row>
    <row r="25" ht="15">
      <c r="A25" s="383" t="s">
        <v>422</v>
      </c>
    </row>
    <row r="26" ht="15">
      <c r="A26" s="383"/>
    </row>
    <row r="27" ht="15">
      <c r="A27" s="384" t="s">
        <v>423</v>
      </c>
    </row>
    <row r="28" ht="15">
      <c r="A28" s="384" t="s">
        <v>424</v>
      </c>
    </row>
    <row r="29" ht="15">
      <c r="A29" s="384" t="s">
        <v>425</v>
      </c>
    </row>
    <row r="30" ht="15">
      <c r="A30" s="384"/>
    </row>
    <row r="31" ht="15">
      <c r="A31" s="383" t="s">
        <v>426</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427</v>
      </c>
      <c r="B35" s="384"/>
      <c r="C35" s="384"/>
      <c r="D35" s="384"/>
      <c r="E35" s="384"/>
      <c r="F35" s="384"/>
      <c r="G35" s="384"/>
      <c r="H35" s="384"/>
    </row>
    <row r="36" spans="1:8" ht="15">
      <c r="A36" s="384" t="s">
        <v>428</v>
      </c>
      <c r="B36" s="384"/>
      <c r="C36" s="384"/>
      <c r="D36" s="384"/>
      <c r="E36" s="384"/>
      <c r="F36" s="384"/>
      <c r="G36" s="384"/>
      <c r="H36" s="384"/>
    </row>
    <row r="37" spans="1:8" ht="15">
      <c r="A37" s="384" t="s">
        <v>429</v>
      </c>
      <c r="B37" s="384"/>
      <c r="C37" s="384"/>
      <c r="D37" s="384"/>
      <c r="E37" s="384"/>
      <c r="F37" s="384"/>
      <c r="G37" s="384"/>
      <c r="H37" s="384"/>
    </row>
    <row r="38" spans="1:8" ht="15">
      <c r="A38" s="384" t="s">
        <v>430</v>
      </c>
      <c r="B38" s="384"/>
      <c r="C38" s="384"/>
      <c r="D38" s="384"/>
      <c r="E38" s="384"/>
      <c r="F38" s="384"/>
      <c r="G38" s="384"/>
      <c r="H38" s="384"/>
    </row>
    <row r="39" spans="1:8" ht="15">
      <c r="A39" s="384" t="s">
        <v>431</v>
      </c>
      <c r="B39" s="384"/>
      <c r="C39" s="384"/>
      <c r="D39" s="384"/>
      <c r="E39" s="384"/>
      <c r="F39" s="384"/>
      <c r="G39" s="384"/>
      <c r="H39" s="384"/>
    </row>
    <row r="40" spans="1:8" ht="15">
      <c r="A40" s="384"/>
      <c r="B40" s="384"/>
      <c r="C40" s="384"/>
      <c r="D40" s="384"/>
      <c r="E40" s="384"/>
      <c r="F40" s="384"/>
      <c r="G40" s="384"/>
      <c r="H40" s="384"/>
    </row>
    <row r="41" spans="1:8" ht="15">
      <c r="A41" s="384" t="s">
        <v>432</v>
      </c>
      <c r="B41" s="384"/>
      <c r="C41" s="384"/>
      <c r="D41" s="384"/>
      <c r="E41" s="384"/>
      <c r="F41" s="384"/>
      <c r="G41" s="384"/>
      <c r="H41" s="384"/>
    </row>
    <row r="42" spans="1:8" ht="15">
      <c r="A42" s="384" t="s">
        <v>433</v>
      </c>
      <c r="B42" s="384"/>
      <c r="C42" s="384"/>
      <c r="D42" s="384"/>
      <c r="E42" s="384"/>
      <c r="F42" s="384"/>
      <c r="G42" s="384"/>
      <c r="H42" s="384"/>
    </row>
    <row r="43" spans="1:8" ht="15">
      <c r="A43" s="384" t="s">
        <v>434</v>
      </c>
      <c r="B43" s="384"/>
      <c r="C43" s="384"/>
      <c r="D43" s="384"/>
      <c r="E43" s="384"/>
      <c r="F43" s="384"/>
      <c r="G43" s="384"/>
      <c r="H43" s="384"/>
    </row>
    <row r="44" spans="1:8" ht="15">
      <c r="A44" s="384" t="s">
        <v>435</v>
      </c>
      <c r="B44" s="384"/>
      <c r="C44" s="384"/>
      <c r="D44" s="384"/>
      <c r="E44" s="384"/>
      <c r="F44" s="384"/>
      <c r="G44" s="384"/>
      <c r="H44" s="384"/>
    </row>
    <row r="45" spans="1:8" ht="15">
      <c r="A45" s="384"/>
      <c r="B45" s="384"/>
      <c r="C45" s="384"/>
      <c r="D45" s="384"/>
      <c r="E45" s="384"/>
      <c r="F45" s="384"/>
      <c r="G45" s="384"/>
      <c r="H45" s="384"/>
    </row>
    <row r="46" spans="1:8" ht="15">
      <c r="A46" s="384" t="s">
        <v>436</v>
      </c>
      <c r="B46" s="384"/>
      <c r="C46" s="384"/>
      <c r="D46" s="384"/>
      <c r="E46" s="384"/>
      <c r="F46" s="384"/>
      <c r="G46" s="384"/>
      <c r="H46" s="384"/>
    </row>
    <row r="47" spans="1:8" ht="15">
      <c r="A47" s="384" t="s">
        <v>437</v>
      </c>
      <c r="B47" s="384"/>
      <c r="C47" s="384"/>
      <c r="D47" s="384"/>
      <c r="E47" s="384"/>
      <c r="F47" s="384"/>
      <c r="G47" s="384"/>
      <c r="H47" s="384"/>
    </row>
    <row r="48" spans="1:8" ht="15">
      <c r="A48" s="384" t="s">
        <v>438</v>
      </c>
      <c r="B48" s="384"/>
      <c r="C48" s="384"/>
      <c r="D48" s="384"/>
      <c r="E48" s="384"/>
      <c r="F48" s="384"/>
      <c r="G48" s="384"/>
      <c r="H48" s="384"/>
    </row>
    <row r="49" spans="1:8" ht="15">
      <c r="A49" s="384" t="s">
        <v>439</v>
      </c>
      <c r="B49" s="384"/>
      <c r="C49" s="384"/>
      <c r="D49" s="384"/>
      <c r="E49" s="384"/>
      <c r="F49" s="384"/>
      <c r="G49" s="384"/>
      <c r="H49" s="384"/>
    </row>
    <row r="50" spans="1:8" ht="15">
      <c r="A50" s="384" t="s">
        <v>440</v>
      </c>
      <c r="B50" s="384"/>
      <c r="C50" s="384"/>
      <c r="D50" s="384"/>
      <c r="E50" s="384"/>
      <c r="F50" s="384"/>
      <c r="G50" s="384"/>
      <c r="H50" s="384"/>
    </row>
    <row r="51" spans="1:8" ht="15">
      <c r="A51" s="384"/>
      <c r="B51" s="384"/>
      <c r="C51" s="384"/>
      <c r="D51" s="384"/>
      <c r="E51" s="384"/>
      <c r="F51" s="384"/>
      <c r="G51" s="384"/>
      <c r="H51" s="384"/>
    </row>
    <row r="52" spans="1:8" ht="15">
      <c r="A52" s="383" t="s">
        <v>441</v>
      </c>
      <c r="B52" s="383"/>
      <c r="C52" s="383"/>
      <c r="D52" s="383"/>
      <c r="E52" s="383"/>
      <c r="F52" s="383"/>
      <c r="G52" s="383"/>
      <c r="H52" s="384"/>
    </row>
    <row r="53" spans="1:8" ht="15">
      <c r="A53" s="383" t="s">
        <v>442</v>
      </c>
      <c r="B53" s="383"/>
      <c r="C53" s="383"/>
      <c r="D53" s="383"/>
      <c r="E53" s="383"/>
      <c r="F53" s="383"/>
      <c r="G53" s="383"/>
      <c r="H53" s="384"/>
    </row>
    <row r="54" spans="1:8" ht="15">
      <c r="A54" s="384"/>
      <c r="B54" s="384"/>
      <c r="C54" s="384"/>
      <c r="D54" s="384"/>
      <c r="E54" s="384"/>
      <c r="F54" s="384"/>
      <c r="G54" s="384"/>
      <c r="H54" s="384"/>
    </row>
    <row r="55" spans="1:8" ht="15">
      <c r="A55" s="384" t="s">
        <v>443</v>
      </c>
      <c r="B55" s="384"/>
      <c r="C55" s="384"/>
      <c r="D55" s="384"/>
      <c r="E55" s="384"/>
      <c r="F55" s="384"/>
      <c r="G55" s="384"/>
      <c r="H55" s="384"/>
    </row>
    <row r="56" spans="1:8" ht="15">
      <c r="A56" s="384" t="s">
        <v>444</v>
      </c>
      <c r="B56" s="384"/>
      <c r="C56" s="384"/>
      <c r="D56" s="384"/>
      <c r="E56" s="384"/>
      <c r="F56" s="384"/>
      <c r="G56" s="384"/>
      <c r="H56" s="384"/>
    </row>
    <row r="57" spans="1:8" ht="15">
      <c r="A57" s="384" t="s">
        <v>445</v>
      </c>
      <c r="B57" s="384"/>
      <c r="C57" s="384"/>
      <c r="D57" s="384"/>
      <c r="E57" s="384"/>
      <c r="F57" s="384"/>
      <c r="G57" s="384"/>
      <c r="H57" s="384"/>
    </row>
    <row r="58" spans="1:8" ht="15">
      <c r="A58" s="384" t="s">
        <v>446</v>
      </c>
      <c r="B58" s="384"/>
      <c r="C58" s="384"/>
      <c r="D58" s="384"/>
      <c r="E58" s="384"/>
      <c r="F58" s="384"/>
      <c r="G58" s="384"/>
      <c r="H58" s="384"/>
    </row>
    <row r="59" spans="1:8" ht="15">
      <c r="A59" s="384"/>
      <c r="B59" s="384"/>
      <c r="C59" s="384"/>
      <c r="D59" s="384"/>
      <c r="E59" s="384"/>
      <c r="F59" s="384"/>
      <c r="G59" s="384"/>
      <c r="H59" s="384"/>
    </row>
    <row r="60" spans="1:8" ht="15">
      <c r="A60" s="384" t="s">
        <v>447</v>
      </c>
      <c r="B60" s="384"/>
      <c r="C60" s="384"/>
      <c r="D60" s="384"/>
      <c r="E60" s="384"/>
      <c r="F60" s="384"/>
      <c r="G60" s="384"/>
      <c r="H60" s="384"/>
    </row>
    <row r="61" spans="1:8" ht="15">
      <c r="A61" s="384" t="s">
        <v>448</v>
      </c>
      <c r="B61" s="384"/>
      <c r="C61" s="384"/>
      <c r="D61" s="384"/>
      <c r="E61" s="384"/>
      <c r="F61" s="384"/>
      <c r="G61" s="384"/>
      <c r="H61" s="384"/>
    </row>
    <row r="62" spans="1:8" ht="15">
      <c r="A62" s="384" t="s">
        <v>449</v>
      </c>
      <c r="B62" s="384"/>
      <c r="C62" s="384"/>
      <c r="D62" s="384"/>
      <c r="E62" s="384"/>
      <c r="F62" s="384"/>
      <c r="G62" s="384"/>
      <c r="H62" s="384"/>
    </row>
    <row r="63" spans="1:8" ht="15">
      <c r="A63" s="384" t="s">
        <v>450</v>
      </c>
      <c r="B63" s="384"/>
      <c r="C63" s="384"/>
      <c r="D63" s="384"/>
      <c r="E63" s="384"/>
      <c r="F63" s="384"/>
      <c r="G63" s="384"/>
      <c r="H63" s="384"/>
    </row>
    <row r="64" spans="1:8" ht="15">
      <c r="A64" s="384" t="s">
        <v>451</v>
      </c>
      <c r="B64" s="384"/>
      <c r="C64" s="384"/>
      <c r="D64" s="384"/>
      <c r="E64" s="384"/>
      <c r="F64" s="384"/>
      <c r="G64" s="384"/>
      <c r="H64" s="384"/>
    </row>
    <row r="65" spans="1:8" ht="15">
      <c r="A65" s="384" t="s">
        <v>452</v>
      </c>
      <c r="B65" s="384"/>
      <c r="C65" s="384"/>
      <c r="D65" s="384"/>
      <c r="E65" s="384"/>
      <c r="F65" s="384"/>
      <c r="G65" s="384"/>
      <c r="H65" s="384"/>
    </row>
    <row r="66" spans="1:8" ht="15">
      <c r="A66" s="384"/>
      <c r="B66" s="384"/>
      <c r="C66" s="384"/>
      <c r="D66" s="384"/>
      <c r="E66" s="384"/>
      <c r="F66" s="384"/>
      <c r="G66" s="384"/>
      <c r="H66" s="384"/>
    </row>
    <row r="67" spans="1:8" ht="15">
      <c r="A67" s="384" t="s">
        <v>453</v>
      </c>
      <c r="B67" s="384"/>
      <c r="C67" s="384"/>
      <c r="D67" s="384"/>
      <c r="E67" s="384"/>
      <c r="F67" s="384"/>
      <c r="G67" s="384"/>
      <c r="H67" s="384"/>
    </row>
    <row r="68" spans="1:8" ht="15">
      <c r="A68" s="384" t="s">
        <v>454</v>
      </c>
      <c r="B68" s="384"/>
      <c r="C68" s="384"/>
      <c r="D68" s="384"/>
      <c r="E68" s="384"/>
      <c r="F68" s="384"/>
      <c r="G68" s="384"/>
      <c r="H68" s="384"/>
    </row>
    <row r="69" spans="1:8" ht="15">
      <c r="A69" s="384" t="s">
        <v>455</v>
      </c>
      <c r="B69" s="384"/>
      <c r="C69" s="384"/>
      <c r="D69" s="384"/>
      <c r="E69" s="384"/>
      <c r="F69" s="384"/>
      <c r="G69" s="384"/>
      <c r="H69" s="384"/>
    </row>
    <row r="70" spans="1:8" ht="15">
      <c r="A70" s="384" t="s">
        <v>456</v>
      </c>
      <c r="B70" s="384"/>
      <c r="C70" s="384"/>
      <c r="D70" s="384"/>
      <c r="E70" s="384"/>
      <c r="F70" s="384"/>
      <c r="G70" s="384"/>
      <c r="H70" s="384"/>
    </row>
    <row r="71" spans="1:8" ht="15">
      <c r="A71" s="384" t="s">
        <v>457</v>
      </c>
      <c r="B71" s="384"/>
      <c r="C71" s="384"/>
      <c r="D71" s="384"/>
      <c r="E71" s="384"/>
      <c r="F71" s="384"/>
      <c r="G71" s="384"/>
      <c r="H71" s="384"/>
    </row>
    <row r="72" spans="1:8" ht="15">
      <c r="A72" s="384" t="s">
        <v>458</v>
      </c>
      <c r="B72" s="384"/>
      <c r="C72" s="384"/>
      <c r="D72" s="384"/>
      <c r="E72" s="384"/>
      <c r="F72" s="384"/>
      <c r="G72" s="384"/>
      <c r="H72" s="384"/>
    </row>
    <row r="73" spans="1:8" ht="15">
      <c r="A73" s="384" t="s">
        <v>459</v>
      </c>
      <c r="B73" s="384"/>
      <c r="C73" s="384"/>
      <c r="D73" s="384"/>
      <c r="E73" s="384"/>
      <c r="F73" s="384"/>
      <c r="G73" s="384"/>
      <c r="H73" s="384"/>
    </row>
    <row r="74" spans="1:8" ht="15">
      <c r="A74" s="384"/>
      <c r="B74" s="384"/>
      <c r="C74" s="384"/>
      <c r="D74" s="384"/>
      <c r="E74" s="384"/>
      <c r="F74" s="384"/>
      <c r="G74" s="384"/>
      <c r="H74" s="384"/>
    </row>
    <row r="75" spans="1:8" ht="15">
      <c r="A75" s="384" t="s">
        <v>460</v>
      </c>
      <c r="B75" s="384"/>
      <c r="C75" s="384"/>
      <c r="D75" s="384"/>
      <c r="E75" s="384"/>
      <c r="F75" s="384"/>
      <c r="G75" s="384"/>
      <c r="H75" s="384"/>
    </row>
    <row r="76" spans="1:8" ht="15">
      <c r="A76" s="384" t="s">
        <v>461</v>
      </c>
      <c r="B76" s="384"/>
      <c r="C76" s="384"/>
      <c r="D76" s="384"/>
      <c r="E76" s="384"/>
      <c r="F76" s="384"/>
      <c r="G76" s="384"/>
      <c r="H76" s="384"/>
    </row>
    <row r="77" spans="1:8" ht="15">
      <c r="A77" s="384" t="s">
        <v>462</v>
      </c>
      <c r="B77" s="384"/>
      <c r="C77" s="384"/>
      <c r="D77" s="384"/>
      <c r="E77" s="384"/>
      <c r="F77" s="384"/>
      <c r="G77" s="384"/>
      <c r="H77" s="384"/>
    </row>
    <row r="78" spans="1:8" ht="15">
      <c r="A78" s="384"/>
      <c r="B78" s="384"/>
      <c r="C78" s="384"/>
      <c r="D78" s="384"/>
      <c r="E78" s="384"/>
      <c r="F78" s="384"/>
      <c r="G78" s="384"/>
      <c r="H78" s="384"/>
    </row>
    <row r="79" ht="15">
      <c r="A79" s="384" t="s">
        <v>463</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70" zoomScaleNormal="70" workbookViewId="0" topLeftCell="B1">
      <selection activeCell="D6" sqref="D6"/>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16" t="s">
        <v>987</v>
      </c>
      <c r="E2" s="68"/>
    </row>
    <row r="3" spans="1:5" ht="15.75">
      <c r="A3" s="67" t="s">
        <v>74</v>
      </c>
      <c r="B3" s="65"/>
      <c r="C3" s="65"/>
      <c r="D3" s="617" t="s">
        <v>988</v>
      </c>
      <c r="E3" s="69"/>
    </row>
    <row r="4" spans="1:5" ht="15.75">
      <c r="A4" s="70"/>
      <c r="B4" s="65"/>
      <c r="C4" s="65"/>
      <c r="D4" s="71"/>
      <c r="E4" s="65"/>
    </row>
    <row r="5" spans="1:5" ht="15.75">
      <c r="A5" s="67" t="s">
        <v>308</v>
      </c>
      <c r="B5" s="65"/>
      <c r="C5" s="72">
        <v>2014</v>
      </c>
      <c r="D5" s="71"/>
      <c r="E5" s="65"/>
    </row>
    <row r="6" spans="1:5" ht="15.75">
      <c r="A6" s="65"/>
      <c r="B6" s="65"/>
      <c r="C6" s="65"/>
      <c r="D6" s="65"/>
      <c r="E6" s="65"/>
    </row>
    <row r="7" spans="1:5" ht="15.75">
      <c r="A7" s="73" t="s">
        <v>345</v>
      </c>
      <c r="B7" s="74"/>
      <c r="C7" s="74"/>
      <c r="D7" s="74"/>
      <c r="E7" s="74"/>
    </row>
    <row r="8" spans="1:8" ht="15.75">
      <c r="A8" s="73" t="s">
        <v>344</v>
      </c>
      <c r="B8" s="74"/>
      <c r="C8" s="74"/>
      <c r="D8" s="74"/>
      <c r="E8" s="74"/>
      <c r="F8" s="65"/>
      <c r="G8" s="742" t="s">
        <v>918</v>
      </c>
      <c r="H8" s="743"/>
    </row>
    <row r="9" spans="1:8" ht="15.75" customHeight="1">
      <c r="A9" s="75"/>
      <c r="B9" s="74"/>
      <c r="C9" s="74"/>
      <c r="D9" s="74"/>
      <c r="E9" s="74"/>
      <c r="F9" s="65"/>
      <c r="G9" s="744"/>
      <c r="H9" s="743"/>
    </row>
    <row r="10" spans="1:8" ht="15.75">
      <c r="A10" s="740" t="s">
        <v>22</v>
      </c>
      <c r="B10" s="741"/>
      <c r="C10" s="741"/>
      <c r="D10" s="741"/>
      <c r="E10" s="741"/>
      <c r="F10" s="65"/>
      <c r="G10" s="744"/>
      <c r="H10" s="743"/>
    </row>
    <row r="11" spans="1:8" ht="15.75">
      <c r="A11" s="75"/>
      <c r="B11" s="74"/>
      <c r="C11" s="74"/>
      <c r="D11" s="74"/>
      <c r="E11" s="74"/>
      <c r="F11" s="65"/>
      <c r="G11" s="744"/>
      <c r="H11" s="743"/>
    </row>
    <row r="12" spans="1:8" ht="15.75">
      <c r="A12" s="77" t="s">
        <v>23</v>
      </c>
      <c r="B12" s="78"/>
      <c r="C12" s="65"/>
      <c r="D12" s="65"/>
      <c r="E12" s="65"/>
      <c r="F12" s="65"/>
      <c r="G12" s="744"/>
      <c r="H12" s="743"/>
    </row>
    <row r="13" spans="1:8" ht="15.75">
      <c r="A13" s="79" t="str">
        <f>CONCATENATE("the ",C5-1," Budget, Certificate Page:")</f>
        <v>the 2013 Budget, Certificate Page:</v>
      </c>
      <c r="B13" s="80"/>
      <c r="C13" s="81"/>
      <c r="D13" s="65"/>
      <c r="E13" s="65"/>
      <c r="F13" s="65"/>
      <c r="G13" s="744"/>
      <c r="H13" s="743"/>
    </row>
    <row r="14" spans="1:8" ht="15.75">
      <c r="A14" s="79" t="s">
        <v>343</v>
      </c>
      <c r="B14" s="80"/>
      <c r="C14" s="81"/>
      <c r="D14" s="65"/>
      <c r="E14" s="65"/>
      <c r="F14" s="65"/>
      <c r="G14" s="97"/>
      <c r="H14" s="696"/>
    </row>
    <row r="15" spans="1:8" ht="15.75">
      <c r="A15" s="82"/>
      <c r="B15" s="65"/>
      <c r="C15" s="65"/>
      <c r="D15" s="83">
        <f>$C$5-1</f>
        <v>2013</v>
      </c>
      <c r="E15" s="83">
        <f>$C$5-2</f>
        <v>2012</v>
      </c>
      <c r="G15" s="220" t="s">
        <v>821</v>
      </c>
      <c r="H15" s="188" t="s">
        <v>176</v>
      </c>
    </row>
    <row r="16" spans="1:8" ht="15.75">
      <c r="A16" s="70" t="s">
        <v>129</v>
      </c>
      <c r="B16" s="65"/>
      <c r="C16" s="84" t="s">
        <v>130</v>
      </c>
      <c r="D16" s="85" t="s">
        <v>342</v>
      </c>
      <c r="E16" s="85" t="s">
        <v>113</v>
      </c>
      <c r="G16" s="247" t="str">
        <f>CONCATENATE("",E15," Ad Valorem Tax")</f>
        <v>2012 Ad Valorem Tax</v>
      </c>
      <c r="H16" s="695">
        <v>0</v>
      </c>
    </row>
    <row r="17" spans="1:7" ht="15.75">
      <c r="A17" s="65"/>
      <c r="B17" s="86" t="s">
        <v>131</v>
      </c>
      <c r="C17" s="188" t="s">
        <v>283</v>
      </c>
      <c r="D17" s="88">
        <v>112449</v>
      </c>
      <c r="E17" s="88">
        <v>47467</v>
      </c>
      <c r="G17" s="190">
        <f>IF(H16&gt;0,ROUND(E17-(E17*H16),0),0)</f>
        <v>0</v>
      </c>
    </row>
    <row r="18" spans="1:7" ht="15.75">
      <c r="A18" s="65"/>
      <c r="B18" s="86" t="s">
        <v>108</v>
      </c>
      <c r="C18" s="188" t="s">
        <v>309</v>
      </c>
      <c r="D18" s="88"/>
      <c r="E18" s="88"/>
      <c r="G18" s="190">
        <f>IF(H16&gt;0,ROUND(E18-(E18*H16),0),0)</f>
        <v>0</v>
      </c>
    </row>
    <row r="19" spans="1:7" ht="15.75">
      <c r="A19" s="65"/>
      <c r="B19" s="86" t="s">
        <v>838</v>
      </c>
      <c r="C19" s="188" t="s">
        <v>839</v>
      </c>
      <c r="D19" s="88"/>
      <c r="E19" s="88"/>
      <c r="G19" s="190">
        <f>IF(H16&gt;0,ROUND(E19-(E19*H16),0),0)</f>
        <v>0</v>
      </c>
    </row>
    <row r="20" spans="1:5" ht="15.75">
      <c r="A20" s="70" t="s">
        <v>132</v>
      </c>
      <c r="B20" s="65"/>
      <c r="C20" s="65"/>
      <c r="D20" s="89"/>
      <c r="E20" s="89"/>
    </row>
    <row r="21" spans="1:7" ht="15.75">
      <c r="A21" s="65"/>
      <c r="B21" s="90"/>
      <c r="C21" s="577"/>
      <c r="D21" s="88"/>
      <c r="E21" s="88"/>
      <c r="G21" s="190">
        <f>IF(H16&gt;0,ROUND(E21-(E21*H16),0),0)</f>
        <v>0</v>
      </c>
    </row>
    <row r="22" spans="1:7" ht="15.75">
      <c r="A22" s="65"/>
      <c r="B22" s="91"/>
      <c r="C22" s="578"/>
      <c r="D22" s="88"/>
      <c r="E22" s="88"/>
      <c r="G22" s="190">
        <f>IF(H16&gt;0,ROUND(E22-(E22*H16),0),0)</f>
        <v>0</v>
      </c>
    </row>
    <row r="23" spans="1:7" ht="15.75">
      <c r="A23" s="65"/>
      <c r="B23" s="91"/>
      <c r="C23" s="577"/>
      <c r="D23" s="88"/>
      <c r="E23" s="88"/>
      <c r="G23" s="190">
        <f>IF(H16&gt;0,ROUND(E23-(E23*H16),0),0)</f>
        <v>0</v>
      </c>
    </row>
    <row r="24" spans="1:7" ht="15.75">
      <c r="A24" s="65"/>
      <c r="B24" s="91"/>
      <c r="C24" s="577"/>
      <c r="D24" s="88"/>
      <c r="E24" s="88"/>
      <c r="G24" s="190">
        <f>IF(H16&gt;0,ROUND(E24-(E24*H16),0),0)</f>
        <v>0</v>
      </c>
    </row>
    <row r="25" spans="1:5" ht="15.75">
      <c r="A25" s="92" t="str">
        <f>CONCATENATE("Total Ad Valorem Tax Levy Funds for ",C5-1," Budgeted Year")</f>
        <v>Total Ad Valorem Tax Levy Funds for 2013 Budgeted Year</v>
      </c>
      <c r="B25" s="93"/>
      <c r="C25" s="93"/>
      <c r="D25" s="94"/>
      <c r="E25" s="95">
        <f>SUM(E17:E24)</f>
        <v>47467</v>
      </c>
    </row>
    <row r="26" spans="1:5" ht="15.75">
      <c r="A26" s="100"/>
      <c r="B26" s="97"/>
      <c r="C26" s="97"/>
      <c r="D26" s="209"/>
      <c r="E26" s="97"/>
    </row>
    <row r="27" spans="1:5" ht="15.75">
      <c r="A27" s="70" t="s">
        <v>133</v>
      </c>
      <c r="B27" s="65"/>
      <c r="C27" s="65"/>
      <c r="D27" s="65"/>
      <c r="E27" s="65"/>
    </row>
    <row r="28" spans="1:5" ht="15.75">
      <c r="A28" s="65"/>
      <c r="B28" s="96" t="s">
        <v>134</v>
      </c>
      <c r="C28" s="97"/>
      <c r="D28" s="88">
        <v>5210</v>
      </c>
      <c r="E28" s="97"/>
    </row>
    <row r="29" spans="1:5" ht="15.75">
      <c r="A29" s="65"/>
      <c r="B29" s="412" t="s">
        <v>989</v>
      </c>
      <c r="C29" s="97"/>
      <c r="D29" s="88">
        <v>93141</v>
      </c>
      <c r="E29" s="97"/>
    </row>
    <row r="30" spans="1:5" ht="15.75">
      <c r="A30" s="65"/>
      <c r="B30" s="412" t="s">
        <v>990</v>
      </c>
      <c r="C30" s="97"/>
      <c r="D30" s="88">
        <v>98313</v>
      </c>
      <c r="E30" s="97"/>
    </row>
    <row r="31" spans="1:5" ht="15.75">
      <c r="A31" s="65"/>
      <c r="B31" s="412"/>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2013 Budgeted Year</v>
      </c>
      <c r="B36" s="103"/>
      <c r="C36" s="104"/>
      <c r="D36" s="95">
        <f>SUM(D17:D19,D21:D24,D28:D33,D35)</f>
        <v>309113</v>
      </c>
      <c r="E36" s="102"/>
    </row>
    <row r="37" spans="1:5" ht="15.75">
      <c r="A37" s="100" t="s">
        <v>35</v>
      </c>
      <c r="B37" s="97"/>
      <c r="C37" s="97"/>
      <c r="D37" s="97"/>
      <c r="E37" s="65"/>
    </row>
    <row r="38" spans="1:5" ht="15.75">
      <c r="A38" s="105">
        <v>1</v>
      </c>
      <c r="B38" s="90" t="s">
        <v>1029</v>
      </c>
      <c r="C38" s="97"/>
      <c r="D38" s="97"/>
      <c r="E38" s="65"/>
    </row>
    <row r="39" spans="1:5" ht="15.75">
      <c r="A39" s="105">
        <v>2</v>
      </c>
      <c r="B39" s="90" t="s">
        <v>1033</v>
      </c>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2011 Tax Rate</v>
      </c>
      <c r="E45" s="65"/>
    </row>
    <row r="46" spans="1:5" ht="15.75">
      <c r="A46" s="79" t="str">
        <f>CONCATENATE("the ",C5-1," Budget, Budget Summary Page")</f>
        <v>the 2013 Budget, Budget Summary Page</v>
      </c>
      <c r="B46" s="80"/>
      <c r="C46" s="65"/>
      <c r="D46" s="108" t="str">
        <f>CONCATENATE("(",C5-2," Column)")</f>
        <v>(2012 Column)</v>
      </c>
      <c r="E46" s="65"/>
    </row>
    <row r="47" spans="1:5" ht="15.75">
      <c r="A47" s="65"/>
      <c r="B47" s="109" t="str">
        <f>B17</f>
        <v>General</v>
      </c>
      <c r="C47" s="110"/>
      <c r="D47" s="111">
        <v>54.911</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54.911</v>
      </c>
      <c r="E54" s="65"/>
    </row>
    <row r="55" spans="1:5" ht="15.75">
      <c r="A55" s="65"/>
      <c r="B55" s="65"/>
      <c r="C55" s="65"/>
      <c r="D55" s="65"/>
      <c r="E55" s="65"/>
    </row>
    <row r="56" spans="1:5" ht="15.75">
      <c r="A56" s="113" t="str">
        <f>CONCATENATE("Total Tax Levied (",C5-2," budget column)")</f>
        <v>Total Tax Levied (2012 budget column)</v>
      </c>
      <c r="B56" s="114"/>
      <c r="C56" s="93"/>
      <c r="D56" s="104"/>
      <c r="E56" s="88">
        <v>47279</v>
      </c>
    </row>
    <row r="57" spans="1:5" ht="15.75">
      <c r="A57" s="113" t="str">
        <f>CONCATENATE("Assessed Valuation  (",C5-2," budget column)")</f>
        <v>Assessed Valuation  (2012 budget column)</v>
      </c>
      <c r="B57" s="115"/>
      <c r="C57" s="116"/>
      <c r="D57" s="117"/>
      <c r="E57" s="88">
        <v>861007</v>
      </c>
    </row>
    <row r="58" spans="1:5" ht="15.75">
      <c r="A58" s="65"/>
      <c r="B58" s="65"/>
      <c r="C58" s="65"/>
      <c r="D58" s="81"/>
      <c r="E58" s="89"/>
    </row>
    <row r="59" spans="1:5" ht="15.75">
      <c r="A59" s="118" t="s">
        <v>45</v>
      </c>
      <c r="B59" s="118"/>
      <c r="C59" s="119"/>
      <c r="D59" s="120">
        <f>C5-3</f>
        <v>2011</v>
      </c>
      <c r="E59" s="121">
        <f>C5-2</f>
        <v>2012</v>
      </c>
    </row>
    <row r="60" spans="1:5" ht="15.75">
      <c r="A60" s="122" t="s">
        <v>319</v>
      </c>
      <c r="B60" s="122"/>
      <c r="C60" s="123"/>
      <c r="D60" s="124"/>
      <c r="E60" s="124"/>
    </row>
    <row r="61" spans="1:5" ht="15.75">
      <c r="A61" s="125" t="s">
        <v>320</v>
      </c>
      <c r="B61" s="125"/>
      <c r="C61" s="126"/>
      <c r="D61" s="124"/>
      <c r="E61" s="124"/>
    </row>
    <row r="62" spans="1:5" ht="15.75">
      <c r="A62" s="125" t="s">
        <v>321</v>
      </c>
      <c r="B62" s="125"/>
      <c r="C62" s="126"/>
      <c r="D62" s="124">
        <v>177656</v>
      </c>
      <c r="E62" s="124">
        <v>169557</v>
      </c>
    </row>
    <row r="63" spans="1:5" ht="15.75">
      <c r="A63" s="125" t="s">
        <v>322</v>
      </c>
      <c r="B63" s="125"/>
      <c r="C63" s="126"/>
      <c r="D63" s="124"/>
      <c r="E63" s="124"/>
    </row>
    <row r="70" spans="1:6" s="127" customFormat="1" ht="15.75">
      <c r="A70" s="66"/>
      <c r="B70" s="66"/>
      <c r="C70" s="66"/>
      <c r="D70" s="66"/>
      <c r="E70" s="66"/>
      <c r="F70" s="63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520</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465</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521</v>
      </c>
      <c r="I7" s="385"/>
      <c r="J7" s="385"/>
      <c r="K7" s="385"/>
      <c r="L7" s="385"/>
    </row>
    <row r="8" spans="1:12" ht="15">
      <c r="A8" s="384"/>
      <c r="I8" s="385"/>
      <c r="J8" s="385"/>
      <c r="K8" s="385"/>
      <c r="L8" s="385"/>
    </row>
    <row r="9" spans="1:12" ht="15">
      <c r="A9" s="384" t="s">
        <v>522</v>
      </c>
      <c r="I9" s="385"/>
      <c r="J9" s="385"/>
      <c r="K9" s="385"/>
      <c r="L9" s="385"/>
    </row>
    <row r="10" spans="1:12" ht="15">
      <c r="A10" s="384" t="s">
        <v>523</v>
      </c>
      <c r="I10" s="385"/>
      <c r="J10" s="385"/>
      <c r="K10" s="385"/>
      <c r="L10" s="385"/>
    </row>
    <row r="11" spans="1:12" ht="15">
      <c r="A11" s="384" t="s">
        <v>524</v>
      </c>
      <c r="I11" s="385"/>
      <c r="J11" s="385"/>
      <c r="K11" s="385"/>
      <c r="L11" s="385"/>
    </row>
    <row r="12" spans="1:12" ht="15">
      <c r="A12" s="384" t="s">
        <v>525</v>
      </c>
      <c r="I12" s="385"/>
      <c r="J12" s="385"/>
      <c r="K12" s="385"/>
      <c r="L12" s="385"/>
    </row>
    <row r="13" spans="1:12" ht="15">
      <c r="A13" s="384" t="s">
        <v>526</v>
      </c>
      <c r="I13" s="385"/>
      <c r="J13" s="385"/>
      <c r="K13" s="385"/>
      <c r="L13" s="385"/>
    </row>
    <row r="14" spans="1:12" ht="15">
      <c r="A14" s="385"/>
      <c r="B14" s="385"/>
      <c r="C14" s="385"/>
      <c r="D14" s="385"/>
      <c r="E14" s="385"/>
      <c r="F14" s="385"/>
      <c r="G14" s="385"/>
      <c r="H14" s="385"/>
      <c r="I14" s="385"/>
      <c r="J14" s="385"/>
      <c r="K14" s="385"/>
      <c r="L14" s="385"/>
    </row>
    <row r="15" ht="15">
      <c r="A15" s="383" t="s">
        <v>527</v>
      </c>
    </row>
    <row r="16" ht="15">
      <c r="A16" s="383" t="s">
        <v>528</v>
      </c>
    </row>
    <row r="17" ht="15">
      <c r="A17" s="383"/>
    </row>
    <row r="18" spans="1:7" ht="15">
      <c r="A18" s="384" t="s">
        <v>529</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530</v>
      </c>
      <c r="B20" s="384"/>
      <c r="C20" s="384"/>
      <c r="D20" s="384"/>
      <c r="E20" s="384"/>
      <c r="F20" s="384"/>
      <c r="G20" s="384"/>
    </row>
    <row r="21" spans="1:7" ht="15">
      <c r="A21" s="384" t="s">
        <v>531</v>
      </c>
      <c r="B21" s="384"/>
      <c r="C21" s="384"/>
      <c r="D21" s="384"/>
      <c r="E21" s="384"/>
      <c r="F21" s="384"/>
      <c r="G21" s="384"/>
    </row>
    <row r="22" ht="15">
      <c r="A22" s="384"/>
    </row>
    <row r="23" ht="15">
      <c r="A23" s="383" t="s">
        <v>532</v>
      </c>
    </row>
    <row r="24" ht="15">
      <c r="A24" s="383"/>
    </row>
    <row r="25" ht="15">
      <c r="A25" s="384" t="s">
        <v>533</v>
      </c>
    </row>
    <row r="26" spans="1:6" ht="15">
      <c r="A26" s="384" t="s">
        <v>534</v>
      </c>
      <c r="B26" s="384"/>
      <c r="C26" s="384"/>
      <c r="D26" s="384"/>
      <c r="E26" s="384"/>
      <c r="F26" s="384"/>
    </row>
    <row r="27" spans="1:6" ht="15">
      <c r="A27" s="384" t="s">
        <v>535</v>
      </c>
      <c r="B27" s="384"/>
      <c r="C27" s="384"/>
      <c r="D27" s="384"/>
      <c r="E27" s="384"/>
      <c r="F27" s="384"/>
    </row>
    <row r="28" spans="1:6" ht="15">
      <c r="A28" s="384" t="s">
        <v>536</v>
      </c>
      <c r="B28" s="384"/>
      <c r="C28" s="384"/>
      <c r="D28" s="384"/>
      <c r="E28" s="384"/>
      <c r="F28" s="384"/>
    </row>
    <row r="29" spans="1:6" ht="15">
      <c r="A29" s="384"/>
      <c r="B29" s="384"/>
      <c r="C29" s="384"/>
      <c r="D29" s="384"/>
      <c r="E29" s="384"/>
      <c r="F29" s="384"/>
    </row>
    <row r="30" spans="1:7" ht="15">
      <c r="A30" s="383" t="s">
        <v>537</v>
      </c>
      <c r="B30" s="383"/>
      <c r="C30" s="383"/>
      <c r="D30" s="383"/>
      <c r="E30" s="383"/>
      <c r="F30" s="383"/>
      <c r="G30" s="383"/>
    </row>
    <row r="31" spans="1:7" ht="15">
      <c r="A31" s="383" t="s">
        <v>538</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539</v>
      </c>
      <c r="B34" s="384"/>
      <c r="C34" s="384"/>
      <c r="D34" s="384"/>
      <c r="E34" s="384"/>
      <c r="F34" s="384"/>
    </row>
    <row r="35" spans="1:6" ht="15">
      <c r="A35" s="388" t="s">
        <v>479</v>
      </c>
      <c r="B35" s="384"/>
      <c r="C35" s="384"/>
      <c r="D35" s="384"/>
      <c r="E35" s="384"/>
      <c r="F35" s="384"/>
    </row>
    <row r="36" spans="1:6" ht="15">
      <c r="A36" s="388" t="s">
        <v>480</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481</v>
      </c>
      <c r="B39" s="384"/>
      <c r="C39" s="384"/>
      <c r="D39" s="384"/>
      <c r="E39" s="384"/>
      <c r="F39" s="384"/>
    </row>
    <row r="40" spans="1:6" ht="15">
      <c r="A40" s="388" t="s">
        <v>482</v>
      </c>
      <c r="B40" s="384"/>
      <c r="C40" s="384"/>
      <c r="D40" s="384"/>
      <c r="E40" s="384"/>
      <c r="F40" s="384"/>
    </row>
    <row r="41" spans="1:6" ht="15">
      <c r="A41" s="388"/>
      <c r="B41" s="384"/>
      <c r="C41" s="384"/>
      <c r="D41" s="384"/>
      <c r="E41" s="384"/>
      <c r="F41" s="384"/>
    </row>
    <row r="42" spans="1:6" ht="15">
      <c r="A42" s="388" t="s">
        <v>483</v>
      </c>
      <c r="B42" s="384"/>
      <c r="C42" s="384"/>
      <c r="D42" s="384"/>
      <c r="E42" s="384"/>
      <c r="F42" s="384"/>
    </row>
    <row r="43" spans="1:6" ht="15">
      <c r="A43" s="388" t="s">
        <v>484</v>
      </c>
      <c r="B43" s="384"/>
      <c r="C43" s="384"/>
      <c r="D43" s="384"/>
      <c r="E43" s="384"/>
      <c r="F43" s="384"/>
    </row>
    <row r="44" spans="1:6" ht="15">
      <c r="A44" s="388" t="s">
        <v>485</v>
      </c>
      <c r="B44" s="384"/>
      <c r="C44" s="384"/>
      <c r="D44" s="384"/>
      <c r="E44" s="384"/>
      <c r="F44" s="384"/>
    </row>
    <row r="45" spans="1:6" ht="15">
      <c r="A45" s="388" t="s">
        <v>540</v>
      </c>
      <c r="B45" s="384"/>
      <c r="C45" s="384"/>
      <c r="D45" s="384"/>
      <c r="E45" s="384"/>
      <c r="F45" s="384"/>
    </row>
    <row r="46" spans="1:6" ht="15">
      <c r="A46" s="388" t="s">
        <v>487</v>
      </c>
      <c r="B46" s="384"/>
      <c r="C46" s="384"/>
      <c r="D46" s="384"/>
      <c r="E46" s="384"/>
      <c r="F46" s="384"/>
    </row>
    <row r="47" spans="1:6" ht="15">
      <c r="A47" s="388" t="s">
        <v>541</v>
      </c>
      <c r="B47" s="384"/>
      <c r="C47" s="384"/>
      <c r="D47" s="384"/>
      <c r="E47" s="384"/>
      <c r="F47" s="384"/>
    </row>
    <row r="48" spans="1:6" ht="15">
      <c r="A48" s="388" t="s">
        <v>542</v>
      </c>
      <c r="B48" s="384"/>
      <c r="C48" s="384"/>
      <c r="D48" s="384"/>
      <c r="E48" s="384"/>
      <c r="F48" s="384"/>
    </row>
    <row r="49" spans="1:6" ht="15">
      <c r="A49" s="388" t="s">
        <v>490</v>
      </c>
      <c r="B49" s="384"/>
      <c r="C49" s="384"/>
      <c r="D49" s="384"/>
      <c r="E49" s="384"/>
      <c r="F49" s="384"/>
    </row>
    <row r="50" spans="1:6" ht="15">
      <c r="A50" s="388"/>
      <c r="B50" s="384"/>
      <c r="C50" s="384"/>
      <c r="D50" s="384"/>
      <c r="E50" s="384"/>
      <c r="F50" s="384"/>
    </row>
    <row r="51" spans="1:6" ht="15">
      <c r="A51" s="388" t="s">
        <v>491</v>
      </c>
      <c r="B51" s="384"/>
      <c r="C51" s="384"/>
      <c r="D51" s="384"/>
      <c r="E51" s="384"/>
      <c r="F51" s="384"/>
    </row>
    <row r="52" spans="1:6" ht="15">
      <c r="A52" s="388" t="s">
        <v>492</v>
      </c>
      <c r="B52" s="384"/>
      <c r="C52" s="384"/>
      <c r="D52" s="384"/>
      <c r="E52" s="384"/>
      <c r="F52" s="384"/>
    </row>
    <row r="53" spans="1:6" ht="15">
      <c r="A53" s="388" t="s">
        <v>493</v>
      </c>
      <c r="B53" s="384"/>
      <c r="C53" s="384"/>
      <c r="D53" s="384"/>
      <c r="E53" s="384"/>
      <c r="F53" s="384"/>
    </row>
    <row r="54" spans="1:6" ht="15">
      <c r="A54" s="388"/>
      <c r="B54" s="384"/>
      <c r="C54" s="384"/>
      <c r="D54" s="384"/>
      <c r="E54" s="384"/>
      <c r="F54" s="384"/>
    </row>
    <row r="55" spans="1:6" ht="15">
      <c r="A55" s="388" t="s">
        <v>543</v>
      </c>
      <c r="B55" s="384"/>
      <c r="C55" s="384"/>
      <c r="D55" s="384"/>
      <c r="E55" s="384"/>
      <c r="F55" s="384"/>
    </row>
    <row r="56" spans="1:6" ht="15">
      <c r="A56" s="388" t="s">
        <v>544</v>
      </c>
      <c r="B56" s="384"/>
      <c r="C56" s="384"/>
      <c r="D56" s="384"/>
      <c r="E56" s="384"/>
      <c r="F56" s="384"/>
    </row>
    <row r="57" spans="1:6" ht="15">
      <c r="A57" s="388" t="s">
        <v>545</v>
      </c>
      <c r="B57" s="384"/>
      <c r="C57" s="384"/>
      <c r="D57" s="384"/>
      <c r="E57" s="384"/>
      <c r="F57" s="384"/>
    </row>
    <row r="58" spans="1:6" ht="15">
      <c r="A58" s="388" t="s">
        <v>546</v>
      </c>
      <c r="B58" s="384"/>
      <c r="C58" s="384"/>
      <c r="D58" s="384"/>
      <c r="E58" s="384"/>
      <c r="F58" s="384"/>
    </row>
    <row r="59" spans="1:6" ht="15">
      <c r="A59" s="388" t="s">
        <v>547</v>
      </c>
      <c r="B59" s="384"/>
      <c r="C59" s="384"/>
      <c r="D59" s="384"/>
      <c r="E59" s="384"/>
      <c r="F59" s="384"/>
    </row>
    <row r="60" spans="1:6" ht="15">
      <c r="A60" s="388"/>
      <c r="B60" s="384"/>
      <c r="C60" s="384"/>
      <c r="D60" s="384"/>
      <c r="E60" s="384"/>
      <c r="F60" s="384"/>
    </row>
    <row r="61" spans="1:6" ht="15">
      <c r="A61" s="389" t="s">
        <v>548</v>
      </c>
      <c r="B61" s="384"/>
      <c r="C61" s="384"/>
      <c r="D61" s="384"/>
      <c r="E61" s="384"/>
      <c r="F61" s="384"/>
    </row>
    <row r="62" spans="1:6" ht="15">
      <c r="A62" s="389" t="s">
        <v>549</v>
      </c>
      <c r="B62" s="384"/>
      <c r="C62" s="384"/>
      <c r="D62" s="384"/>
      <c r="E62" s="384"/>
      <c r="F62" s="384"/>
    </row>
    <row r="63" spans="1:6" ht="15">
      <c r="A63" s="389" t="s">
        <v>550</v>
      </c>
      <c r="B63" s="384"/>
      <c r="C63" s="384"/>
      <c r="D63" s="384"/>
      <c r="E63" s="384"/>
      <c r="F63" s="384"/>
    </row>
    <row r="64" ht="15">
      <c r="A64" s="389" t="s">
        <v>551</v>
      </c>
    </row>
    <row r="65" ht="15">
      <c r="A65" s="389" t="s">
        <v>552</v>
      </c>
    </row>
    <row r="66" ht="15">
      <c r="A66" s="389" t="s">
        <v>553</v>
      </c>
    </row>
    <row r="68" ht="15">
      <c r="A68" s="384" t="s">
        <v>554</v>
      </c>
    </row>
    <row r="69" ht="15">
      <c r="A69" s="384" t="s">
        <v>555</v>
      </c>
    </row>
    <row r="70" ht="15">
      <c r="A70" s="384" t="s">
        <v>556</v>
      </c>
    </row>
    <row r="71" ht="15">
      <c r="A71" s="384" t="s">
        <v>557</v>
      </c>
    </row>
    <row r="72" ht="15">
      <c r="A72" s="384" t="s">
        <v>558</v>
      </c>
    </row>
    <row r="73" ht="15">
      <c r="A73" s="384" t="s">
        <v>559</v>
      </c>
    </row>
    <row r="75" ht="15">
      <c r="A75" s="384"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560</v>
      </c>
      <c r="B3" s="385"/>
      <c r="C3" s="385"/>
      <c r="D3" s="385"/>
      <c r="E3" s="385"/>
      <c r="F3" s="385"/>
      <c r="G3" s="385"/>
    </row>
    <row r="4" spans="1:7" ht="15">
      <c r="A4" s="385"/>
      <c r="B4" s="385"/>
      <c r="C4" s="385"/>
      <c r="D4" s="385"/>
      <c r="E4" s="385"/>
      <c r="F4" s="385"/>
      <c r="G4" s="385"/>
    </row>
    <row r="5" ht="15">
      <c r="A5" s="384" t="s">
        <v>409</v>
      </c>
    </row>
    <row r="6" ht="15">
      <c r="A6" s="384" t="str">
        <f>CONCATENATE(inputPrYr!C5," estimated expenditures show that at the end of this year")</f>
        <v>2014 estimated expenditures show that at the end of this year</v>
      </c>
    </row>
    <row r="7" ht="15">
      <c r="A7" s="384" t="s">
        <v>561</v>
      </c>
    </row>
    <row r="8" ht="15">
      <c r="A8" s="384" t="s">
        <v>562</v>
      </c>
    </row>
    <row r="10" ht="15">
      <c r="A10" t="s">
        <v>411</v>
      </c>
    </row>
    <row r="11" ht="15">
      <c r="A11" t="s">
        <v>412</v>
      </c>
    </row>
    <row r="12" ht="15">
      <c r="A12" t="s">
        <v>413</v>
      </c>
    </row>
    <row r="13" spans="1:7" ht="15">
      <c r="A13" s="385"/>
      <c r="B13" s="385"/>
      <c r="C13" s="385"/>
      <c r="D13" s="385"/>
      <c r="E13" s="385"/>
      <c r="F13" s="385"/>
      <c r="G13" s="385"/>
    </row>
    <row r="14" ht="15">
      <c r="A14" s="383" t="s">
        <v>563</v>
      </c>
    </row>
    <row r="15" ht="15">
      <c r="A15" s="384"/>
    </row>
    <row r="16" ht="15">
      <c r="A16" s="384" t="s">
        <v>564</v>
      </c>
    </row>
    <row r="17" ht="15">
      <c r="A17" s="384" t="s">
        <v>565</v>
      </c>
    </row>
    <row r="18" ht="15">
      <c r="A18" s="384" t="s">
        <v>566</v>
      </c>
    </row>
    <row r="19" ht="15">
      <c r="A19" s="384"/>
    </row>
    <row r="20" ht="15">
      <c r="A20" s="384" t="s">
        <v>567</v>
      </c>
    </row>
    <row r="21" ht="15">
      <c r="A21" s="384" t="s">
        <v>568</v>
      </c>
    </row>
    <row r="22" ht="15">
      <c r="A22" s="384" t="s">
        <v>569</v>
      </c>
    </row>
    <row r="23" ht="15">
      <c r="A23" s="384" t="s">
        <v>570</v>
      </c>
    </row>
    <row r="24" ht="15">
      <c r="A24" s="384"/>
    </row>
    <row r="25" ht="15">
      <c r="A25" s="383" t="s">
        <v>532</v>
      </c>
    </row>
    <row r="26" ht="15">
      <c r="A26" s="383"/>
    </row>
    <row r="27" ht="15">
      <c r="A27" s="384" t="s">
        <v>533</v>
      </c>
    </row>
    <row r="28" spans="1:6" ht="15">
      <c r="A28" s="384" t="s">
        <v>534</v>
      </c>
      <c r="B28" s="384"/>
      <c r="C28" s="384"/>
      <c r="D28" s="384"/>
      <c r="E28" s="384"/>
      <c r="F28" s="384"/>
    </row>
    <row r="29" spans="1:6" ht="15">
      <c r="A29" s="384" t="s">
        <v>535</v>
      </c>
      <c r="B29" s="384"/>
      <c r="C29" s="384"/>
      <c r="D29" s="384"/>
      <c r="E29" s="384"/>
      <c r="F29" s="384"/>
    </row>
    <row r="30" spans="1:6" ht="15">
      <c r="A30" s="384" t="s">
        <v>536</v>
      </c>
      <c r="B30" s="384"/>
      <c r="C30" s="384"/>
      <c r="D30" s="384"/>
      <c r="E30" s="384"/>
      <c r="F30" s="384"/>
    </row>
    <row r="31" ht="15">
      <c r="A31" s="384"/>
    </row>
    <row r="32" spans="1:7" ht="15">
      <c r="A32" s="383" t="s">
        <v>537</v>
      </c>
      <c r="B32" s="383"/>
      <c r="C32" s="383"/>
      <c r="D32" s="383"/>
      <c r="E32" s="383"/>
      <c r="F32" s="383"/>
      <c r="G32" s="383"/>
    </row>
    <row r="33" spans="1:7" ht="15">
      <c r="A33" s="383" t="s">
        <v>538</v>
      </c>
      <c r="B33" s="383"/>
      <c r="C33" s="383"/>
      <c r="D33" s="383"/>
      <c r="E33" s="383"/>
      <c r="F33" s="383"/>
      <c r="G33" s="383"/>
    </row>
    <row r="34" spans="1:7" ht="15">
      <c r="A34" s="383"/>
      <c r="B34" s="383"/>
      <c r="C34" s="383"/>
      <c r="D34" s="383"/>
      <c r="E34" s="383"/>
      <c r="F34" s="383"/>
      <c r="G34" s="383"/>
    </row>
    <row r="35" spans="1:7" ht="15">
      <c r="A35" s="384" t="s">
        <v>571</v>
      </c>
      <c r="B35" s="384"/>
      <c r="C35" s="384"/>
      <c r="D35" s="384"/>
      <c r="E35" s="384"/>
      <c r="F35" s="384"/>
      <c r="G35" s="384"/>
    </row>
    <row r="36" spans="1:7" ht="15">
      <c r="A36" s="384" t="s">
        <v>572</v>
      </c>
      <c r="B36" s="384"/>
      <c r="C36" s="384"/>
      <c r="D36" s="384"/>
      <c r="E36" s="384"/>
      <c r="F36" s="384"/>
      <c r="G36" s="384"/>
    </row>
    <row r="37" spans="1:7" ht="15">
      <c r="A37" s="384" t="s">
        <v>573</v>
      </c>
      <c r="B37" s="384"/>
      <c r="C37" s="384"/>
      <c r="D37" s="384"/>
      <c r="E37" s="384"/>
      <c r="F37" s="384"/>
      <c r="G37" s="384"/>
    </row>
    <row r="38" spans="1:7" ht="15">
      <c r="A38" s="384" t="s">
        <v>574</v>
      </c>
      <c r="B38" s="384"/>
      <c r="C38" s="384"/>
      <c r="D38" s="384"/>
      <c r="E38" s="384"/>
      <c r="F38" s="384"/>
      <c r="G38" s="384"/>
    </row>
    <row r="39" spans="1:7" ht="15">
      <c r="A39" s="384" t="s">
        <v>575</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539</v>
      </c>
      <c r="B42" s="384"/>
      <c r="C42" s="384"/>
      <c r="D42" s="384"/>
      <c r="E42" s="384"/>
      <c r="F42" s="384"/>
    </row>
    <row r="43" spans="1:6" ht="15">
      <c r="A43" s="388" t="s">
        <v>479</v>
      </c>
      <c r="B43" s="384"/>
      <c r="C43" s="384"/>
      <c r="D43" s="384"/>
      <c r="E43" s="384"/>
      <c r="F43" s="384"/>
    </row>
    <row r="44" spans="1:6" ht="15">
      <c r="A44" s="388" t="s">
        <v>480</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481</v>
      </c>
      <c r="B47" s="384"/>
      <c r="C47" s="384"/>
      <c r="D47" s="384"/>
      <c r="E47" s="384"/>
      <c r="F47" s="384"/>
    </row>
    <row r="48" spans="1:6" ht="15">
      <c r="A48" s="388" t="s">
        <v>482</v>
      </c>
      <c r="B48" s="384"/>
      <c r="C48" s="384"/>
      <c r="D48" s="384"/>
      <c r="E48" s="384"/>
      <c r="F48" s="384"/>
    </row>
    <row r="49" spans="1:7" ht="15">
      <c r="A49" s="384"/>
      <c r="B49" s="384"/>
      <c r="C49" s="384"/>
      <c r="D49" s="384"/>
      <c r="E49" s="384"/>
      <c r="F49" s="384"/>
      <c r="G49" s="384"/>
    </row>
    <row r="50" spans="1:7" ht="15">
      <c r="A50" s="384" t="s">
        <v>436</v>
      </c>
      <c r="B50" s="384"/>
      <c r="C50" s="384"/>
      <c r="D50" s="384"/>
      <c r="E50" s="384"/>
      <c r="F50" s="384"/>
      <c r="G50" s="384"/>
    </row>
    <row r="51" spans="1:7" ht="15">
      <c r="A51" s="384" t="s">
        <v>437</v>
      </c>
      <c r="B51" s="384"/>
      <c r="C51" s="384"/>
      <c r="D51" s="384"/>
      <c r="E51" s="384"/>
      <c r="F51" s="384"/>
      <c r="G51" s="384"/>
    </row>
    <row r="52" spans="1:7" ht="15">
      <c r="A52" s="384" t="s">
        <v>438</v>
      </c>
      <c r="B52" s="384"/>
      <c r="C52" s="384"/>
      <c r="D52" s="384"/>
      <c r="E52" s="384"/>
      <c r="F52" s="384"/>
      <c r="G52" s="384"/>
    </row>
    <row r="53" spans="1:7" ht="15">
      <c r="A53" s="384" t="s">
        <v>439</v>
      </c>
      <c r="B53" s="384"/>
      <c r="C53" s="384"/>
      <c r="D53" s="384"/>
      <c r="E53" s="384"/>
      <c r="F53" s="384"/>
      <c r="G53" s="384"/>
    </row>
    <row r="54" spans="1:7" ht="15">
      <c r="A54" s="384" t="s">
        <v>440</v>
      </c>
      <c r="B54" s="384"/>
      <c r="C54" s="384"/>
      <c r="D54" s="384"/>
      <c r="E54" s="384"/>
      <c r="F54" s="384"/>
      <c r="G54" s="384"/>
    </row>
    <row r="55" spans="1:7" ht="15">
      <c r="A55" s="384"/>
      <c r="B55" s="384"/>
      <c r="C55" s="384"/>
      <c r="D55" s="384"/>
      <c r="E55" s="384"/>
      <c r="F55" s="384"/>
      <c r="G55" s="384"/>
    </row>
    <row r="56" spans="1:6" ht="15">
      <c r="A56" s="388" t="s">
        <v>491</v>
      </c>
      <c r="B56" s="384"/>
      <c r="C56" s="384"/>
      <c r="D56" s="384"/>
      <c r="E56" s="384"/>
      <c r="F56" s="384"/>
    </row>
    <row r="57" spans="1:6" ht="15">
      <c r="A57" s="388" t="s">
        <v>492</v>
      </c>
      <c r="B57" s="384"/>
      <c r="C57" s="384"/>
      <c r="D57" s="384"/>
      <c r="E57" s="384"/>
      <c r="F57" s="384"/>
    </row>
    <row r="58" spans="1:6" ht="15">
      <c r="A58" s="388" t="s">
        <v>493</v>
      </c>
      <c r="B58" s="384"/>
      <c r="C58" s="384"/>
      <c r="D58" s="384"/>
      <c r="E58" s="384"/>
      <c r="F58" s="384"/>
    </row>
    <row r="59" spans="1:6" ht="15">
      <c r="A59" s="388"/>
      <c r="B59" s="384"/>
      <c r="C59" s="384"/>
      <c r="D59" s="384"/>
      <c r="E59" s="384"/>
      <c r="F59" s="384"/>
    </row>
    <row r="60" spans="1:7" ht="15">
      <c r="A60" s="384" t="s">
        <v>576</v>
      </c>
      <c r="B60" s="384"/>
      <c r="C60" s="384"/>
      <c r="D60" s="384"/>
      <c r="E60" s="384"/>
      <c r="F60" s="384"/>
      <c r="G60" s="384"/>
    </row>
    <row r="61" spans="1:7" ht="15">
      <c r="A61" s="384" t="s">
        <v>577</v>
      </c>
      <c r="B61" s="384"/>
      <c r="C61" s="384"/>
      <c r="D61" s="384"/>
      <c r="E61" s="384"/>
      <c r="F61" s="384"/>
      <c r="G61" s="384"/>
    </row>
    <row r="62" spans="1:7" ht="15">
      <c r="A62" s="384" t="s">
        <v>578</v>
      </c>
      <c r="B62" s="384"/>
      <c r="C62" s="384"/>
      <c r="D62" s="384"/>
      <c r="E62" s="384"/>
      <c r="F62" s="384"/>
      <c r="G62" s="384"/>
    </row>
    <row r="63" spans="1:7" ht="15">
      <c r="A63" s="384" t="s">
        <v>579</v>
      </c>
      <c r="B63" s="384"/>
      <c r="C63" s="384"/>
      <c r="D63" s="384"/>
      <c r="E63" s="384"/>
      <c r="F63" s="384"/>
      <c r="G63" s="384"/>
    </row>
    <row r="64" spans="1:7" ht="15">
      <c r="A64" s="384" t="s">
        <v>580</v>
      </c>
      <c r="B64" s="384"/>
      <c r="C64" s="384"/>
      <c r="D64" s="384"/>
      <c r="E64" s="384"/>
      <c r="F64" s="384"/>
      <c r="G64" s="384"/>
    </row>
    <row r="66" spans="1:6" ht="15">
      <c r="A66" s="388" t="s">
        <v>543</v>
      </c>
      <c r="B66" s="384"/>
      <c r="C66" s="384"/>
      <c r="D66" s="384"/>
      <c r="E66" s="384"/>
      <c r="F66" s="384"/>
    </row>
    <row r="67" spans="1:6" ht="15">
      <c r="A67" s="388" t="s">
        <v>544</v>
      </c>
      <c r="B67" s="384"/>
      <c r="C67" s="384"/>
      <c r="D67" s="384"/>
      <c r="E67" s="384"/>
      <c r="F67" s="384"/>
    </row>
    <row r="68" spans="1:6" ht="15">
      <c r="A68" s="388" t="s">
        <v>545</v>
      </c>
      <c r="B68" s="384"/>
      <c r="C68" s="384"/>
      <c r="D68" s="384"/>
      <c r="E68" s="384"/>
      <c r="F68" s="384"/>
    </row>
    <row r="69" spans="1:6" ht="15">
      <c r="A69" s="388" t="s">
        <v>546</v>
      </c>
      <c r="B69" s="384"/>
      <c r="C69" s="384"/>
      <c r="D69" s="384"/>
      <c r="E69" s="384"/>
      <c r="F69" s="384"/>
    </row>
    <row r="70" spans="1:6" ht="15">
      <c r="A70" s="388" t="s">
        <v>547</v>
      </c>
      <c r="B70" s="384"/>
      <c r="C70" s="384"/>
      <c r="D70" s="384"/>
      <c r="E70" s="384"/>
      <c r="F70" s="384"/>
    </row>
    <row r="71" ht="15">
      <c r="A71" s="384"/>
    </row>
    <row r="72" ht="15">
      <c r="A72" s="384" t="s">
        <v>463</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581</v>
      </c>
      <c r="B3" s="385"/>
      <c r="C3" s="385"/>
      <c r="D3" s="385"/>
      <c r="E3" s="385"/>
      <c r="F3" s="385"/>
      <c r="G3" s="385"/>
    </row>
    <row r="4" spans="1:7" ht="15">
      <c r="A4" s="385" t="s">
        <v>582</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465</v>
      </c>
    </row>
    <row r="8" ht="15">
      <c r="A8" s="384" t="str">
        <f>CONCATENATE("estimated ",inputPrYr!C5," 'total expenditures' exceed your ",inputPrYr!C5,"")</f>
        <v>estimated 2014 'total expenditures' exceed your 2014</v>
      </c>
    </row>
    <row r="9" ht="15">
      <c r="A9" s="387" t="s">
        <v>583</v>
      </c>
    </row>
    <row r="10" ht="15">
      <c r="A10" s="384"/>
    </row>
    <row r="11" ht="15">
      <c r="A11" s="384" t="s">
        <v>584</v>
      </c>
    </row>
    <row r="12" ht="15">
      <c r="A12" s="384" t="s">
        <v>585</v>
      </c>
    </row>
    <row r="13" ht="15">
      <c r="A13" s="384" t="s">
        <v>586</v>
      </c>
    </row>
    <row r="14" ht="15">
      <c r="A14" s="384"/>
    </row>
    <row r="15" ht="15">
      <c r="A15" s="383" t="s">
        <v>587</v>
      </c>
    </row>
    <row r="16" spans="1:7" ht="15">
      <c r="A16" s="385"/>
      <c r="B16" s="385"/>
      <c r="C16" s="385"/>
      <c r="D16" s="385"/>
      <c r="E16" s="385"/>
      <c r="F16" s="385"/>
      <c r="G16" s="385"/>
    </row>
    <row r="17" spans="1:8" ht="15">
      <c r="A17" s="390" t="s">
        <v>588</v>
      </c>
      <c r="B17" s="373"/>
      <c r="C17" s="373"/>
      <c r="D17" s="373"/>
      <c r="E17" s="373"/>
      <c r="F17" s="373"/>
      <c r="G17" s="373"/>
      <c r="H17" s="373"/>
    </row>
    <row r="18" spans="1:7" ht="15">
      <c r="A18" s="384" t="s">
        <v>589</v>
      </c>
      <c r="B18" s="391"/>
      <c r="C18" s="391"/>
      <c r="D18" s="391"/>
      <c r="E18" s="391"/>
      <c r="F18" s="391"/>
      <c r="G18" s="391"/>
    </row>
    <row r="19" ht="15">
      <c r="A19" s="384" t="s">
        <v>590</v>
      </c>
    </row>
    <row r="20" ht="15">
      <c r="A20" s="384" t="s">
        <v>591</v>
      </c>
    </row>
    <row r="22" ht="15">
      <c r="A22" s="383" t="s">
        <v>592</v>
      </c>
    </row>
    <row r="24" ht="15">
      <c r="A24" s="384" t="s">
        <v>593</v>
      </c>
    </row>
    <row r="25" ht="15">
      <c r="A25" s="384" t="s">
        <v>594</v>
      </c>
    </row>
    <row r="26" ht="15">
      <c r="A26" s="384" t="s">
        <v>595</v>
      </c>
    </row>
    <row r="28" ht="15">
      <c r="A28" s="383" t="s">
        <v>596</v>
      </c>
    </row>
    <row r="30" ht="15">
      <c r="A30" t="s">
        <v>597</v>
      </c>
    </row>
    <row r="31" ht="15">
      <c r="A31" t="s">
        <v>598</v>
      </c>
    </row>
    <row r="32" ht="15">
      <c r="A32" t="s">
        <v>599</v>
      </c>
    </row>
    <row r="33" ht="15">
      <c r="A33" s="384" t="s">
        <v>600</v>
      </c>
    </row>
    <row r="35" ht="15">
      <c r="A35" t="s">
        <v>601</v>
      </c>
    </row>
    <row r="36" ht="15">
      <c r="A36" t="s">
        <v>602</v>
      </c>
    </row>
    <row r="37" ht="15">
      <c r="A37" t="s">
        <v>603</v>
      </c>
    </row>
    <row r="38" ht="15">
      <c r="A38" t="s">
        <v>604</v>
      </c>
    </row>
    <row r="40" ht="15">
      <c r="A40" t="s">
        <v>605</v>
      </c>
    </row>
    <row r="41" ht="15">
      <c r="A41" t="s">
        <v>606</v>
      </c>
    </row>
    <row r="42" ht="15">
      <c r="A42" t="s">
        <v>607</v>
      </c>
    </row>
    <row r="43" ht="15">
      <c r="A43" t="s">
        <v>608</v>
      </c>
    </row>
    <row r="44" ht="15">
      <c r="A44" t="s">
        <v>609</v>
      </c>
    </row>
    <row r="45" ht="15">
      <c r="A45" t="s">
        <v>610</v>
      </c>
    </row>
    <row r="47" ht="15">
      <c r="A47" t="s">
        <v>611</v>
      </c>
    </row>
    <row r="48" ht="15">
      <c r="A48" t="s">
        <v>612</v>
      </c>
    </row>
    <row r="49" ht="15">
      <c r="A49" s="384" t="s">
        <v>613</v>
      </c>
    </row>
    <row r="50" ht="15">
      <c r="A50" s="384" t="s">
        <v>614</v>
      </c>
    </row>
    <row r="52" ht="15">
      <c r="A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37">
      <selection activeCell="A10" sqref="A1:IV16384"/>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17" t="s">
        <v>671</v>
      </c>
      <c r="C6" s="827"/>
      <c r="D6" s="827"/>
      <c r="E6" s="827"/>
      <c r="F6" s="827"/>
      <c r="G6" s="827"/>
      <c r="H6" s="827"/>
      <c r="I6" s="827"/>
      <c r="J6" s="827"/>
      <c r="K6" s="827"/>
      <c r="L6" s="567"/>
    </row>
    <row r="7" spans="1:12" ht="40.5" customHeight="1">
      <c r="A7" s="566"/>
      <c r="B7" s="828" t="s">
        <v>672</v>
      </c>
      <c r="C7" s="829"/>
      <c r="D7" s="829"/>
      <c r="E7" s="829"/>
      <c r="F7" s="829"/>
      <c r="G7" s="829"/>
      <c r="H7" s="829"/>
      <c r="I7" s="829"/>
      <c r="J7" s="829"/>
      <c r="K7" s="829"/>
      <c r="L7" s="566"/>
    </row>
    <row r="8" spans="1:12" ht="14.25">
      <c r="A8" s="566"/>
      <c r="B8" s="826" t="s">
        <v>673</v>
      </c>
      <c r="C8" s="826"/>
      <c r="D8" s="826"/>
      <c r="E8" s="826"/>
      <c r="F8" s="826"/>
      <c r="G8" s="826"/>
      <c r="H8" s="826"/>
      <c r="I8" s="826"/>
      <c r="J8" s="826"/>
      <c r="K8" s="826"/>
      <c r="L8" s="566"/>
    </row>
    <row r="9" spans="1:12" ht="14.25">
      <c r="A9" s="566"/>
      <c r="L9" s="566"/>
    </row>
    <row r="10" spans="1:12" ht="14.25">
      <c r="A10" s="566"/>
      <c r="B10" s="826" t="s">
        <v>674</v>
      </c>
      <c r="C10" s="826"/>
      <c r="D10" s="826"/>
      <c r="E10" s="826"/>
      <c r="F10" s="826"/>
      <c r="G10" s="826"/>
      <c r="H10" s="826"/>
      <c r="I10" s="826"/>
      <c r="J10" s="826"/>
      <c r="K10" s="826"/>
      <c r="L10" s="566"/>
    </row>
    <row r="11" spans="1:12" ht="14.25">
      <c r="A11" s="566"/>
      <c r="B11" s="583"/>
      <c r="C11" s="583"/>
      <c r="D11" s="583"/>
      <c r="E11" s="583"/>
      <c r="F11" s="583"/>
      <c r="G11" s="583"/>
      <c r="H11" s="583"/>
      <c r="I11" s="583"/>
      <c r="J11" s="583"/>
      <c r="K11" s="583"/>
      <c r="L11" s="566"/>
    </row>
    <row r="12" spans="1:12" ht="32.25" customHeight="1">
      <c r="A12" s="566"/>
      <c r="B12" s="821" t="s">
        <v>675</v>
      </c>
      <c r="C12" s="821"/>
      <c r="D12" s="821"/>
      <c r="E12" s="821"/>
      <c r="F12" s="821"/>
      <c r="G12" s="821"/>
      <c r="H12" s="821"/>
      <c r="I12" s="821"/>
      <c r="J12" s="821"/>
      <c r="K12" s="821"/>
      <c r="L12" s="566"/>
    </row>
    <row r="13" spans="1:12" ht="14.25">
      <c r="A13" s="566"/>
      <c r="L13" s="566"/>
    </row>
    <row r="14" spans="1:12" ht="14.25">
      <c r="A14" s="566"/>
      <c r="B14" s="513" t="s">
        <v>676</v>
      </c>
      <c r="L14" s="566"/>
    </row>
    <row r="15" spans="1:12" ht="14.25">
      <c r="A15" s="566"/>
      <c r="L15" s="566"/>
    </row>
    <row r="16" spans="1:12" ht="14.25">
      <c r="A16" s="566"/>
      <c r="B16" s="519" t="s">
        <v>677</v>
      </c>
      <c r="L16" s="566"/>
    </row>
    <row r="17" spans="1:12" ht="14.25">
      <c r="A17" s="566"/>
      <c r="B17" s="519" t="s">
        <v>678</v>
      </c>
      <c r="L17" s="566"/>
    </row>
    <row r="18" spans="1:12" ht="14.25">
      <c r="A18" s="566"/>
      <c r="L18" s="566"/>
    </row>
    <row r="19" spans="1:12" ht="14.25">
      <c r="A19" s="566"/>
      <c r="B19" s="513" t="s">
        <v>825</v>
      </c>
      <c r="L19" s="566"/>
    </row>
    <row r="20" spans="1:12" ht="14.25">
      <c r="A20" s="566"/>
      <c r="B20" s="513"/>
      <c r="L20" s="566"/>
    </row>
    <row r="21" spans="1:12" ht="14.25">
      <c r="A21" s="566"/>
      <c r="B21" s="519" t="s">
        <v>826</v>
      </c>
      <c r="L21" s="566"/>
    </row>
    <row r="22" spans="1:12" ht="14.25">
      <c r="A22" s="566"/>
      <c r="L22" s="566"/>
    </row>
    <row r="23" spans="1:12" ht="14.25">
      <c r="A23" s="566"/>
      <c r="B23" s="519" t="s">
        <v>679</v>
      </c>
      <c r="E23" s="519" t="s">
        <v>680</v>
      </c>
      <c r="F23" s="819">
        <v>312000000</v>
      </c>
      <c r="G23" s="819"/>
      <c r="L23" s="566"/>
    </row>
    <row r="24" spans="1:12" ht="14.25">
      <c r="A24" s="566"/>
      <c r="L24" s="566"/>
    </row>
    <row r="25" spans="1:12" ht="14.25">
      <c r="A25" s="566"/>
      <c r="C25" s="830">
        <f>F23</f>
        <v>312000000</v>
      </c>
      <c r="D25" s="830"/>
      <c r="E25" s="519" t="s">
        <v>681</v>
      </c>
      <c r="F25" s="520">
        <v>1000</v>
      </c>
      <c r="G25" s="520" t="s">
        <v>680</v>
      </c>
      <c r="H25" s="584">
        <f>F23/F25</f>
        <v>312000</v>
      </c>
      <c r="L25" s="566"/>
    </row>
    <row r="26" spans="1:12" ht="15" thickBot="1">
      <c r="A26" s="566"/>
      <c r="L26" s="566"/>
    </row>
    <row r="27" spans="1:12" ht="14.25">
      <c r="A27" s="566"/>
      <c r="B27" s="514" t="s">
        <v>676</v>
      </c>
      <c r="C27" s="521"/>
      <c r="D27" s="521"/>
      <c r="E27" s="521"/>
      <c r="F27" s="521"/>
      <c r="G27" s="521"/>
      <c r="H27" s="521"/>
      <c r="I27" s="521"/>
      <c r="J27" s="521"/>
      <c r="K27" s="522"/>
      <c r="L27" s="566"/>
    </row>
    <row r="28" spans="1:12" ht="14.25">
      <c r="A28" s="566"/>
      <c r="B28" s="523">
        <f>F23</f>
        <v>312000000</v>
      </c>
      <c r="C28" s="524" t="s">
        <v>682</v>
      </c>
      <c r="D28" s="524"/>
      <c r="E28" s="524" t="s">
        <v>681</v>
      </c>
      <c r="F28" s="588">
        <v>1000</v>
      </c>
      <c r="G28" s="588" t="s">
        <v>680</v>
      </c>
      <c r="H28" s="525">
        <f>B28/F28</f>
        <v>312000</v>
      </c>
      <c r="I28" s="524" t="s">
        <v>683</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24" t="s">
        <v>672</v>
      </c>
      <c r="C30" s="824"/>
      <c r="D30" s="824"/>
      <c r="E30" s="824"/>
      <c r="F30" s="824"/>
      <c r="G30" s="824"/>
      <c r="H30" s="824"/>
      <c r="I30" s="824"/>
      <c r="J30" s="824"/>
      <c r="K30" s="824"/>
      <c r="L30" s="566"/>
    </row>
    <row r="31" spans="1:12" ht="14.25">
      <c r="A31" s="566"/>
      <c r="B31" s="826" t="s">
        <v>684</v>
      </c>
      <c r="C31" s="826"/>
      <c r="D31" s="826"/>
      <c r="E31" s="826"/>
      <c r="F31" s="826"/>
      <c r="G31" s="826"/>
      <c r="H31" s="826"/>
      <c r="I31" s="826"/>
      <c r="J31" s="826"/>
      <c r="K31" s="826"/>
      <c r="L31" s="566"/>
    </row>
    <row r="32" spans="1:12" ht="14.25">
      <c r="A32" s="566"/>
      <c r="L32" s="566"/>
    </row>
    <row r="33" spans="1:12" ht="14.25">
      <c r="A33" s="566"/>
      <c r="B33" s="826" t="s">
        <v>685</v>
      </c>
      <c r="C33" s="826"/>
      <c r="D33" s="826"/>
      <c r="E33" s="826"/>
      <c r="F33" s="826"/>
      <c r="G33" s="826"/>
      <c r="H33" s="826"/>
      <c r="I33" s="826"/>
      <c r="J33" s="826"/>
      <c r="K33" s="826"/>
      <c r="L33" s="566"/>
    </row>
    <row r="34" spans="1:12" ht="14.25">
      <c r="A34" s="566"/>
      <c r="L34" s="566"/>
    </row>
    <row r="35" spans="1:12" ht="89.25" customHeight="1">
      <c r="A35" s="566"/>
      <c r="B35" s="821" t="s">
        <v>686</v>
      </c>
      <c r="C35" s="825"/>
      <c r="D35" s="825"/>
      <c r="E35" s="825"/>
      <c r="F35" s="825"/>
      <c r="G35" s="825"/>
      <c r="H35" s="825"/>
      <c r="I35" s="825"/>
      <c r="J35" s="825"/>
      <c r="K35" s="825"/>
      <c r="L35" s="566"/>
    </row>
    <row r="36" spans="1:12" ht="14.25">
      <c r="A36" s="566"/>
      <c r="L36" s="566"/>
    </row>
    <row r="37" spans="1:12" ht="14.25">
      <c r="A37" s="566"/>
      <c r="B37" s="513" t="s">
        <v>687</v>
      </c>
      <c r="L37" s="566"/>
    </row>
    <row r="38" spans="1:12" ht="14.25">
      <c r="A38" s="566"/>
      <c r="L38" s="566"/>
    </row>
    <row r="39" spans="1:12" ht="14.25">
      <c r="A39" s="566"/>
      <c r="B39" s="519" t="s">
        <v>720</v>
      </c>
      <c r="L39" s="566"/>
    </row>
    <row r="40" spans="1:12" ht="14.25">
      <c r="A40" s="566"/>
      <c r="L40" s="566"/>
    </row>
    <row r="41" spans="1:12" ht="14.25">
      <c r="A41" s="566"/>
      <c r="C41" s="831">
        <v>312000000</v>
      </c>
      <c r="D41" s="831"/>
      <c r="E41" s="519" t="s">
        <v>681</v>
      </c>
      <c r="F41" s="520">
        <v>1000</v>
      </c>
      <c r="G41" s="520" t="s">
        <v>680</v>
      </c>
      <c r="H41" s="530">
        <f>C41/F41</f>
        <v>312000</v>
      </c>
      <c r="L41" s="566"/>
    </row>
    <row r="42" spans="1:12" ht="14.25">
      <c r="A42" s="566"/>
      <c r="L42" s="566"/>
    </row>
    <row r="43" spans="1:12" ht="14.25">
      <c r="A43" s="566"/>
      <c r="B43" s="519" t="s">
        <v>721</v>
      </c>
      <c r="L43" s="566"/>
    </row>
    <row r="44" spans="1:12" ht="14.25">
      <c r="A44" s="566"/>
      <c r="L44" s="566"/>
    </row>
    <row r="45" spans="1:12" ht="14.25">
      <c r="A45" s="566"/>
      <c r="B45" s="519" t="s">
        <v>688</v>
      </c>
      <c r="L45" s="566"/>
    </row>
    <row r="46" spans="1:12" ht="15" thickBot="1">
      <c r="A46" s="566"/>
      <c r="L46" s="566"/>
    </row>
    <row r="47" spans="1:12" ht="14.25">
      <c r="A47" s="566"/>
      <c r="B47" s="531" t="s">
        <v>676</v>
      </c>
      <c r="C47" s="521"/>
      <c r="D47" s="521"/>
      <c r="E47" s="521"/>
      <c r="F47" s="521"/>
      <c r="G47" s="521"/>
      <c r="H47" s="521"/>
      <c r="I47" s="521"/>
      <c r="J47" s="521"/>
      <c r="K47" s="522"/>
      <c r="L47" s="566"/>
    </row>
    <row r="48" spans="1:12" ht="14.25">
      <c r="A48" s="566"/>
      <c r="B48" s="832">
        <v>312000000</v>
      </c>
      <c r="C48" s="819"/>
      <c r="D48" s="524" t="s">
        <v>689</v>
      </c>
      <c r="E48" s="524" t="s">
        <v>681</v>
      </c>
      <c r="F48" s="626">
        <v>1000</v>
      </c>
      <c r="G48" s="626" t="s">
        <v>680</v>
      </c>
      <c r="H48" s="525">
        <f>B48/F48</f>
        <v>312000</v>
      </c>
      <c r="I48" s="524" t="s">
        <v>690</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691</v>
      </c>
      <c r="D50" s="524"/>
      <c r="E50" s="524" t="s">
        <v>681</v>
      </c>
      <c r="F50" s="525">
        <f>H48</f>
        <v>312000</v>
      </c>
      <c r="G50" s="833" t="s">
        <v>692</v>
      </c>
      <c r="H50" s="834"/>
      <c r="I50" s="626" t="s">
        <v>680</v>
      </c>
      <c r="J50" s="534">
        <f>B50/F50</f>
        <v>0.16025641025641027</v>
      </c>
      <c r="K50" s="526"/>
      <c r="L50" s="566"/>
    </row>
    <row r="51" spans="1:15" ht="15" thickBot="1">
      <c r="A51" s="566"/>
      <c r="B51" s="527"/>
      <c r="C51" s="528"/>
      <c r="D51" s="528"/>
      <c r="E51" s="528"/>
      <c r="F51" s="528"/>
      <c r="G51" s="528"/>
      <c r="H51" s="528"/>
      <c r="I51" s="835" t="s">
        <v>693</v>
      </c>
      <c r="J51" s="835"/>
      <c r="K51" s="836"/>
      <c r="L51" s="566"/>
      <c r="O51" s="603"/>
    </row>
    <row r="52" spans="1:12" ht="40.5" customHeight="1">
      <c r="A52" s="566"/>
      <c r="B52" s="824" t="s">
        <v>672</v>
      </c>
      <c r="C52" s="824"/>
      <c r="D52" s="824"/>
      <c r="E52" s="824"/>
      <c r="F52" s="824"/>
      <c r="G52" s="824"/>
      <c r="H52" s="824"/>
      <c r="I52" s="824"/>
      <c r="J52" s="824"/>
      <c r="K52" s="824"/>
      <c r="L52" s="566"/>
    </row>
    <row r="53" spans="1:12" ht="14.25">
      <c r="A53" s="566"/>
      <c r="B53" s="826" t="s">
        <v>694</v>
      </c>
      <c r="C53" s="826"/>
      <c r="D53" s="826"/>
      <c r="E53" s="826"/>
      <c r="F53" s="826"/>
      <c r="G53" s="826"/>
      <c r="H53" s="826"/>
      <c r="I53" s="826"/>
      <c r="J53" s="826"/>
      <c r="K53" s="826"/>
      <c r="L53" s="566"/>
    </row>
    <row r="54" spans="1:12" ht="14.25">
      <c r="A54" s="566"/>
      <c r="B54" s="583"/>
      <c r="C54" s="583"/>
      <c r="D54" s="583"/>
      <c r="E54" s="583"/>
      <c r="F54" s="583"/>
      <c r="G54" s="583"/>
      <c r="H54" s="583"/>
      <c r="I54" s="583"/>
      <c r="J54" s="583"/>
      <c r="K54" s="583"/>
      <c r="L54" s="566"/>
    </row>
    <row r="55" spans="1:12" ht="14.25">
      <c r="A55" s="566"/>
      <c r="B55" s="817" t="s">
        <v>695</v>
      </c>
      <c r="C55" s="817"/>
      <c r="D55" s="817"/>
      <c r="E55" s="817"/>
      <c r="F55" s="817"/>
      <c r="G55" s="817"/>
      <c r="H55" s="817"/>
      <c r="I55" s="817"/>
      <c r="J55" s="817"/>
      <c r="K55" s="817"/>
      <c r="L55" s="566"/>
    </row>
    <row r="56" spans="1:12" ht="15" customHeight="1">
      <c r="A56" s="566"/>
      <c r="L56" s="566"/>
    </row>
    <row r="57" spans="1:24" ht="74.25" customHeight="1">
      <c r="A57" s="566"/>
      <c r="B57" s="821" t="s">
        <v>696</v>
      </c>
      <c r="C57" s="825"/>
      <c r="D57" s="825"/>
      <c r="E57" s="825"/>
      <c r="F57" s="825"/>
      <c r="G57" s="825"/>
      <c r="H57" s="825"/>
      <c r="I57" s="825"/>
      <c r="J57" s="825"/>
      <c r="K57" s="825"/>
      <c r="L57" s="566"/>
      <c r="M57" s="515"/>
      <c r="N57" s="535"/>
      <c r="O57" s="535"/>
      <c r="P57" s="535"/>
      <c r="Q57" s="535"/>
      <c r="R57" s="535"/>
      <c r="S57" s="535"/>
      <c r="T57" s="535"/>
      <c r="U57" s="535"/>
      <c r="V57" s="535"/>
      <c r="W57" s="535"/>
      <c r="X57" s="535"/>
    </row>
    <row r="58" spans="1:24" ht="15" customHeight="1">
      <c r="A58" s="566"/>
      <c r="B58" s="821"/>
      <c r="C58" s="825"/>
      <c r="D58" s="825"/>
      <c r="E58" s="825"/>
      <c r="F58" s="825"/>
      <c r="G58" s="825"/>
      <c r="H58" s="825"/>
      <c r="I58" s="825"/>
      <c r="J58" s="825"/>
      <c r="K58" s="825"/>
      <c r="L58" s="566"/>
      <c r="M58" s="515"/>
      <c r="N58" s="535"/>
      <c r="O58" s="535"/>
      <c r="P58" s="535"/>
      <c r="Q58" s="535"/>
      <c r="R58" s="535"/>
      <c r="S58" s="535"/>
      <c r="T58" s="535"/>
      <c r="U58" s="535"/>
      <c r="V58" s="535"/>
      <c r="W58" s="535"/>
      <c r="X58" s="535"/>
    </row>
    <row r="59" spans="1:24" ht="14.25">
      <c r="A59" s="566"/>
      <c r="B59" s="513" t="s">
        <v>687</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722</v>
      </c>
      <c r="L61" s="566"/>
      <c r="M61" s="535"/>
      <c r="N61" s="535"/>
      <c r="O61" s="535"/>
      <c r="P61" s="535"/>
      <c r="Q61" s="535"/>
      <c r="R61" s="535"/>
      <c r="S61" s="535"/>
      <c r="T61" s="535"/>
      <c r="U61" s="535"/>
      <c r="V61" s="535"/>
      <c r="W61" s="535"/>
      <c r="X61" s="535"/>
    </row>
    <row r="62" spans="1:24" ht="14.25">
      <c r="A62" s="566"/>
      <c r="B62" s="519" t="s">
        <v>827</v>
      </c>
      <c r="L62" s="566"/>
      <c r="M62" s="535"/>
      <c r="N62" s="535"/>
      <c r="O62" s="535"/>
      <c r="P62" s="535"/>
      <c r="Q62" s="535"/>
      <c r="R62" s="535"/>
      <c r="S62" s="535"/>
      <c r="T62" s="535"/>
      <c r="U62" s="535"/>
      <c r="V62" s="535"/>
      <c r="W62" s="535"/>
      <c r="X62" s="535"/>
    </row>
    <row r="63" spans="1:24" ht="14.25">
      <c r="A63" s="566"/>
      <c r="B63" s="519" t="s">
        <v>828</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723</v>
      </c>
      <c r="L65" s="566"/>
      <c r="M65" s="535"/>
      <c r="N65" s="535"/>
      <c r="O65" s="535"/>
      <c r="P65" s="535"/>
      <c r="Q65" s="535"/>
      <c r="R65" s="535"/>
      <c r="S65" s="535"/>
      <c r="T65" s="535"/>
      <c r="U65" s="535"/>
      <c r="V65" s="535"/>
      <c r="W65" s="535"/>
      <c r="X65" s="535"/>
    </row>
    <row r="66" spans="1:24" ht="14.25">
      <c r="A66" s="566"/>
      <c r="B66" s="519" t="s">
        <v>697</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724</v>
      </c>
      <c r="L68" s="566"/>
      <c r="M68" s="516"/>
      <c r="N68" s="536"/>
      <c r="O68" s="536"/>
      <c r="P68" s="536"/>
      <c r="Q68" s="536"/>
      <c r="R68" s="536"/>
      <c r="S68" s="536"/>
      <c r="T68" s="536"/>
      <c r="U68" s="536"/>
      <c r="V68" s="536"/>
      <c r="W68" s="536"/>
      <c r="X68" s="535"/>
    </row>
    <row r="69" spans="1:24" ht="14.25">
      <c r="A69" s="566"/>
      <c r="B69" s="519" t="s">
        <v>829</v>
      </c>
      <c r="L69" s="566"/>
      <c r="M69" s="535"/>
      <c r="N69" s="535"/>
      <c r="O69" s="535"/>
      <c r="P69" s="535"/>
      <c r="Q69" s="535"/>
      <c r="R69" s="535"/>
      <c r="S69" s="535"/>
      <c r="T69" s="535"/>
      <c r="U69" s="535"/>
      <c r="V69" s="535"/>
      <c r="W69" s="535"/>
      <c r="X69" s="535"/>
    </row>
    <row r="70" spans="1:24" ht="14.25">
      <c r="A70" s="566"/>
      <c r="B70" s="519" t="s">
        <v>830</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676</v>
      </c>
      <c r="C72" s="521"/>
      <c r="D72" s="521"/>
      <c r="E72" s="521"/>
      <c r="F72" s="521"/>
      <c r="G72" s="521"/>
      <c r="H72" s="521"/>
      <c r="I72" s="521"/>
      <c r="J72" s="521"/>
      <c r="K72" s="522"/>
      <c r="L72" s="568"/>
    </row>
    <row r="73" spans="1:12" ht="14.25">
      <c r="A73" s="566"/>
      <c r="B73" s="532"/>
      <c r="C73" s="524" t="s">
        <v>682</v>
      </c>
      <c r="D73" s="524"/>
      <c r="E73" s="524"/>
      <c r="F73" s="524"/>
      <c r="G73" s="524"/>
      <c r="H73" s="524"/>
      <c r="I73" s="524"/>
      <c r="J73" s="524"/>
      <c r="K73" s="526"/>
      <c r="L73" s="568"/>
    </row>
    <row r="74" spans="1:12" ht="14.25">
      <c r="A74" s="566"/>
      <c r="B74" s="532" t="s">
        <v>698</v>
      </c>
      <c r="C74" s="819">
        <v>312000000</v>
      </c>
      <c r="D74" s="819"/>
      <c r="E74" s="588" t="s">
        <v>681</v>
      </c>
      <c r="F74" s="588">
        <v>1000</v>
      </c>
      <c r="G74" s="588" t="s">
        <v>680</v>
      </c>
      <c r="H74" s="589">
        <f>C74/F74</f>
        <v>312000</v>
      </c>
      <c r="I74" s="524" t="s">
        <v>699</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700</v>
      </c>
      <c r="D76" s="524"/>
      <c r="E76" s="588"/>
      <c r="F76" s="524" t="s">
        <v>699</v>
      </c>
      <c r="G76" s="524"/>
      <c r="H76" s="524"/>
      <c r="I76" s="524"/>
      <c r="J76" s="524"/>
      <c r="K76" s="526"/>
      <c r="L76" s="568"/>
    </row>
    <row r="77" spans="1:12" ht="14.25">
      <c r="A77" s="566"/>
      <c r="B77" s="532" t="s">
        <v>703</v>
      </c>
      <c r="C77" s="819">
        <v>50000</v>
      </c>
      <c r="D77" s="819"/>
      <c r="E77" s="588" t="s">
        <v>681</v>
      </c>
      <c r="F77" s="589">
        <f>H74</f>
        <v>312000</v>
      </c>
      <c r="G77" s="588" t="s">
        <v>680</v>
      </c>
      <c r="H77" s="534">
        <f>C77/F77</f>
        <v>0.16025641025641027</v>
      </c>
      <c r="I77" s="524" t="s">
        <v>701</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702</v>
      </c>
      <c r="D79" s="538"/>
      <c r="E79" s="590"/>
      <c r="F79" s="538"/>
      <c r="G79" s="538"/>
      <c r="H79" s="538"/>
      <c r="I79" s="538"/>
      <c r="J79" s="538"/>
      <c r="K79" s="539"/>
      <c r="L79" s="568"/>
    </row>
    <row r="80" spans="1:12" ht="14.25">
      <c r="A80" s="566"/>
      <c r="B80" s="532" t="s">
        <v>780</v>
      </c>
      <c r="C80" s="819">
        <v>100000</v>
      </c>
      <c r="D80" s="819"/>
      <c r="E80" s="588" t="s">
        <v>153</v>
      </c>
      <c r="F80" s="588">
        <v>0.115</v>
      </c>
      <c r="G80" s="588" t="s">
        <v>680</v>
      </c>
      <c r="H80" s="589">
        <f>C80*F80</f>
        <v>11500</v>
      </c>
      <c r="I80" s="524" t="s">
        <v>704</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705</v>
      </c>
      <c r="D82" s="538"/>
      <c r="E82" s="590"/>
      <c r="F82" s="538" t="s">
        <v>701</v>
      </c>
      <c r="G82" s="538"/>
      <c r="H82" s="538"/>
      <c r="I82" s="538"/>
      <c r="J82" s="538" t="s">
        <v>706</v>
      </c>
      <c r="K82" s="539"/>
      <c r="L82" s="568"/>
    </row>
    <row r="83" spans="1:12" ht="14.25">
      <c r="A83" s="566"/>
      <c r="B83" s="532" t="s">
        <v>781</v>
      </c>
      <c r="C83" s="820">
        <f>H80</f>
        <v>11500</v>
      </c>
      <c r="D83" s="820"/>
      <c r="E83" s="588" t="s">
        <v>153</v>
      </c>
      <c r="F83" s="534">
        <f>H77</f>
        <v>0.16025641025641027</v>
      </c>
      <c r="G83" s="588" t="s">
        <v>681</v>
      </c>
      <c r="H83" s="588">
        <v>1000</v>
      </c>
      <c r="I83" s="588" t="s">
        <v>680</v>
      </c>
      <c r="J83" s="540">
        <f>C83*F83/H83</f>
        <v>1.842948717948718</v>
      </c>
      <c r="K83" s="526"/>
      <c r="L83" s="568"/>
    </row>
    <row r="84" spans="1:12" ht="15" thickBot="1">
      <c r="A84" s="566"/>
      <c r="B84" s="527"/>
      <c r="C84" s="541"/>
      <c r="D84" s="541"/>
      <c r="E84" s="542"/>
      <c r="F84" s="543"/>
      <c r="G84" s="542"/>
      <c r="H84" s="542"/>
      <c r="I84" s="542"/>
      <c r="J84" s="544"/>
      <c r="K84" s="529"/>
      <c r="L84" s="568"/>
    </row>
    <row r="85" spans="1:12" ht="40.5" customHeight="1">
      <c r="A85" s="566"/>
      <c r="B85" s="824" t="s">
        <v>672</v>
      </c>
      <c r="C85" s="824"/>
      <c r="D85" s="824"/>
      <c r="E85" s="824"/>
      <c r="F85" s="824"/>
      <c r="G85" s="824"/>
      <c r="H85" s="824"/>
      <c r="I85" s="824"/>
      <c r="J85" s="824"/>
      <c r="K85" s="824"/>
      <c r="L85" s="566"/>
    </row>
    <row r="86" spans="1:12" ht="14.25">
      <c r="A86" s="566"/>
      <c r="B86" s="817" t="s">
        <v>707</v>
      </c>
      <c r="C86" s="817"/>
      <c r="D86" s="817"/>
      <c r="E86" s="817"/>
      <c r="F86" s="817"/>
      <c r="G86" s="817"/>
      <c r="H86" s="817"/>
      <c r="I86" s="817"/>
      <c r="J86" s="817"/>
      <c r="K86" s="817"/>
      <c r="L86" s="566"/>
    </row>
    <row r="87" spans="1:12" ht="14.25">
      <c r="A87" s="566"/>
      <c r="B87" s="545"/>
      <c r="C87" s="545"/>
      <c r="D87" s="545"/>
      <c r="E87" s="545"/>
      <c r="F87" s="545"/>
      <c r="G87" s="545"/>
      <c r="H87" s="545"/>
      <c r="I87" s="545"/>
      <c r="J87" s="545"/>
      <c r="K87" s="545"/>
      <c r="L87" s="566"/>
    </row>
    <row r="88" spans="1:12" ht="14.25">
      <c r="A88" s="566"/>
      <c r="B88" s="817" t="s">
        <v>708</v>
      </c>
      <c r="C88" s="817"/>
      <c r="D88" s="817"/>
      <c r="E88" s="817"/>
      <c r="F88" s="817"/>
      <c r="G88" s="817"/>
      <c r="H88" s="817"/>
      <c r="I88" s="817"/>
      <c r="J88" s="817"/>
      <c r="K88" s="817"/>
      <c r="L88" s="566"/>
    </row>
    <row r="89" spans="1:12" ht="14.25">
      <c r="A89" s="566"/>
      <c r="B89" s="582"/>
      <c r="C89" s="582"/>
      <c r="D89" s="582"/>
      <c r="E89" s="582"/>
      <c r="F89" s="582"/>
      <c r="G89" s="582"/>
      <c r="H89" s="582"/>
      <c r="I89" s="582"/>
      <c r="J89" s="582"/>
      <c r="K89" s="582"/>
      <c r="L89" s="566"/>
    </row>
    <row r="90" spans="1:12" ht="45" customHeight="1">
      <c r="A90" s="566"/>
      <c r="B90" s="821" t="s">
        <v>709</v>
      </c>
      <c r="C90" s="821"/>
      <c r="D90" s="821"/>
      <c r="E90" s="821"/>
      <c r="F90" s="821"/>
      <c r="G90" s="821"/>
      <c r="H90" s="821"/>
      <c r="I90" s="821"/>
      <c r="J90" s="821"/>
      <c r="K90" s="821"/>
      <c r="L90" s="566"/>
    </row>
    <row r="91" spans="1:12" ht="15" customHeight="1" thickBot="1">
      <c r="A91" s="566"/>
      <c r="L91" s="566"/>
    </row>
    <row r="92" spans="1:12" ht="15" customHeight="1">
      <c r="A92" s="566"/>
      <c r="B92" s="517" t="s">
        <v>676</v>
      </c>
      <c r="C92" s="546"/>
      <c r="D92" s="546"/>
      <c r="E92" s="546"/>
      <c r="F92" s="546"/>
      <c r="G92" s="546"/>
      <c r="H92" s="546"/>
      <c r="I92" s="546"/>
      <c r="J92" s="546"/>
      <c r="K92" s="547"/>
      <c r="L92" s="566"/>
    </row>
    <row r="93" spans="1:12" ht="15" customHeight="1">
      <c r="A93" s="566"/>
      <c r="B93" s="548"/>
      <c r="C93" s="586" t="s">
        <v>682</v>
      </c>
      <c r="D93" s="586"/>
      <c r="E93" s="586"/>
      <c r="F93" s="586"/>
      <c r="G93" s="586"/>
      <c r="H93" s="586"/>
      <c r="I93" s="586"/>
      <c r="J93" s="586"/>
      <c r="K93" s="549"/>
      <c r="L93" s="566"/>
    </row>
    <row r="94" spans="1:12" ht="15" customHeight="1">
      <c r="A94" s="566"/>
      <c r="B94" s="548" t="s">
        <v>698</v>
      </c>
      <c r="C94" s="819">
        <v>312000000</v>
      </c>
      <c r="D94" s="819"/>
      <c r="E94" s="588" t="s">
        <v>681</v>
      </c>
      <c r="F94" s="588">
        <v>1000</v>
      </c>
      <c r="G94" s="588" t="s">
        <v>680</v>
      </c>
      <c r="H94" s="589">
        <f>C94/F94</f>
        <v>312000</v>
      </c>
      <c r="I94" s="586" t="s">
        <v>699</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700</v>
      </c>
      <c r="D96" s="586"/>
      <c r="E96" s="588"/>
      <c r="F96" s="586" t="s">
        <v>699</v>
      </c>
      <c r="G96" s="586"/>
      <c r="H96" s="586"/>
      <c r="I96" s="586"/>
      <c r="J96" s="586"/>
      <c r="K96" s="549"/>
      <c r="L96" s="566"/>
    </row>
    <row r="97" spans="1:12" ht="15" customHeight="1">
      <c r="A97" s="566"/>
      <c r="B97" s="548" t="s">
        <v>703</v>
      </c>
      <c r="C97" s="819">
        <v>50000</v>
      </c>
      <c r="D97" s="819"/>
      <c r="E97" s="588" t="s">
        <v>681</v>
      </c>
      <c r="F97" s="589">
        <f>H94</f>
        <v>312000</v>
      </c>
      <c r="G97" s="588" t="s">
        <v>680</v>
      </c>
      <c r="H97" s="534">
        <f>C97/F97</f>
        <v>0.16025641025641027</v>
      </c>
      <c r="I97" s="586" t="s">
        <v>701</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710</v>
      </c>
      <c r="D99" s="551"/>
      <c r="E99" s="590"/>
      <c r="F99" s="551"/>
      <c r="G99" s="551"/>
      <c r="H99" s="551"/>
      <c r="I99" s="551"/>
      <c r="J99" s="551"/>
      <c r="K99" s="552"/>
      <c r="L99" s="566"/>
    </row>
    <row r="100" spans="1:12" ht="15" customHeight="1">
      <c r="A100" s="566"/>
      <c r="B100" s="548" t="s">
        <v>780</v>
      </c>
      <c r="C100" s="819">
        <v>2500000</v>
      </c>
      <c r="D100" s="819"/>
      <c r="E100" s="588" t="s">
        <v>153</v>
      </c>
      <c r="F100" s="553">
        <v>0.3</v>
      </c>
      <c r="G100" s="588" t="s">
        <v>680</v>
      </c>
      <c r="H100" s="589">
        <f>C100*F100</f>
        <v>750000</v>
      </c>
      <c r="I100" s="586" t="s">
        <v>704</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705</v>
      </c>
      <c r="D102" s="551"/>
      <c r="E102" s="590"/>
      <c r="F102" s="551" t="s">
        <v>701</v>
      </c>
      <c r="G102" s="551"/>
      <c r="H102" s="551"/>
      <c r="I102" s="551"/>
      <c r="J102" s="551" t="s">
        <v>706</v>
      </c>
      <c r="K102" s="552"/>
      <c r="L102" s="566"/>
    </row>
    <row r="103" spans="1:12" ht="15" customHeight="1">
      <c r="A103" s="566"/>
      <c r="B103" s="548" t="s">
        <v>781</v>
      </c>
      <c r="C103" s="820">
        <f>H100</f>
        <v>750000</v>
      </c>
      <c r="D103" s="820"/>
      <c r="E103" s="588" t="s">
        <v>153</v>
      </c>
      <c r="F103" s="534">
        <f>H97</f>
        <v>0.16025641025641027</v>
      </c>
      <c r="G103" s="588" t="s">
        <v>681</v>
      </c>
      <c r="H103" s="588">
        <v>1000</v>
      </c>
      <c r="I103" s="588" t="s">
        <v>680</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24" t="s">
        <v>672</v>
      </c>
      <c r="C105" s="840"/>
      <c r="D105" s="840"/>
      <c r="E105" s="840"/>
      <c r="F105" s="840"/>
      <c r="G105" s="840"/>
      <c r="H105" s="840"/>
      <c r="I105" s="840"/>
      <c r="J105" s="840"/>
      <c r="K105" s="840"/>
      <c r="L105" s="566"/>
    </row>
    <row r="106" spans="1:12" ht="15" customHeight="1">
      <c r="A106" s="566"/>
      <c r="B106" s="822" t="s">
        <v>711</v>
      </c>
      <c r="C106" s="827"/>
      <c r="D106" s="827"/>
      <c r="E106" s="827"/>
      <c r="F106" s="827"/>
      <c r="G106" s="827"/>
      <c r="H106" s="827"/>
      <c r="I106" s="827"/>
      <c r="J106" s="827"/>
      <c r="K106" s="827"/>
      <c r="L106" s="566"/>
    </row>
    <row r="107" spans="1:12" ht="15" customHeight="1">
      <c r="A107" s="566"/>
      <c r="B107" s="586"/>
      <c r="C107" s="555"/>
      <c r="D107" s="555"/>
      <c r="E107" s="588"/>
      <c r="F107" s="534"/>
      <c r="G107" s="588"/>
      <c r="H107" s="588"/>
      <c r="I107" s="588"/>
      <c r="J107" s="540"/>
      <c r="K107" s="586"/>
      <c r="L107" s="566"/>
    </row>
    <row r="108" spans="1:12" ht="15" customHeight="1">
      <c r="A108" s="566"/>
      <c r="B108" s="822" t="s">
        <v>712</v>
      </c>
      <c r="C108" s="823"/>
      <c r="D108" s="823"/>
      <c r="E108" s="823"/>
      <c r="F108" s="823"/>
      <c r="G108" s="823"/>
      <c r="H108" s="823"/>
      <c r="I108" s="823"/>
      <c r="J108" s="823"/>
      <c r="K108" s="823"/>
      <c r="L108" s="566"/>
    </row>
    <row r="109" spans="1:12" ht="15" customHeight="1">
      <c r="A109" s="566"/>
      <c r="B109" s="586"/>
      <c r="C109" s="555"/>
      <c r="D109" s="555"/>
      <c r="E109" s="588"/>
      <c r="F109" s="534"/>
      <c r="G109" s="588"/>
      <c r="H109" s="588"/>
      <c r="I109" s="588"/>
      <c r="J109" s="540"/>
      <c r="K109" s="586"/>
      <c r="L109" s="566"/>
    </row>
    <row r="110" spans="1:12" ht="59.25" customHeight="1">
      <c r="A110" s="566"/>
      <c r="B110" s="847" t="s">
        <v>713</v>
      </c>
      <c r="C110" s="825"/>
      <c r="D110" s="825"/>
      <c r="E110" s="825"/>
      <c r="F110" s="825"/>
      <c r="G110" s="825"/>
      <c r="H110" s="825"/>
      <c r="I110" s="825"/>
      <c r="J110" s="825"/>
      <c r="K110" s="825"/>
      <c r="L110" s="566"/>
    </row>
    <row r="111" spans="1:12" ht="15" thickBot="1">
      <c r="A111" s="566"/>
      <c r="B111" s="583"/>
      <c r="C111" s="583"/>
      <c r="D111" s="583"/>
      <c r="E111" s="583"/>
      <c r="F111" s="583"/>
      <c r="G111" s="583"/>
      <c r="H111" s="583"/>
      <c r="I111" s="583"/>
      <c r="J111" s="583"/>
      <c r="K111" s="583"/>
      <c r="L111" s="569"/>
    </row>
    <row r="112" spans="1:12" ht="14.25">
      <c r="A112" s="566"/>
      <c r="B112" s="514" t="s">
        <v>676</v>
      </c>
      <c r="C112" s="521"/>
      <c r="D112" s="521"/>
      <c r="E112" s="521"/>
      <c r="F112" s="521"/>
      <c r="G112" s="521"/>
      <c r="H112" s="521"/>
      <c r="I112" s="521"/>
      <c r="J112" s="521"/>
      <c r="K112" s="522"/>
      <c r="L112" s="566"/>
    </row>
    <row r="113" spans="1:12" ht="14.25">
      <c r="A113" s="566"/>
      <c r="B113" s="532"/>
      <c r="C113" s="524" t="s">
        <v>682</v>
      </c>
      <c r="D113" s="524"/>
      <c r="E113" s="524"/>
      <c r="F113" s="524"/>
      <c r="G113" s="524"/>
      <c r="H113" s="524"/>
      <c r="I113" s="524"/>
      <c r="J113" s="524"/>
      <c r="K113" s="526"/>
      <c r="L113" s="566"/>
    </row>
    <row r="114" spans="1:12" ht="14.25">
      <c r="A114" s="566"/>
      <c r="B114" s="532" t="s">
        <v>698</v>
      </c>
      <c r="C114" s="819">
        <v>312000000</v>
      </c>
      <c r="D114" s="819"/>
      <c r="E114" s="588" t="s">
        <v>681</v>
      </c>
      <c r="F114" s="588">
        <v>1000</v>
      </c>
      <c r="G114" s="588" t="s">
        <v>680</v>
      </c>
      <c r="H114" s="589">
        <f>C114/F114</f>
        <v>312000</v>
      </c>
      <c r="I114" s="524" t="s">
        <v>699</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700</v>
      </c>
      <c r="D116" s="524"/>
      <c r="E116" s="588"/>
      <c r="F116" s="524" t="s">
        <v>699</v>
      </c>
      <c r="G116" s="524"/>
      <c r="H116" s="524"/>
      <c r="I116" s="524"/>
      <c r="J116" s="524"/>
      <c r="K116" s="526"/>
      <c r="L116" s="566"/>
    </row>
    <row r="117" spans="1:12" ht="14.25">
      <c r="A117" s="566"/>
      <c r="B117" s="532" t="s">
        <v>703</v>
      </c>
      <c r="C117" s="819">
        <v>50000</v>
      </c>
      <c r="D117" s="819"/>
      <c r="E117" s="588" t="s">
        <v>681</v>
      </c>
      <c r="F117" s="589">
        <f>H114</f>
        <v>312000</v>
      </c>
      <c r="G117" s="588" t="s">
        <v>680</v>
      </c>
      <c r="H117" s="534">
        <f>C117/F117</f>
        <v>0.16025641025641027</v>
      </c>
      <c r="I117" s="524" t="s">
        <v>701</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710</v>
      </c>
      <c r="D119" s="538"/>
      <c r="E119" s="590"/>
      <c r="F119" s="538"/>
      <c r="G119" s="538"/>
      <c r="H119" s="538"/>
      <c r="I119" s="538"/>
      <c r="J119" s="538"/>
      <c r="K119" s="539"/>
      <c r="L119" s="566"/>
    </row>
    <row r="120" spans="1:12" ht="14.25">
      <c r="A120" s="566"/>
      <c r="B120" s="532" t="s">
        <v>780</v>
      </c>
      <c r="C120" s="819">
        <v>2500000</v>
      </c>
      <c r="D120" s="819"/>
      <c r="E120" s="588" t="s">
        <v>153</v>
      </c>
      <c r="F120" s="553">
        <v>0.25</v>
      </c>
      <c r="G120" s="588" t="s">
        <v>680</v>
      </c>
      <c r="H120" s="589">
        <f>C120*F120</f>
        <v>625000</v>
      </c>
      <c r="I120" s="524" t="s">
        <v>704</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705</v>
      </c>
      <c r="D122" s="538"/>
      <c r="E122" s="590"/>
      <c r="F122" s="538" t="s">
        <v>701</v>
      </c>
      <c r="G122" s="538"/>
      <c r="H122" s="538"/>
      <c r="I122" s="538"/>
      <c r="J122" s="538" t="s">
        <v>706</v>
      </c>
      <c r="K122" s="539"/>
      <c r="L122" s="566"/>
    </row>
    <row r="123" spans="1:12" ht="14.25">
      <c r="A123" s="566"/>
      <c r="B123" s="532" t="s">
        <v>781</v>
      </c>
      <c r="C123" s="820">
        <f>H120</f>
        <v>625000</v>
      </c>
      <c r="D123" s="820"/>
      <c r="E123" s="588" t="s">
        <v>153</v>
      </c>
      <c r="F123" s="534">
        <f>H117</f>
        <v>0.16025641025641027</v>
      </c>
      <c r="G123" s="588" t="s">
        <v>681</v>
      </c>
      <c r="H123" s="588">
        <v>1000</v>
      </c>
      <c r="I123" s="588" t="s">
        <v>680</v>
      </c>
      <c r="J123" s="540">
        <f>C123*F123/H123</f>
        <v>100.16025641025642</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24" t="s">
        <v>672</v>
      </c>
      <c r="C125" s="824"/>
      <c r="D125" s="824"/>
      <c r="E125" s="824"/>
      <c r="F125" s="824"/>
      <c r="G125" s="824"/>
      <c r="H125" s="824"/>
      <c r="I125" s="824"/>
      <c r="J125" s="824"/>
      <c r="K125" s="824"/>
      <c r="L125" s="569"/>
    </row>
    <row r="126" spans="1:12" ht="14.25">
      <c r="A126" s="566"/>
      <c r="B126" s="817" t="s">
        <v>714</v>
      </c>
      <c r="C126" s="817"/>
      <c r="D126" s="817"/>
      <c r="E126" s="817"/>
      <c r="F126" s="817"/>
      <c r="G126" s="817"/>
      <c r="H126" s="817"/>
      <c r="I126" s="817"/>
      <c r="J126" s="817"/>
      <c r="K126" s="817"/>
      <c r="L126" s="569"/>
    </row>
    <row r="127" spans="1:12" ht="14.25">
      <c r="A127" s="566"/>
      <c r="B127" s="583"/>
      <c r="C127" s="583"/>
      <c r="D127" s="583"/>
      <c r="E127" s="583"/>
      <c r="F127" s="583"/>
      <c r="G127" s="583"/>
      <c r="H127" s="583"/>
      <c r="I127" s="583"/>
      <c r="J127" s="583"/>
      <c r="K127" s="583"/>
      <c r="L127" s="569"/>
    </row>
    <row r="128" spans="1:12" ht="14.25">
      <c r="A128" s="566"/>
      <c r="B128" s="817" t="s">
        <v>715</v>
      </c>
      <c r="C128" s="817"/>
      <c r="D128" s="817"/>
      <c r="E128" s="817"/>
      <c r="F128" s="817"/>
      <c r="G128" s="817"/>
      <c r="H128" s="817"/>
      <c r="I128" s="817"/>
      <c r="J128" s="817"/>
      <c r="K128" s="817"/>
      <c r="L128" s="569"/>
    </row>
    <row r="129" spans="1:12" ht="14.25">
      <c r="A129" s="566"/>
      <c r="B129" s="582"/>
      <c r="C129" s="582"/>
      <c r="D129" s="582"/>
      <c r="E129" s="582"/>
      <c r="F129" s="582"/>
      <c r="G129" s="582"/>
      <c r="H129" s="582"/>
      <c r="I129" s="582"/>
      <c r="J129" s="582"/>
      <c r="K129" s="582"/>
      <c r="L129" s="569"/>
    </row>
    <row r="130" spans="1:12" ht="74.25" customHeight="1">
      <c r="A130" s="566"/>
      <c r="B130" s="821" t="s">
        <v>782</v>
      </c>
      <c r="C130" s="821"/>
      <c r="D130" s="821"/>
      <c r="E130" s="821"/>
      <c r="F130" s="821"/>
      <c r="G130" s="821"/>
      <c r="H130" s="821"/>
      <c r="I130" s="821"/>
      <c r="J130" s="821"/>
      <c r="K130" s="821"/>
      <c r="L130" s="569"/>
    </row>
    <row r="131" spans="1:12" ht="15" thickBot="1">
      <c r="A131" s="566"/>
      <c r="L131" s="566"/>
    </row>
    <row r="132" spans="1:12" ht="14.25">
      <c r="A132" s="566"/>
      <c r="B132" s="514" t="s">
        <v>676</v>
      </c>
      <c r="C132" s="521"/>
      <c r="D132" s="521"/>
      <c r="E132" s="521"/>
      <c r="F132" s="521"/>
      <c r="G132" s="521"/>
      <c r="H132" s="521"/>
      <c r="I132" s="521"/>
      <c r="J132" s="521"/>
      <c r="K132" s="522"/>
      <c r="L132" s="566"/>
    </row>
    <row r="133" spans="1:12" ht="14.25">
      <c r="A133" s="566"/>
      <c r="B133" s="532"/>
      <c r="C133" s="846" t="s">
        <v>716</v>
      </c>
      <c r="D133" s="846"/>
      <c r="E133" s="524"/>
      <c r="F133" s="588" t="s">
        <v>717</v>
      </c>
      <c r="G133" s="524"/>
      <c r="H133" s="846" t="s">
        <v>704</v>
      </c>
      <c r="I133" s="846"/>
      <c r="J133" s="524"/>
      <c r="K133" s="526"/>
      <c r="L133" s="566"/>
    </row>
    <row r="134" spans="1:12" ht="14.25">
      <c r="A134" s="566"/>
      <c r="B134" s="532" t="s">
        <v>698</v>
      </c>
      <c r="C134" s="819">
        <v>100000</v>
      </c>
      <c r="D134" s="819"/>
      <c r="E134" s="588" t="s">
        <v>153</v>
      </c>
      <c r="F134" s="588">
        <v>0.115</v>
      </c>
      <c r="G134" s="588" t="s">
        <v>680</v>
      </c>
      <c r="H134" s="837">
        <f>C134*F134</f>
        <v>11500</v>
      </c>
      <c r="I134" s="837"/>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818" t="s">
        <v>704</v>
      </c>
      <c r="D136" s="818"/>
      <c r="E136" s="538"/>
      <c r="F136" s="590" t="s">
        <v>718</v>
      </c>
      <c r="G136" s="590"/>
      <c r="H136" s="538"/>
      <c r="I136" s="538"/>
      <c r="J136" s="538" t="s">
        <v>719</v>
      </c>
      <c r="K136" s="539"/>
      <c r="L136" s="566"/>
    </row>
    <row r="137" spans="1:12" ht="14.25">
      <c r="A137" s="566"/>
      <c r="B137" s="532" t="s">
        <v>703</v>
      </c>
      <c r="C137" s="837">
        <f>H134</f>
        <v>11500</v>
      </c>
      <c r="D137" s="837"/>
      <c r="E137" s="588" t="s">
        <v>153</v>
      </c>
      <c r="F137" s="556">
        <v>52.869</v>
      </c>
      <c r="G137" s="588" t="s">
        <v>681</v>
      </c>
      <c r="H137" s="588">
        <v>1000</v>
      </c>
      <c r="I137" s="588" t="s">
        <v>680</v>
      </c>
      <c r="J137" s="557">
        <f>C137*F137/H137</f>
        <v>607.9935</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672</v>
      </c>
      <c r="C139" s="592"/>
      <c r="D139" s="592"/>
      <c r="E139" s="593"/>
      <c r="F139" s="594"/>
      <c r="G139" s="593"/>
      <c r="H139" s="593"/>
      <c r="I139" s="593"/>
      <c r="J139" s="595"/>
      <c r="K139" s="596"/>
      <c r="L139" s="566"/>
    </row>
    <row r="140" spans="1:12" ht="14.25">
      <c r="A140" s="566"/>
      <c r="B140" s="597" t="s">
        <v>783</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784</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41" t="s">
        <v>785</v>
      </c>
      <c r="C144" s="842"/>
      <c r="D144" s="842"/>
      <c r="E144" s="842"/>
      <c r="F144" s="842"/>
      <c r="G144" s="842"/>
      <c r="H144" s="842"/>
      <c r="I144" s="842"/>
      <c r="J144" s="842"/>
      <c r="K144" s="843"/>
      <c r="L144" s="566"/>
    </row>
    <row r="145" spans="1:12" ht="15" thickBot="1">
      <c r="A145" s="566"/>
      <c r="B145" s="532"/>
      <c r="C145" s="589"/>
      <c r="D145" s="589"/>
      <c r="E145" s="588"/>
      <c r="F145" s="607"/>
      <c r="G145" s="588"/>
      <c r="H145" s="588"/>
      <c r="I145" s="588"/>
      <c r="J145" s="557"/>
      <c r="K145" s="526"/>
      <c r="L145" s="566"/>
    </row>
    <row r="146" spans="1:12" ht="14.25">
      <c r="A146" s="566"/>
      <c r="B146" s="514" t="s">
        <v>676</v>
      </c>
      <c r="C146" s="608"/>
      <c r="D146" s="608"/>
      <c r="E146" s="609"/>
      <c r="F146" s="610"/>
      <c r="G146" s="609"/>
      <c r="H146" s="609"/>
      <c r="I146" s="609"/>
      <c r="J146" s="611"/>
      <c r="K146" s="522"/>
      <c r="L146" s="566"/>
    </row>
    <row r="147" spans="1:12" ht="14.25">
      <c r="A147" s="566"/>
      <c r="B147" s="532"/>
      <c r="C147" s="837" t="s">
        <v>786</v>
      </c>
      <c r="D147" s="837"/>
      <c r="E147" s="588"/>
      <c r="F147" s="607" t="s">
        <v>787</v>
      </c>
      <c r="G147" s="588"/>
      <c r="H147" s="588"/>
      <c r="I147" s="588"/>
      <c r="J147" s="838" t="s">
        <v>788</v>
      </c>
      <c r="K147" s="839"/>
      <c r="L147" s="566"/>
    </row>
    <row r="148" spans="1:12" ht="14.25">
      <c r="A148" s="566"/>
      <c r="B148" s="532"/>
      <c r="C148" s="844">
        <v>52.869</v>
      </c>
      <c r="D148" s="844"/>
      <c r="E148" s="588" t="s">
        <v>153</v>
      </c>
      <c r="F148" s="585">
        <v>312000000</v>
      </c>
      <c r="G148" s="612" t="s">
        <v>681</v>
      </c>
      <c r="H148" s="588">
        <v>1000</v>
      </c>
      <c r="I148" s="588" t="s">
        <v>680</v>
      </c>
      <c r="J148" s="838">
        <f>C148*(F148/1000)</f>
        <v>16495128</v>
      </c>
      <c r="K148" s="845"/>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Beattie</v>
      </c>
      <c r="B1" s="65"/>
      <c r="C1" s="349"/>
      <c r="D1" s="65">
        <f>inputPrYr!C5</f>
        <v>2014</v>
      </c>
    </row>
    <row r="2" spans="1:4" ht="15.75">
      <c r="A2" s="65"/>
      <c r="B2" s="65"/>
      <c r="C2" s="65"/>
      <c r="D2" s="349"/>
    </row>
    <row r="3" spans="1:4" ht="15.75">
      <c r="A3" s="82" t="s">
        <v>66</v>
      </c>
      <c r="B3" s="350"/>
      <c r="C3" s="350"/>
      <c r="D3" s="350"/>
    </row>
    <row r="4" spans="1:4" ht="15.75">
      <c r="A4" s="349" t="s">
        <v>165</v>
      </c>
      <c r="B4" s="708" t="s">
        <v>832</v>
      </c>
      <c r="C4" s="709" t="s">
        <v>833</v>
      </c>
      <c r="D4" s="175" t="s">
        <v>834</v>
      </c>
    </row>
    <row r="5" spans="1:4" ht="15.75">
      <c r="A5" s="93" t="s">
        <v>67</v>
      </c>
      <c r="B5" s="333" t="str">
        <f>CONCATENATE("Actual for ",$D$1-2,"")</f>
        <v>Actual for 2012</v>
      </c>
      <c r="C5" s="415" t="str">
        <f>CONCATENATE("Estimate for ",$D$1-1,"")</f>
        <v>Estimate for 2013</v>
      </c>
      <c r="D5" s="230" t="str">
        <f>CONCATENATE("Year for ",$D$1,"")</f>
        <v>Year for 2014</v>
      </c>
    </row>
    <row r="6" spans="1:4" ht="15.75">
      <c r="A6" s="246" t="s">
        <v>173</v>
      </c>
      <c r="B6" s="109"/>
      <c r="C6" s="109"/>
      <c r="D6" s="109"/>
    </row>
    <row r="7" spans="1:4" ht="15.75">
      <c r="A7" s="351"/>
      <c r="B7" s="109"/>
      <c r="C7" s="109"/>
      <c r="D7" s="109"/>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1"/>
      <c r="B13" s="335"/>
      <c r="C13" s="335"/>
      <c r="D13" s="335"/>
    </row>
    <row r="14" spans="1:4" ht="15.75">
      <c r="A14" s="91"/>
      <c r="B14" s="335"/>
      <c r="C14" s="335"/>
      <c r="D14" s="335"/>
    </row>
    <row r="15" spans="1:4" ht="15.75">
      <c r="A15" s="246" t="s">
        <v>135</v>
      </c>
      <c r="B15" s="339">
        <f>SUM(B8:B14)</f>
        <v>0</v>
      </c>
      <c r="C15" s="339">
        <f>SUM(C8:C14)</f>
        <v>0</v>
      </c>
      <c r="D15" s="339">
        <f>SUM(D8:D14)</f>
        <v>0</v>
      </c>
    </row>
    <row r="16" spans="1:4" ht="15.75">
      <c r="A16" s="297"/>
      <c r="B16" s="202"/>
      <c r="C16" s="202"/>
      <c r="D16" s="202"/>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6" t="s">
        <v>135</v>
      </c>
      <c r="B22" s="339">
        <f>SUM(B17:B20)</f>
        <v>0</v>
      </c>
      <c r="C22" s="339">
        <f>SUM(C17:C20)</f>
        <v>0</v>
      </c>
      <c r="D22" s="339">
        <f>SUM(D17:D20)</f>
        <v>0</v>
      </c>
    </row>
    <row r="23" spans="1:4" ht="15.75">
      <c r="A23" s="297"/>
      <c r="B23" s="202"/>
      <c r="C23" s="202"/>
      <c r="D23" s="202"/>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6" t="s">
        <v>135</v>
      </c>
      <c r="B29" s="339">
        <f>SUM(B24:B27)</f>
        <v>0</v>
      </c>
      <c r="C29" s="339">
        <f>SUM(C24:C27)</f>
        <v>0</v>
      </c>
      <c r="D29" s="339">
        <f>SUM(D24:D27)</f>
        <v>0</v>
      </c>
    </row>
    <row r="30" spans="1:4" ht="15.75">
      <c r="A30" s="297"/>
      <c r="B30" s="202"/>
      <c r="C30" s="202"/>
      <c r="D30" s="202"/>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6" t="s">
        <v>135</v>
      </c>
      <c r="B35" s="339">
        <f>SUM(B31:B34)</f>
        <v>0</v>
      </c>
      <c r="C35" s="339">
        <f>SUM(C31:C34)</f>
        <v>0</v>
      </c>
      <c r="D35" s="339">
        <f>SUM(D31:D34)</f>
        <v>0</v>
      </c>
    </row>
    <row r="36" spans="1:4" ht="15.75">
      <c r="A36" s="297"/>
      <c r="B36" s="202"/>
      <c r="C36" s="202"/>
      <c r="D36" s="202"/>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6" t="s">
        <v>135</v>
      </c>
      <c r="B42" s="339">
        <f>SUM(B37:B40)</f>
        <v>0</v>
      </c>
      <c r="C42" s="339">
        <f>SUM(C37:C40)</f>
        <v>0</v>
      </c>
      <c r="D42" s="339">
        <f>SUM(D37:D40)</f>
        <v>0</v>
      </c>
    </row>
    <row r="43" spans="1:4" ht="15.75">
      <c r="A43" s="297"/>
      <c r="B43" s="202"/>
      <c r="C43" s="202"/>
      <c r="D43" s="202"/>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6" t="s">
        <v>135</v>
      </c>
      <c r="B49" s="339">
        <f>SUM(B44:B47)</f>
        <v>0</v>
      </c>
      <c r="C49" s="339">
        <f>SUM(C44:C47)</f>
        <v>0</v>
      </c>
      <c r="D49" s="339">
        <f>SUM(D44:D47)</f>
        <v>0</v>
      </c>
    </row>
    <row r="50" spans="1:4" ht="15.75">
      <c r="A50" s="297"/>
      <c r="B50" s="202"/>
      <c r="C50" s="202"/>
      <c r="D50" s="202"/>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6" t="s">
        <v>135</v>
      </c>
      <c r="B56" s="339">
        <f>SUM(B51:B54)</f>
        <v>0</v>
      </c>
      <c r="C56" s="339">
        <f>SUM(C51:C54)</f>
        <v>0</v>
      </c>
      <c r="D56" s="339">
        <f>SUM(D51:D54)</f>
        <v>0</v>
      </c>
    </row>
    <row r="57" spans="1:4" ht="15.75">
      <c r="A57" s="297"/>
      <c r="B57" s="202"/>
      <c r="C57" s="202"/>
      <c r="D57" s="202"/>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6" t="s">
        <v>135</v>
      </c>
      <c r="B63" s="339">
        <f>SUM(B58:B61)</f>
        <v>0</v>
      </c>
      <c r="C63" s="339">
        <f>SUM(C58:C61)</f>
        <v>0</v>
      </c>
      <c r="D63" s="339">
        <f>SUM(D58:D61)</f>
        <v>0</v>
      </c>
    </row>
    <row r="64" spans="1:4" ht="15.75">
      <c r="A64" s="65"/>
      <c r="B64" s="202"/>
      <c r="C64" s="202"/>
      <c r="D64" s="202"/>
    </row>
    <row r="65" spans="1:4" ht="16.5" thickBot="1">
      <c r="A65" s="246" t="s">
        <v>72</v>
      </c>
      <c r="B65" s="353">
        <f>B15+B22+B29+B35+B42+B49+B56+B63</f>
        <v>0</v>
      </c>
      <c r="C65" s="353">
        <f>C15+C22+C29+C35+C42+C49+C56+C63</f>
        <v>0</v>
      </c>
      <c r="D65" s="353">
        <f>D15+D22+D29+D35+D42+D49+D56+D63</f>
        <v>0</v>
      </c>
    </row>
    <row r="66" spans="1:4" ht="16.5" thickTop="1">
      <c r="A66" s="65"/>
      <c r="B66" s="202"/>
      <c r="C66" s="202"/>
      <c r="D66" s="202"/>
    </row>
    <row r="67" spans="1:4" ht="15.75">
      <c r="A67" s="211" t="s">
        <v>177</v>
      </c>
      <c r="B67" s="734" t="str">
        <f>CONCATENATE("",general!C67,"b")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Beattie</v>
      </c>
      <c r="C1" s="202"/>
      <c r="D1" s="65"/>
      <c r="E1" s="162">
        <f>inputPrYr!C5</f>
        <v>2014</v>
      </c>
    </row>
    <row r="2" spans="2:5" ht="15.75">
      <c r="B2" s="65"/>
      <c r="C2" s="65"/>
      <c r="D2" s="65"/>
      <c r="E2" s="219"/>
    </row>
    <row r="3" spans="2:5" ht="15.75">
      <c r="B3" s="82" t="s">
        <v>221</v>
      </c>
      <c r="C3" s="82"/>
      <c r="D3" s="277"/>
      <c r="E3" s="164"/>
    </row>
    <row r="4" spans="2:5" ht="15.75">
      <c r="B4" s="70" t="s">
        <v>165</v>
      </c>
      <c r="C4" s="708" t="s">
        <v>832</v>
      </c>
      <c r="D4" s="709" t="s">
        <v>833</v>
      </c>
      <c r="E4" s="175" t="s">
        <v>834</v>
      </c>
    </row>
    <row r="5" spans="2:5" ht="15.75">
      <c r="B5" s="452" t="str">
        <f>inputPrYr!B18</f>
        <v>Debt Service</v>
      </c>
      <c r="C5" s="333" t="str">
        <f>CONCATENATE("Actual for ",$E$1-2,"")</f>
        <v>Actual for 2012</v>
      </c>
      <c r="D5" s="415" t="str">
        <f>CONCATENATE("Estimate for ",$E$1-1,"")</f>
        <v>Estimate for 2013</v>
      </c>
      <c r="E5" s="230" t="str">
        <f>CONCATENATE("Year for ",$E$1,"")</f>
        <v>Year for 2014</v>
      </c>
    </row>
    <row r="6" spans="2:5" ht="15.75">
      <c r="B6" s="179" t="s">
        <v>278</v>
      </c>
      <c r="C6" s="447"/>
      <c r="D6" s="446">
        <f>C34</f>
        <v>0</v>
      </c>
      <c r="E6" s="190">
        <f>D34</f>
        <v>0</v>
      </c>
    </row>
    <row r="7" spans="2:5" ht="15.75">
      <c r="B7" s="179" t="s">
        <v>280</v>
      </c>
      <c r="C7" s="191"/>
      <c r="D7" s="446"/>
      <c r="E7" s="190"/>
    </row>
    <row r="8" spans="2:5" ht="15.75">
      <c r="B8" s="179" t="s">
        <v>166</v>
      </c>
      <c r="C8" s="443"/>
      <c r="D8" s="446">
        <f>IF(inputPrYr!H16&gt;0,inputPrYr!G18,inputPrYr!E18)</f>
        <v>0</v>
      </c>
      <c r="E8" s="345" t="s">
        <v>153</v>
      </c>
    </row>
    <row r="9" spans="2:5" ht="15.75">
      <c r="B9" s="179" t="s">
        <v>167</v>
      </c>
      <c r="C9" s="443"/>
      <c r="D9" s="448"/>
      <c r="E9" s="88"/>
    </row>
    <row r="10" spans="2:5" ht="15.75">
      <c r="B10" s="179" t="s">
        <v>168</v>
      </c>
      <c r="C10" s="443"/>
      <c r="D10" s="448"/>
      <c r="E10" s="190" t="str">
        <f>Mvalloc!D10</f>
        <v>  </v>
      </c>
    </row>
    <row r="11" spans="2:5" ht="15.75">
      <c r="B11" s="179" t="s">
        <v>169</v>
      </c>
      <c r="C11" s="443"/>
      <c r="D11" s="448"/>
      <c r="E11" s="190" t="str">
        <f>Mvalloc!E10</f>
        <v>  </v>
      </c>
    </row>
    <row r="12" spans="2:5" ht="15.75">
      <c r="B12" s="192" t="s">
        <v>217</v>
      </c>
      <c r="C12" s="443"/>
      <c r="D12" s="448"/>
      <c r="E12" s="190" t="str">
        <f>Mvalloc!F10</f>
        <v>  </v>
      </c>
    </row>
    <row r="13" spans="2:5" ht="15.75">
      <c r="B13" s="347"/>
      <c r="C13" s="443"/>
      <c r="D13" s="448"/>
      <c r="E13" s="352"/>
    </row>
    <row r="14" spans="2:5" ht="15.75">
      <c r="B14" s="347"/>
      <c r="C14" s="443"/>
      <c r="D14" s="448"/>
      <c r="E14" s="88"/>
    </row>
    <row r="15" spans="2:5" ht="15.75">
      <c r="B15" s="347"/>
      <c r="C15" s="443"/>
      <c r="D15" s="448"/>
      <c r="E15" s="88"/>
    </row>
    <row r="16" spans="2:5" ht="15.75">
      <c r="B16" s="347"/>
      <c r="C16" s="443"/>
      <c r="D16" s="448"/>
      <c r="E16" s="88"/>
    </row>
    <row r="17" spans="2:5" ht="15.75">
      <c r="B17" s="337" t="s">
        <v>170</v>
      </c>
      <c r="C17" s="443"/>
      <c r="D17" s="448"/>
      <c r="E17" s="88"/>
    </row>
    <row r="18" spans="2:5" ht="15.75">
      <c r="B18" s="179" t="s">
        <v>256</v>
      </c>
      <c r="C18" s="494"/>
      <c r="D18" s="448"/>
      <c r="E18" s="88"/>
    </row>
    <row r="19" spans="2:5" ht="15.75">
      <c r="B19" s="179" t="s">
        <v>651</v>
      </c>
      <c r="C19" s="414">
        <f>IF(C20*0.1&lt;C18,"Exceed 10% Rule","")</f>
      </c>
      <c r="D19" s="414">
        <f>IF(D20*0.1&lt;D18,"Exceeds 10% Rule","")</f>
      </c>
      <c r="E19" s="426">
        <f>IF(E20*0.1&lt;E18,"Exceed 10% Rule","")</f>
      </c>
    </row>
    <row r="20" spans="2:5" ht="15.75">
      <c r="B20" s="289" t="s">
        <v>171</v>
      </c>
      <c r="C20" s="449">
        <f>SUM(C8:C18)</f>
        <v>0</v>
      </c>
      <c r="D20" s="449">
        <f>SUM(D8:D18)</f>
        <v>0</v>
      </c>
      <c r="E20" s="348">
        <f>SUM(E9:E18)</f>
        <v>0</v>
      </c>
    </row>
    <row r="21" spans="2:5" ht="15.75">
      <c r="B21" s="289" t="s">
        <v>172</v>
      </c>
      <c r="C21" s="449">
        <f>C6+C20</f>
        <v>0</v>
      </c>
      <c r="D21" s="449">
        <f>D6+D20</f>
        <v>0</v>
      </c>
      <c r="E21" s="348">
        <f>E6+E20</f>
        <v>0</v>
      </c>
    </row>
    <row r="22" spans="2:5" ht="15.75">
      <c r="B22" s="179" t="s">
        <v>173</v>
      </c>
      <c r="C22" s="179"/>
      <c r="D22" s="446"/>
      <c r="E22" s="190"/>
    </row>
    <row r="23" spans="2:5" ht="15.75">
      <c r="B23" s="347"/>
      <c r="C23" s="443"/>
      <c r="D23" s="448"/>
      <c r="E23" s="88"/>
    </row>
    <row r="24" spans="2:10" ht="15.75">
      <c r="B24" s="347"/>
      <c r="C24" s="443"/>
      <c r="D24" s="448"/>
      <c r="E24" s="88"/>
      <c r="G24" s="777" t="str">
        <f>CONCATENATE("Desired Carryover Into ",E1+1,"")</f>
        <v>Desired Carryover Into 2015</v>
      </c>
      <c r="H24" s="778"/>
      <c r="I24" s="778"/>
      <c r="J24" s="779"/>
    </row>
    <row r="25" spans="2:10" ht="15.75">
      <c r="B25" s="347"/>
      <c r="C25" s="448"/>
      <c r="D25" s="448"/>
      <c r="E25" s="88"/>
      <c r="G25" s="559"/>
      <c r="H25" s="464"/>
      <c r="I25" s="480"/>
      <c r="J25" s="560"/>
    </row>
    <row r="26" spans="2:10" ht="15.75">
      <c r="B26" s="347"/>
      <c r="C26" s="443"/>
      <c r="D26" s="448"/>
      <c r="E26" s="88"/>
      <c r="G26" s="486" t="s">
        <v>659</v>
      </c>
      <c r="H26" s="480"/>
      <c r="I26" s="480"/>
      <c r="J26" s="474">
        <v>0</v>
      </c>
    </row>
    <row r="27" spans="2:10" ht="15.75">
      <c r="B27" s="347"/>
      <c r="C27" s="443"/>
      <c r="D27" s="448"/>
      <c r="E27" s="88"/>
      <c r="G27" s="559" t="s">
        <v>658</v>
      </c>
      <c r="H27" s="464"/>
      <c r="I27" s="464"/>
      <c r="J27" s="689">
        <f>IF(J26=0,"",ROUND((J26+E40-G39)/inputOth!E7*1000,3)-G44)</f>
      </c>
    </row>
    <row r="28" spans="2:10" ht="15.75">
      <c r="B28" s="347"/>
      <c r="C28" s="443"/>
      <c r="D28" s="448"/>
      <c r="E28" s="88"/>
      <c r="G28" s="655" t="str">
        <f>CONCATENATE("",E1," Tot Exp/Non-Appr Must Be:")</f>
        <v>2014 Tot Exp/Non-Appr Must Be:</v>
      </c>
      <c r="H28" s="652"/>
      <c r="I28" s="653"/>
      <c r="J28" s="649">
        <f>IF(J26&gt;0,IF(E37&lt;E21,IF(J26=G39,E38,((J26-G39)*(1-D39))+E21),E38+(J26-G39)),0)</f>
        <v>0</v>
      </c>
    </row>
    <row r="29" spans="2:10" ht="15.75">
      <c r="B29" s="347"/>
      <c r="C29" s="443"/>
      <c r="D29" s="448"/>
      <c r="E29" s="88"/>
      <c r="G29" s="687" t="s">
        <v>836</v>
      </c>
      <c r="H29" s="692"/>
      <c r="I29" s="692"/>
      <c r="J29" s="656">
        <f>IF(J26&gt;0,J28-E38,0)</f>
        <v>0</v>
      </c>
    </row>
    <row r="30" spans="2:5" ht="15.75">
      <c r="B30" s="343" t="s">
        <v>53</v>
      </c>
      <c r="C30" s="443"/>
      <c r="D30" s="448"/>
      <c r="E30" s="190">
        <f>Nhood!E8</f>
      </c>
    </row>
    <row r="31" spans="2:10" ht="15.75">
      <c r="B31" s="343" t="s">
        <v>256</v>
      </c>
      <c r="C31" s="494"/>
      <c r="D31" s="448"/>
      <c r="E31" s="88"/>
      <c r="G31" s="777" t="str">
        <f>CONCATENATE("Projected Carryover Into ",E1+1,"")</f>
        <v>Projected Carryover Into 2015</v>
      </c>
      <c r="H31" s="850"/>
      <c r="I31" s="850"/>
      <c r="J31" s="849"/>
    </row>
    <row r="32" spans="2:10" ht="15.75">
      <c r="B32" s="343" t="s">
        <v>656</v>
      </c>
      <c r="C32" s="414">
        <f>IF(C33*0.1&lt;C31,"Exceed 10% Rule","")</f>
      </c>
      <c r="D32" s="414">
        <f>IF(D33*0.1&lt;D31,"Exceed 10% Rule","")</f>
      </c>
      <c r="E32" s="426">
        <f>IF(E33*0.1&lt;E31,"Exceed 10% Rule","")</f>
      </c>
      <c r="G32" s="559"/>
      <c r="H32" s="480"/>
      <c r="I32" s="480"/>
      <c r="J32" s="688"/>
    </row>
    <row r="33" spans="2:10" ht="15.75">
      <c r="B33" s="289" t="s">
        <v>174</v>
      </c>
      <c r="C33" s="445">
        <f>SUM(C23:C31)</f>
        <v>0</v>
      </c>
      <c r="D33" s="445">
        <f>SUM(D23:D31)</f>
        <v>0</v>
      </c>
      <c r="E33" s="340">
        <f>SUM(E23:E31)</f>
        <v>0</v>
      </c>
      <c r="G33" s="477">
        <f>D34</f>
        <v>0</v>
      </c>
      <c r="H33" s="478" t="str">
        <f>CONCATENATE("",E1-1," Ending Cash Balance (est.)")</f>
        <v>2013 Ending Cash Balance (est.)</v>
      </c>
      <c r="I33" s="479"/>
      <c r="J33" s="688"/>
    </row>
    <row r="34" spans="2:10" ht="15.75">
      <c r="B34" s="179" t="s">
        <v>279</v>
      </c>
      <c r="C34" s="450">
        <f>C21-C33</f>
        <v>0</v>
      </c>
      <c r="D34" s="450">
        <f>D21-D33</f>
        <v>0</v>
      </c>
      <c r="E34" s="345" t="s">
        <v>153</v>
      </c>
      <c r="F34"/>
      <c r="G34" s="477">
        <f>E20</f>
        <v>0</v>
      </c>
      <c r="H34" s="480" t="str">
        <f>CONCATENATE("",E1," Non-AV Receipts (est.)")</f>
        <v>2014 Non-AV Receipts (est.)</v>
      </c>
      <c r="I34" s="479"/>
      <c r="J34" s="688"/>
    </row>
    <row r="35" spans="2:11" ht="15.75">
      <c r="B35" s="211" t="str">
        <f>CONCATENATE("",E1-2,"/",E1-1," Budget Authority Amount:")</f>
        <v>2012/2013 Budget Authority Amount:</v>
      </c>
      <c r="C35" s="222">
        <f>inputOth!B56</f>
        <v>0</v>
      </c>
      <c r="D35" s="293">
        <f>inputPrYr!D18</f>
        <v>0</v>
      </c>
      <c r="E35" s="345" t="s">
        <v>153</v>
      </c>
      <c r="F35" s="294"/>
      <c r="G35" s="481">
        <f>IF(E39&gt;0,E38,E40)</f>
        <v>0</v>
      </c>
      <c r="H35" s="480" t="str">
        <f>CONCATENATE("",E1," Ad Valorem Tax (est.)")</f>
        <v>2014 Ad Valorem Tax (est.)</v>
      </c>
      <c r="I35" s="479"/>
      <c r="J35" s="688"/>
      <c r="K35" s="694">
        <f>IF(G35=E40,"","Note: Does not include Delinquent Taxes")</f>
      </c>
    </row>
    <row r="36" spans="2:10" ht="15.75">
      <c r="B36" s="211"/>
      <c r="C36" s="785" t="s">
        <v>652</v>
      </c>
      <c r="D36" s="786"/>
      <c r="E36" s="88"/>
      <c r="F36" s="493">
        <f>IF(E33/0.95-E33&lt;E36,"Exceeds 5%","")</f>
      </c>
      <c r="G36" s="477">
        <f>SUM(G33:G35)</f>
        <v>0</v>
      </c>
      <c r="H36" s="480" t="str">
        <f>CONCATENATE("Total ",E1," Resources Available")</f>
        <v>Total 2014 Resources Available</v>
      </c>
      <c r="I36" s="479"/>
      <c r="J36" s="688"/>
    </row>
    <row r="37" spans="2:10" ht="15.75">
      <c r="B37" s="455" t="str">
        <f>CONCATENATE(C93,"     ",D93)</f>
        <v>     </v>
      </c>
      <c r="C37" s="787" t="s">
        <v>653</v>
      </c>
      <c r="D37" s="788"/>
      <c r="E37" s="190">
        <f>E33+E36</f>
        <v>0</v>
      </c>
      <c r="F37"/>
      <c r="G37" s="482"/>
      <c r="H37" s="480"/>
      <c r="I37" s="480"/>
      <c r="J37" s="688"/>
    </row>
    <row r="38" spans="2:10" ht="15.75">
      <c r="B38" s="455" t="str">
        <f>CONCATENATE(C94,"     ",D94)</f>
        <v>     </v>
      </c>
      <c r="C38" s="295"/>
      <c r="D38" s="219" t="s">
        <v>175</v>
      </c>
      <c r="E38" s="95">
        <f>IF(E37-E21&gt;0,E37-E21,0)</f>
        <v>0</v>
      </c>
      <c r="F38"/>
      <c r="G38" s="481">
        <f>C33</f>
        <v>0</v>
      </c>
      <c r="H38" s="480" t="str">
        <f>CONCATENATE("Less ",E1-2," Expenditures")</f>
        <v>Less 2012 Expenditures</v>
      </c>
      <c r="I38" s="480"/>
      <c r="J38" s="688"/>
    </row>
    <row r="39" spans="2:10" ht="15.75">
      <c r="B39" s="219"/>
      <c r="C39" s="442" t="s">
        <v>654</v>
      </c>
      <c r="D39" s="698">
        <f>inputOth!E41</f>
        <v>0</v>
      </c>
      <c r="E39" s="190">
        <f>ROUND(IF(D39&gt;0,(E38*D39),0),0)</f>
        <v>0</v>
      </c>
      <c r="F39"/>
      <c r="G39" s="690">
        <f>G36-G38</f>
        <v>0</v>
      </c>
      <c r="H39" s="691" t="str">
        <f>CONCATENATE("Projected ",E1+1," carryover (est.)")</f>
        <v>Projected 2015 carryover (est.)</v>
      </c>
      <c r="I39" s="484"/>
      <c r="J39" s="729"/>
    </row>
    <row r="40" spans="2:6" ht="16.5" thickBot="1">
      <c r="B40" s="65"/>
      <c r="C40" s="780" t="str">
        <f>CONCATENATE("Amount of  ",E1-1," Ad Valorem Tax")</f>
        <v>Amount of  2013 Ad Valorem Tax</v>
      </c>
      <c r="D40" s="781"/>
      <c r="E40" s="705">
        <f>SUM(E38:E39)</f>
        <v>0</v>
      </c>
      <c r="F40"/>
    </row>
    <row r="41" spans="2:10" ht="16.5" thickTop="1">
      <c r="B41" s="65"/>
      <c r="C41" s="780"/>
      <c r="D41" s="781"/>
      <c r="E41" s="706"/>
      <c r="F41"/>
      <c r="G41" s="789" t="s">
        <v>954</v>
      </c>
      <c r="H41" s="790"/>
      <c r="I41" s="790"/>
      <c r="J41" s="791"/>
    </row>
    <row r="42" spans="2:10" ht="15.75">
      <c r="B42" s="65"/>
      <c r="C42" s="624"/>
      <c r="D42" s="65"/>
      <c r="E42" s="65"/>
      <c r="F42"/>
      <c r="G42" s="700"/>
      <c r="H42" s="478"/>
      <c r="I42" s="650"/>
      <c r="J42" s="651"/>
    </row>
    <row r="43" spans="2:10" ht="15.75">
      <c r="B43" s="70"/>
      <c r="C43" s="70"/>
      <c r="D43" s="277"/>
      <c r="E43" s="277"/>
      <c r="F43"/>
      <c r="G43" s="702" t="e">
        <f>summ!#REF!</f>
        <v>#REF!</v>
      </c>
      <c r="H43" s="478" t="str">
        <f>CONCATENATE("",E1," Fund Mill Rate")</f>
        <v>2014 Fund Mill Rate</v>
      </c>
      <c r="I43" s="650"/>
      <c r="J43" s="651"/>
    </row>
    <row r="44" spans="2:10" ht="15.75">
      <c r="B44" s="70" t="s">
        <v>165</v>
      </c>
      <c r="C44" s="708" t="s">
        <v>832</v>
      </c>
      <c r="D44" s="709" t="s">
        <v>833</v>
      </c>
      <c r="E44" s="175" t="s">
        <v>834</v>
      </c>
      <c r="F44"/>
      <c r="G44" s="701" t="e">
        <f>summ!#REF!</f>
        <v>#REF!</v>
      </c>
      <c r="H44" s="478" t="str">
        <f>CONCATENATE("",E1-1," Fund Mill Rate")</f>
        <v>2013 Fund Mill Rate</v>
      </c>
      <c r="I44" s="650"/>
      <c r="J44" s="651"/>
    </row>
    <row r="45" spans="2:10" ht="15.75">
      <c r="B45" s="453" t="str">
        <f>inputPrYr!B19</f>
        <v>Library</v>
      </c>
      <c r="C45" s="333" t="str">
        <f>CONCATENATE("Actual for ",$E$1-2,"")</f>
        <v>Actual for 2012</v>
      </c>
      <c r="D45" s="415" t="str">
        <f>CONCATENATE("Estimate for ",$E$1-1,"")</f>
        <v>Estimate for 2013</v>
      </c>
      <c r="E45" s="230" t="str">
        <f>CONCATENATE("Year for ",$E$1,"")</f>
        <v>Year for 2014</v>
      </c>
      <c r="F45"/>
      <c r="G45" s="703">
        <f>summ!H22</f>
        <v>48.57</v>
      </c>
      <c r="H45" s="478" t="str">
        <f>CONCATENATE("Total ",E1," Mill Rate")</f>
        <v>Total 2014 Mill Rate</v>
      </c>
      <c r="I45" s="650"/>
      <c r="J45" s="651"/>
    </row>
    <row r="46" spans="2:10" ht="15.75">
      <c r="B46" s="179" t="s">
        <v>278</v>
      </c>
      <c r="C46" s="443">
        <v>0</v>
      </c>
      <c r="D46" s="446">
        <f>C74</f>
        <v>0</v>
      </c>
      <c r="E46" s="190">
        <f>D74</f>
        <v>0</v>
      </c>
      <c r="F46"/>
      <c r="G46" s="701">
        <f>summ!E22</f>
        <v>53.092</v>
      </c>
      <c r="H46" s="638" t="str">
        <f>CONCATENATE("Total ",E1-1," Mill Rate")</f>
        <v>Total 2013 Mill Rate</v>
      </c>
      <c r="I46" s="639"/>
      <c r="J46" s="640"/>
    </row>
    <row r="47" spans="2:6" ht="15.75">
      <c r="B47" s="279" t="s">
        <v>280</v>
      </c>
      <c r="C47" s="179"/>
      <c r="D47" s="446"/>
      <c r="E47" s="190"/>
      <c r="F47"/>
    </row>
    <row r="48" spans="2:6" ht="15.75">
      <c r="B48" s="179" t="s">
        <v>166</v>
      </c>
      <c r="C48" s="494"/>
      <c r="D48" s="446">
        <f>IF(inputPrYr!H16&gt;0,inputPrYr!G19,inputPrYr!E19)</f>
        <v>0</v>
      </c>
      <c r="E48" s="345" t="s">
        <v>153</v>
      </c>
      <c r="F48"/>
    </row>
    <row r="49" spans="2:6" ht="15.75">
      <c r="B49" s="179" t="s">
        <v>167</v>
      </c>
      <c r="C49" s="494"/>
      <c r="D49" s="448"/>
      <c r="E49" s="88"/>
      <c r="F49"/>
    </row>
    <row r="50" spans="2:6" ht="15.75">
      <c r="B50" s="179" t="s">
        <v>168</v>
      </c>
      <c r="C50" s="494"/>
      <c r="D50" s="448"/>
      <c r="E50" s="190" t="str">
        <f>Mvalloc!D11</f>
        <v>  </v>
      </c>
      <c r="F50"/>
    </row>
    <row r="51" spans="2:6" ht="15.75">
      <c r="B51" s="179" t="s">
        <v>169</v>
      </c>
      <c r="C51" s="494"/>
      <c r="D51" s="448"/>
      <c r="E51" s="190" t="str">
        <f>Mvalloc!E11</f>
        <v>  </v>
      </c>
      <c r="F51"/>
    </row>
    <row r="52" spans="2:5" ht="15.75">
      <c r="B52" s="192" t="s">
        <v>217</v>
      </c>
      <c r="C52" s="494"/>
      <c r="D52" s="448"/>
      <c r="E52" s="190" t="str">
        <f>Mvalloc!F11</f>
        <v>  </v>
      </c>
    </row>
    <row r="53" spans="2:5" ht="15.75">
      <c r="B53" s="347"/>
      <c r="C53" s="494"/>
      <c r="D53" s="448"/>
      <c r="E53" s="352"/>
    </row>
    <row r="54" spans="2:5" ht="15.75">
      <c r="B54" s="347"/>
      <c r="C54" s="494"/>
      <c r="D54" s="448"/>
      <c r="E54" s="352"/>
    </row>
    <row r="55" spans="2:5" ht="15.75">
      <c r="B55" s="347"/>
      <c r="C55" s="494"/>
      <c r="D55" s="448"/>
      <c r="E55" s="88"/>
    </row>
    <row r="56" spans="2:5" ht="15.75">
      <c r="B56" s="347"/>
      <c r="C56" s="494"/>
      <c r="D56" s="448"/>
      <c r="E56" s="88"/>
    </row>
    <row r="57" spans="2:5" ht="15.75">
      <c r="B57" s="337" t="s">
        <v>170</v>
      </c>
      <c r="C57" s="494"/>
      <c r="D57" s="448"/>
      <c r="E57" s="88"/>
    </row>
    <row r="58" spans="2:5" ht="15.75">
      <c r="B58" s="179" t="s">
        <v>256</v>
      </c>
      <c r="C58" s="494"/>
      <c r="D58" s="494"/>
      <c r="E58" s="579"/>
    </row>
    <row r="59" spans="2:5" ht="15.75">
      <c r="B59" s="179" t="s">
        <v>651</v>
      </c>
      <c r="C59" s="414">
        <f>IF(C60*0.1&lt;C58,"Exceed 10% Rule","")</f>
      </c>
      <c r="D59" s="414">
        <f>IF(D60*0.1&lt;D58,"Exceeds 10% Rule","")</f>
      </c>
      <c r="E59" s="426">
        <f>IF(E60*0.1&lt;E58,"Exceed 10% Rule","")</f>
      </c>
    </row>
    <row r="60" spans="2:5" ht="15.75">
      <c r="B60" s="289" t="s">
        <v>171</v>
      </c>
      <c r="C60" s="445">
        <f>SUM(C48:C58)</f>
        <v>0</v>
      </c>
      <c r="D60" s="445">
        <f>SUM(D48:D58)</f>
        <v>0</v>
      </c>
      <c r="E60" s="340">
        <f>SUM(E49:E58)</f>
        <v>0</v>
      </c>
    </row>
    <row r="61" spans="2:5" ht="15.75">
      <c r="B61" s="289" t="s">
        <v>172</v>
      </c>
      <c r="C61" s="445">
        <f>C46+C60</f>
        <v>0</v>
      </c>
      <c r="D61" s="445">
        <f>D46+D60</f>
        <v>0</v>
      </c>
      <c r="E61" s="340">
        <f>E46+E60</f>
        <v>0</v>
      </c>
    </row>
    <row r="62" spans="2:5" ht="15.75">
      <c r="B62" s="179" t="s">
        <v>173</v>
      </c>
      <c r="C62" s="179"/>
      <c r="D62" s="446"/>
      <c r="E62" s="190"/>
    </row>
    <row r="63" spans="2:5" ht="15.75">
      <c r="B63" s="347"/>
      <c r="C63" s="443"/>
      <c r="D63" s="448"/>
      <c r="E63" s="88"/>
    </row>
    <row r="64" spans="2:10" ht="15.75">
      <c r="B64" s="347"/>
      <c r="C64" s="443"/>
      <c r="D64" s="448"/>
      <c r="E64" s="88"/>
      <c r="G64" s="777" t="str">
        <f>CONCATENATE("Desired Carryover Into ",E1+1,"")</f>
        <v>Desired Carryover Into 2015</v>
      </c>
      <c r="H64" s="778"/>
      <c r="I64" s="778"/>
      <c r="J64" s="779"/>
    </row>
    <row r="65" spans="2:10" ht="15.75">
      <c r="B65" s="347"/>
      <c r="C65" s="443"/>
      <c r="D65" s="448"/>
      <c r="E65" s="88"/>
      <c r="G65" s="559"/>
      <c r="H65" s="464"/>
      <c r="I65" s="480"/>
      <c r="J65" s="560"/>
    </row>
    <row r="66" spans="2:10" ht="15.75">
      <c r="B66" s="347"/>
      <c r="C66" s="443"/>
      <c r="D66" s="448"/>
      <c r="E66" s="88"/>
      <c r="G66" s="486" t="s">
        <v>659</v>
      </c>
      <c r="H66" s="480"/>
      <c r="I66" s="480"/>
      <c r="J66" s="474">
        <v>0</v>
      </c>
    </row>
    <row r="67" spans="2:10" ht="15.75">
      <c r="B67" s="347"/>
      <c r="C67" s="443"/>
      <c r="D67" s="448"/>
      <c r="E67" s="88"/>
      <c r="G67" s="559" t="s">
        <v>658</v>
      </c>
      <c r="H67" s="464"/>
      <c r="I67" s="464"/>
      <c r="J67" s="689">
        <f>IF(J66=0,"",ROUND((J66+E80-G79)/inputOth!E7*1000,3)-G84)</f>
      </c>
    </row>
    <row r="68" spans="2:10" ht="15.75">
      <c r="B68" s="347"/>
      <c r="C68" s="443"/>
      <c r="D68" s="448"/>
      <c r="E68" s="88"/>
      <c r="G68" s="655" t="str">
        <f>CONCATENATE("",E1," Tot Exp/Non-Appr Must Be:")</f>
        <v>2014 Tot Exp/Non-Appr Must Be:</v>
      </c>
      <c r="H68" s="652"/>
      <c r="I68" s="653"/>
      <c r="J68" s="649">
        <f>IF(J66&gt;0,IF(E77&lt;E61,IF(J66=G79,E77,((J66-G79)*(1-D79))+E61),E77+(J66-G79)),0)</f>
        <v>0</v>
      </c>
    </row>
    <row r="69" spans="2:10" ht="15.75">
      <c r="B69" s="347"/>
      <c r="C69" s="443"/>
      <c r="D69" s="448"/>
      <c r="E69" s="88"/>
      <c r="G69" s="687" t="s">
        <v>836</v>
      </c>
      <c r="H69" s="692"/>
      <c r="I69" s="692"/>
      <c r="J69" s="656">
        <f>IF(J66&gt;0,J68-E77,0)</f>
        <v>0</v>
      </c>
    </row>
    <row r="70" spans="2:6" ht="15.75">
      <c r="B70" s="192" t="s">
        <v>53</v>
      </c>
      <c r="C70" s="443"/>
      <c r="D70" s="448"/>
      <c r="E70" s="190">
        <f>Nhood!E9</f>
      </c>
      <c r="F70"/>
    </row>
    <row r="71" spans="2:10" ht="15.75">
      <c r="B71" s="192" t="s">
        <v>256</v>
      </c>
      <c r="C71" s="494"/>
      <c r="D71" s="448"/>
      <c r="E71" s="88"/>
      <c r="F71"/>
      <c r="G71" s="777" t="str">
        <f>CONCATENATE("Projected Carryover Into ",E1+1,"")</f>
        <v>Projected Carryover Into 2015</v>
      </c>
      <c r="H71" s="848"/>
      <c r="I71" s="848"/>
      <c r="J71" s="849"/>
    </row>
    <row r="72" spans="2:10" ht="15.75">
      <c r="B72" s="192" t="s">
        <v>650</v>
      </c>
      <c r="C72" s="414">
        <f>IF(C73*0.1&lt;C71,"Exceed 10% Rule","")</f>
      </c>
      <c r="D72" s="414">
        <f>IF(D73*0.1&lt;D71,"Exceed 10% Rule","")</f>
      </c>
      <c r="E72" s="426">
        <f>IF(E73*0.1&lt;E71,"Exceed 10% Rule","")</f>
      </c>
      <c r="F72"/>
      <c r="G72" s="475"/>
      <c r="H72" s="464"/>
      <c r="I72" s="464"/>
      <c r="J72" s="704"/>
    </row>
    <row r="73" spans="2:10" ht="15.75">
      <c r="B73" s="289" t="s">
        <v>174</v>
      </c>
      <c r="C73" s="445">
        <f>SUM(C63:C71)</f>
        <v>0</v>
      </c>
      <c r="D73" s="445">
        <f>SUM(D63:D71)</f>
        <v>0</v>
      </c>
      <c r="E73" s="340">
        <f>SUM(E63:E71)</f>
        <v>0</v>
      </c>
      <c r="F73"/>
      <c r="G73" s="477">
        <f>D74</f>
        <v>0</v>
      </c>
      <c r="H73" s="478" t="str">
        <f>CONCATENATE("",E1-1," Ending Cash Balance (est.)")</f>
        <v>2013 Ending Cash Balance (est.)</v>
      </c>
      <c r="I73" s="479"/>
      <c r="J73" s="704"/>
    </row>
    <row r="74" spans="2:10" ht="15.75">
      <c r="B74" s="179" t="s">
        <v>279</v>
      </c>
      <c r="C74" s="450">
        <f>C61-C73</f>
        <v>0</v>
      </c>
      <c r="D74" s="450">
        <f>D61-D73</f>
        <v>0</v>
      </c>
      <c r="E74" s="345" t="s">
        <v>153</v>
      </c>
      <c r="F74"/>
      <c r="G74" s="477">
        <f>E60</f>
        <v>0</v>
      </c>
      <c r="H74" s="480" t="str">
        <f>CONCATENATE("",E1," Non-AV Receipts (est.)")</f>
        <v>2014 Non-AV Receipts (est.)</v>
      </c>
      <c r="I74" s="479"/>
      <c r="J74" s="704"/>
    </row>
    <row r="75" spans="2:11" ht="15.75">
      <c r="B75" s="211" t="str">
        <f>CONCATENATE("",E1-2,"/",E1-1," Budget Authority Amount:")</f>
        <v>2012/2013 Budget Authority Amount:</v>
      </c>
      <c r="C75" s="222">
        <f>inputOth!B57</f>
        <v>0</v>
      </c>
      <c r="D75" s="222">
        <f>inputPrYr!D19</f>
        <v>0</v>
      </c>
      <c r="E75" s="345" t="s">
        <v>153</v>
      </c>
      <c r="F75" s="294"/>
      <c r="G75" s="481">
        <f>IF(E79&gt;0,E78,E80)</f>
        <v>0</v>
      </c>
      <c r="H75" s="480" t="str">
        <f>CONCATENATE("",E1," Ad Valorem Tax (est.)")</f>
        <v>2014 Ad Valorem Tax (est.)</v>
      </c>
      <c r="I75" s="479"/>
      <c r="J75" s="704"/>
      <c r="K75" s="694">
        <f>IF(G75=E80,"","Note: Does not include Delinquent Taxes")</f>
      </c>
    </row>
    <row r="76" spans="2:10" ht="15.75">
      <c r="B76" s="211"/>
      <c r="C76" s="785" t="s">
        <v>652</v>
      </c>
      <c r="D76" s="786"/>
      <c r="E76" s="88"/>
      <c r="F76" s="685">
        <f>IF(E73/0.95-E73&lt;E76,"Exceeds 5%","")</f>
      </c>
      <c r="G76" s="561">
        <f>SUM(G73:G75)</f>
        <v>0</v>
      </c>
      <c r="H76" s="480" t="str">
        <f>CONCATENATE("Total ",E1," Resources Available")</f>
        <v>Total 2014 Resources Available</v>
      </c>
      <c r="I76" s="476"/>
      <c r="J76" s="704"/>
    </row>
    <row r="77" spans="2:10" ht="15.75">
      <c r="B77" s="455" t="str">
        <f>CONCATENATE(C95,"     ",D95)</f>
        <v>     </v>
      </c>
      <c r="C77" s="787" t="s">
        <v>653</v>
      </c>
      <c r="D77" s="788"/>
      <c r="E77" s="190">
        <f>E73+E76</f>
        <v>0</v>
      </c>
      <c r="F77"/>
      <c r="G77" s="564"/>
      <c r="H77" s="562"/>
      <c r="I77" s="464"/>
      <c r="J77" s="704"/>
    </row>
    <row r="78" spans="2:10" ht="15.75">
      <c r="B78" s="455" t="str">
        <f>CONCATENATE(C96,"     ",D96)</f>
        <v>     </v>
      </c>
      <c r="C78" s="295"/>
      <c r="D78" s="219" t="s">
        <v>175</v>
      </c>
      <c r="E78" s="95">
        <f>IF(E77-E61&gt;0,E77-E61,0)</f>
        <v>0</v>
      </c>
      <c r="F78"/>
      <c r="G78" s="563">
        <f>ROUND(C73*0.05+C73,0)</f>
        <v>0</v>
      </c>
      <c r="H78" s="562" t="str">
        <f>CONCATENATE("Less ",E1-2," Expenditures + 5%")</f>
        <v>Less 2012 Expenditures + 5%</v>
      </c>
      <c r="I78" s="476"/>
      <c r="J78" s="704"/>
    </row>
    <row r="79" spans="2:10" ht="15.75">
      <c r="B79" s="219"/>
      <c r="C79" s="442" t="s">
        <v>654</v>
      </c>
      <c r="D79" s="698">
        <f>inputOth!E41</f>
        <v>0</v>
      </c>
      <c r="E79" s="190">
        <f>ROUND(IF(E78&gt;0,(E78*D79),0),0)</f>
        <v>0</v>
      </c>
      <c r="F79"/>
      <c r="G79" s="573">
        <f>G76-G78</f>
        <v>0</v>
      </c>
      <c r="H79" s="574" t="str">
        <f>CONCATENATE("Projected ",E1+1," carryover (est.)")</f>
        <v>Projected 2015 carryover (est.)</v>
      </c>
      <c r="I79" s="485"/>
      <c r="J79" s="730"/>
    </row>
    <row r="80" spans="2:6" ht="16.5" thickBot="1">
      <c r="B80" s="65"/>
      <c r="C80" s="780" t="str">
        <f>CONCATENATE("Amount of  ",E1-1," Ad Valorem Tax")</f>
        <v>Amount of  2013 Ad Valorem Tax</v>
      </c>
      <c r="D80" s="781"/>
      <c r="E80" s="705">
        <f>E78+E79</f>
        <v>0</v>
      </c>
      <c r="F80" s="686" t="e">
        <f>IF('Library Grant'!F33="","",IF('Library Grant'!F33="Qualify","Qualifies for State Library Grant","See 'Library Grant' tab"))</f>
        <v>#REF!</v>
      </c>
    </row>
    <row r="81" spans="2:10" ht="16.5" thickTop="1">
      <c r="B81" s="219"/>
      <c r="C81" s="780"/>
      <c r="D81" s="781"/>
      <c r="E81" s="706"/>
      <c r="F81"/>
      <c r="G81" s="789" t="s">
        <v>954</v>
      </c>
      <c r="H81" s="790"/>
      <c r="I81" s="790"/>
      <c r="J81" s="791"/>
    </row>
    <row r="82" spans="2:10" ht="15.75">
      <c r="B82" s="219"/>
      <c r="C82" s="219"/>
      <c r="D82" s="219"/>
      <c r="E82" s="219"/>
      <c r="G82" s="700"/>
      <c r="H82" s="478"/>
      <c r="I82" s="650"/>
      <c r="J82" s="651"/>
    </row>
    <row r="83" spans="2:10" ht="15.75">
      <c r="B83" s="219" t="s">
        <v>177</v>
      </c>
      <c r="C83" s="346"/>
      <c r="D83" s="219"/>
      <c r="E83" s="219"/>
      <c r="F83"/>
      <c r="G83" s="702" t="e">
        <f>summ!#REF!</f>
        <v>#REF!</v>
      </c>
      <c r="H83" s="478" t="str">
        <f>CONCATENATE("",E1," Fund Mill Rate")</f>
        <v>2014 Fund Mill Rate</v>
      </c>
      <c r="I83" s="650"/>
      <c r="J83" s="651"/>
    </row>
    <row r="84" spans="7:10" ht="15.75">
      <c r="G84" s="701" t="e">
        <f>summ!#REF!</f>
        <v>#REF!</v>
      </c>
      <c r="H84" s="478" t="str">
        <f>CONCATENATE("",E1-1," Fund Mill Rate")</f>
        <v>2013 Fund Mill Rate</v>
      </c>
      <c r="I84" s="650"/>
      <c r="J84" s="651"/>
    </row>
    <row r="85" spans="7:10" ht="15.75">
      <c r="G85" s="703">
        <f>summ!H22</f>
        <v>48.57</v>
      </c>
      <c r="H85" s="478" t="str">
        <f>CONCATENATE("Total ",E1," Mill Rate")</f>
        <v>Total 2014 Mill Rate</v>
      </c>
      <c r="I85" s="650"/>
      <c r="J85" s="651"/>
    </row>
    <row r="86" spans="7:10" ht="15.75">
      <c r="G86" s="701">
        <f>summ!E22</f>
        <v>53.092</v>
      </c>
      <c r="H86" s="638" t="str">
        <f>CONCATENATE("Total ",E1-1," Mill Rate")</f>
        <v>Total 2013 Mill Rate</v>
      </c>
      <c r="I86" s="639"/>
      <c r="J86" s="640"/>
    </row>
    <row r="87" spans="7:10" ht="15.75">
      <c r="G87" s="707"/>
      <c r="H87" s="707"/>
      <c r="I87" s="707"/>
      <c r="J87" s="707"/>
    </row>
    <row r="88" spans="3:4" ht="15.75">
      <c r="C88" s="66" t="s">
        <v>655</v>
      </c>
      <c r="D88" s="66" t="s">
        <v>655</v>
      </c>
    </row>
    <row r="89" spans="3:4" ht="15.75">
      <c r="C89" s="66" t="s">
        <v>655</v>
      </c>
      <c r="D89" s="66" t="s">
        <v>655</v>
      </c>
    </row>
    <row r="91" spans="3:4" ht="15.75">
      <c r="C91" s="66" t="s">
        <v>655</v>
      </c>
      <c r="D91" s="66" t="s">
        <v>655</v>
      </c>
    </row>
    <row r="92" spans="3:4" ht="15.75">
      <c r="C92" s="66" t="s">
        <v>655</v>
      </c>
      <c r="D92" s="66" t="s">
        <v>655</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Beattie</v>
      </c>
      <c r="C1" s="202"/>
      <c r="D1" s="65"/>
      <c r="E1" s="162">
        <f>inputPrYr!$C$5</f>
        <v>2014</v>
      </c>
    </row>
    <row r="2" spans="2:5" ht="15.75">
      <c r="B2" s="65"/>
      <c r="C2" s="65"/>
      <c r="D2" s="65"/>
      <c r="E2" s="219"/>
    </row>
    <row r="3" spans="2:5" ht="15.75">
      <c r="B3" s="82" t="s">
        <v>221</v>
      </c>
      <c r="C3" s="82"/>
      <c r="D3" s="277"/>
      <c r="E3" s="164"/>
    </row>
    <row r="4" spans="2:5" ht="15.75">
      <c r="B4" s="70" t="s">
        <v>165</v>
      </c>
      <c r="C4" s="708" t="s">
        <v>832</v>
      </c>
      <c r="D4" s="709" t="s">
        <v>833</v>
      </c>
      <c r="E4" s="175" t="s">
        <v>834</v>
      </c>
    </row>
    <row r="5" spans="2:5" ht="15.75">
      <c r="B5" s="452">
        <f>(inputPrYr!B21)</f>
        <v>0</v>
      </c>
      <c r="C5" s="333" t="str">
        <f>CONCATENATE("Actual for ",$E$1-2,"")</f>
        <v>Actual for 2012</v>
      </c>
      <c r="D5" s="415" t="str">
        <f>CONCATENATE("Estimate for ",$E$1-1,"")</f>
        <v>Estimate for 2013</v>
      </c>
      <c r="E5" s="230" t="str">
        <f>CONCATENATE("Year for ",$E$1,"")</f>
        <v>Year for 2014</v>
      </c>
    </row>
    <row r="6" spans="2:5" ht="15.75">
      <c r="B6" s="179" t="s">
        <v>278</v>
      </c>
      <c r="C6" s="447"/>
      <c r="D6" s="446">
        <f>C34</f>
        <v>0</v>
      </c>
      <c r="E6" s="190">
        <f>D34</f>
        <v>0</v>
      </c>
    </row>
    <row r="7" spans="2:5" ht="15.75">
      <c r="B7" s="179" t="s">
        <v>280</v>
      </c>
      <c r="C7" s="191"/>
      <c r="D7" s="446"/>
      <c r="E7" s="190"/>
    </row>
    <row r="8" spans="2:5" ht="15.75">
      <c r="B8" s="179" t="s">
        <v>166</v>
      </c>
      <c r="C8" s="443"/>
      <c r="D8" s="446">
        <f>IF(inputPrYr!H16&gt;0,inputPrYr!G21,inputPrYr!E21)</f>
        <v>0</v>
      </c>
      <c r="E8" s="345" t="s">
        <v>153</v>
      </c>
    </row>
    <row r="9" spans="2:5" ht="15.75">
      <c r="B9" s="179" t="s">
        <v>167</v>
      </c>
      <c r="C9" s="443"/>
      <c r="D9" s="448"/>
      <c r="E9" s="88"/>
    </row>
    <row r="10" spans="2:5" ht="15.75">
      <c r="B10" s="179" t="s">
        <v>168</v>
      </c>
      <c r="C10" s="443"/>
      <c r="D10" s="448"/>
      <c r="E10" s="190" t="str">
        <f>Mvalloc!D12</f>
        <v>  </v>
      </c>
    </row>
    <row r="11" spans="2:5" ht="15.75">
      <c r="B11" s="179" t="s">
        <v>169</v>
      </c>
      <c r="C11" s="443"/>
      <c r="D11" s="448"/>
      <c r="E11" s="190" t="str">
        <f>Mvalloc!E12</f>
        <v>  </v>
      </c>
    </row>
    <row r="12" spans="2:5" ht="15.75">
      <c r="B12" s="192" t="s">
        <v>217</v>
      </c>
      <c r="C12" s="443"/>
      <c r="D12" s="448"/>
      <c r="E12" s="190" t="str">
        <f>Mvalloc!F12</f>
        <v>  </v>
      </c>
    </row>
    <row r="13" spans="2:5" ht="15.75">
      <c r="B13" s="347"/>
      <c r="C13" s="443"/>
      <c r="D13" s="448"/>
      <c r="E13" s="352"/>
    </row>
    <row r="14" spans="2:5" ht="15.75">
      <c r="B14" s="347"/>
      <c r="C14" s="443"/>
      <c r="D14" s="448"/>
      <c r="E14" s="88"/>
    </row>
    <row r="15" spans="2:5" ht="15.75">
      <c r="B15" s="347"/>
      <c r="C15" s="443"/>
      <c r="D15" s="448"/>
      <c r="E15" s="88"/>
    </row>
    <row r="16" spans="2:5" ht="15.75">
      <c r="B16" s="347"/>
      <c r="C16" s="443"/>
      <c r="D16" s="448"/>
      <c r="E16" s="88"/>
    </row>
    <row r="17" spans="2:5" ht="15.75">
      <c r="B17" s="337" t="s">
        <v>170</v>
      </c>
      <c r="C17" s="443"/>
      <c r="D17" s="448"/>
      <c r="E17" s="88"/>
    </row>
    <row r="18" spans="2:5" ht="15.75">
      <c r="B18" s="179" t="s">
        <v>256</v>
      </c>
      <c r="C18" s="443"/>
      <c r="D18" s="448"/>
      <c r="E18" s="88"/>
    </row>
    <row r="19" spans="2:5" ht="15.75">
      <c r="B19" s="179" t="s">
        <v>651</v>
      </c>
      <c r="C19" s="444">
        <f>IF(C20*0.1&lt;C18,"Exceed 10% Rule","")</f>
      </c>
      <c r="D19" s="454">
        <f>IF(D20*0.1&lt;D18,"Exceed 10% Rule","")</f>
      </c>
      <c r="E19" s="338">
        <f>IF(E20*0.1+E40&lt;E18,"Exceed 10% Rule","")</f>
      </c>
    </row>
    <row r="20" spans="2:5" ht="15.75">
      <c r="B20" s="289" t="s">
        <v>171</v>
      </c>
      <c r="C20" s="449">
        <f>SUM(C8:C18)</f>
        <v>0</v>
      </c>
      <c r="D20" s="449">
        <f>SUM(D8:D18)</f>
        <v>0</v>
      </c>
      <c r="E20" s="348">
        <f>SUM(E8:E18)</f>
        <v>0</v>
      </c>
    </row>
    <row r="21" spans="2:5" ht="15.75">
      <c r="B21" s="289" t="s">
        <v>172</v>
      </c>
      <c r="C21" s="449">
        <f>C6+C20</f>
        <v>0</v>
      </c>
      <c r="D21" s="449">
        <f>D6+D20</f>
        <v>0</v>
      </c>
      <c r="E21" s="348">
        <f>E6+E20</f>
        <v>0</v>
      </c>
    </row>
    <row r="22" spans="2:5" ht="15.75">
      <c r="B22" s="179" t="s">
        <v>173</v>
      </c>
      <c r="C22" s="179"/>
      <c r="D22" s="446"/>
      <c r="E22" s="190"/>
    </row>
    <row r="23" spans="2:5" ht="15.75">
      <c r="B23" s="347"/>
      <c r="C23" s="443"/>
      <c r="D23" s="448"/>
      <c r="E23" s="88"/>
    </row>
    <row r="24" spans="2:10" ht="15.75">
      <c r="B24" s="347"/>
      <c r="C24" s="443"/>
      <c r="D24" s="448"/>
      <c r="E24" s="88"/>
      <c r="G24" s="777" t="str">
        <f>CONCATENATE("Desired Carryover Into ",E1+1,"")</f>
        <v>Desired Carryover Into 2015</v>
      </c>
      <c r="H24" s="778"/>
      <c r="I24" s="778"/>
      <c r="J24" s="779"/>
    </row>
    <row r="25" spans="2:10" ht="15.75">
      <c r="B25" s="347"/>
      <c r="C25" s="443"/>
      <c r="D25" s="448"/>
      <c r="E25" s="88"/>
      <c r="G25" s="559"/>
      <c r="H25" s="464"/>
      <c r="I25" s="480"/>
      <c r="J25" s="560"/>
    </row>
    <row r="26" spans="2:10" ht="15.75">
      <c r="B26" s="347"/>
      <c r="C26" s="443"/>
      <c r="D26" s="448"/>
      <c r="E26" s="88"/>
      <c r="G26" s="486" t="s">
        <v>659</v>
      </c>
      <c r="H26" s="480"/>
      <c r="I26" s="480"/>
      <c r="J26" s="474">
        <v>0</v>
      </c>
    </row>
    <row r="27" spans="2:10" ht="15.75">
      <c r="B27" s="347"/>
      <c r="C27" s="443"/>
      <c r="D27" s="448"/>
      <c r="E27" s="88"/>
      <c r="G27" s="559" t="s">
        <v>658</v>
      </c>
      <c r="H27" s="464"/>
      <c r="I27" s="464"/>
      <c r="J27" s="689">
        <f>IF(J26=0,"",ROUND((J26+E40-G39)/inputOth!E7*1000,3)-G44)</f>
      </c>
    </row>
    <row r="28" spans="2:10" ht="15.75">
      <c r="B28" s="347"/>
      <c r="C28" s="443"/>
      <c r="D28" s="448"/>
      <c r="E28" s="88"/>
      <c r="G28" s="655" t="str">
        <f>CONCATENATE("",E1," Tot Exp/Non-Appr Must Be:")</f>
        <v>2014 Tot Exp/Non-Appr Must Be:</v>
      </c>
      <c r="H28" s="652"/>
      <c r="I28" s="653"/>
      <c r="J28" s="649">
        <f>IF(J26&gt;0,IF(E37&lt;E21,IF(J26=G39,E38,((J26-G39)*(1-D39))+E21),E38+(J26-G39)),0)</f>
        <v>0</v>
      </c>
    </row>
    <row r="29" spans="2:10" ht="15.75">
      <c r="B29" s="347"/>
      <c r="C29" s="443"/>
      <c r="D29" s="448"/>
      <c r="E29" s="88"/>
      <c r="G29" s="687" t="s">
        <v>836</v>
      </c>
      <c r="H29" s="692"/>
      <c r="I29" s="692"/>
      <c r="J29" s="656">
        <f>IF(J26&gt;0,J28-E38,0)</f>
        <v>0</v>
      </c>
    </row>
    <row r="30" spans="2:10" ht="15.75">
      <c r="B30" s="343" t="s">
        <v>53</v>
      </c>
      <c r="C30" s="443"/>
      <c r="D30" s="448"/>
      <c r="E30" s="190">
        <f>Nhood!E10</f>
      </c>
      <c r="J30" s="2"/>
    </row>
    <row r="31" spans="2:10" ht="15.75">
      <c r="B31" s="343" t="s">
        <v>256</v>
      </c>
      <c r="C31" s="443"/>
      <c r="D31" s="448"/>
      <c r="E31" s="88"/>
      <c r="G31" s="777" t="str">
        <f>CONCATENATE("Projected Carryover Into ",E1+1,"")</f>
        <v>Projected Carryover Into 2015</v>
      </c>
      <c r="H31" s="850"/>
      <c r="I31" s="850"/>
      <c r="J31" s="849"/>
    </row>
    <row r="32" spans="2:10" ht="15.75">
      <c r="B32" s="343" t="s">
        <v>656</v>
      </c>
      <c r="C32" s="414">
        <f>IF(C33*0.1&lt;C31,"Exceed 10% Rule","")</f>
      </c>
      <c r="D32" s="426">
        <f>IF(D33*0.1&lt;D31,"Exceed 10% Rule","")</f>
      </c>
      <c r="E32" s="288">
        <f>IF(E33*0.1&lt;E31,"Exceed 10% Rule","")</f>
      </c>
      <c r="G32" s="559"/>
      <c r="H32" s="480"/>
      <c r="I32" s="480"/>
      <c r="J32" s="704"/>
    </row>
    <row r="33" spans="2:10" ht="15.75">
      <c r="B33" s="289" t="s">
        <v>174</v>
      </c>
      <c r="C33" s="445">
        <f>SUM(C23:C31)</f>
        <v>0</v>
      </c>
      <c r="D33" s="445">
        <f>SUM(D23:D31)</f>
        <v>0</v>
      </c>
      <c r="E33" s="340">
        <f>SUM(E23:E31)</f>
        <v>0</v>
      </c>
      <c r="G33" s="477">
        <f>D34</f>
        <v>0</v>
      </c>
      <c r="H33" s="478" t="str">
        <f>CONCATENATE("",E1-1," Ending Cash Balance (est.)")</f>
        <v>2013 Ending Cash Balance (est.)</v>
      </c>
      <c r="I33" s="479"/>
      <c r="J33" s="704"/>
    </row>
    <row r="34" spans="2:10" ht="15.75">
      <c r="B34" s="179" t="s">
        <v>279</v>
      </c>
      <c r="C34" s="450">
        <f>C21-C33</f>
        <v>0</v>
      </c>
      <c r="D34" s="450">
        <f>D21-D33</f>
        <v>0</v>
      </c>
      <c r="E34" s="345" t="s">
        <v>153</v>
      </c>
      <c r="G34" s="477">
        <f>E20</f>
        <v>0</v>
      </c>
      <c r="H34" s="480" t="str">
        <f>CONCATENATE("",E1," Non-AV Receipts (est.)")</f>
        <v>2014 Non-AV Receipts (est.)</v>
      </c>
      <c r="I34" s="479"/>
      <c r="J34" s="704"/>
    </row>
    <row r="35" spans="2:11" ht="15.75">
      <c r="B35" s="211" t="str">
        <f>CONCATENATE("",E1-2,"/",E1-1," Budget Authority Amount:")</f>
        <v>2012/2013 Budget Authority Amount:</v>
      </c>
      <c r="C35" s="462">
        <f>inputOth!B58</f>
        <v>0</v>
      </c>
      <c r="D35" s="222">
        <f>inputPrYr!D21</f>
        <v>0</v>
      </c>
      <c r="E35" s="345" t="s">
        <v>153</v>
      </c>
      <c r="F35" s="294"/>
      <c r="G35" s="481">
        <f>IF(E39&gt;0,E38,E40)</f>
        <v>0</v>
      </c>
      <c r="H35" s="480" t="str">
        <f>CONCATENATE("",E1," Ad Valorem Tax (est.)")</f>
        <v>2014 Ad Valorem Tax (est.)</v>
      </c>
      <c r="I35" s="479"/>
      <c r="J35" s="731"/>
      <c r="K35" s="694">
        <f>IF(G35=E40,"","Note: Does not include Delinquent Taxes")</f>
      </c>
    </row>
    <row r="36" spans="2:10" ht="15.75">
      <c r="B36" s="211"/>
      <c r="C36" s="785" t="s">
        <v>652</v>
      </c>
      <c r="D36" s="786"/>
      <c r="E36" s="88"/>
      <c r="F36" s="294">
        <f>IF(E33/0.95-E33&lt;E36,"Exceeds 5%","")</f>
      </c>
      <c r="G36" s="477">
        <f>SUM(G33:G35)</f>
        <v>0</v>
      </c>
      <c r="H36" s="480" t="str">
        <f>CONCATENATE("Total ",E1," Resources Available")</f>
        <v>Total 2014 Resources Available</v>
      </c>
      <c r="I36" s="479"/>
      <c r="J36" s="704"/>
    </row>
    <row r="37" spans="2:10" ht="15.75">
      <c r="B37" s="455" t="str">
        <f>CONCATENATE(C94,"     ",D94)</f>
        <v>     </v>
      </c>
      <c r="C37" s="787" t="s">
        <v>653</v>
      </c>
      <c r="D37" s="788"/>
      <c r="E37" s="190">
        <f>E33+E36</f>
        <v>0</v>
      </c>
      <c r="G37" s="482"/>
      <c r="H37" s="480"/>
      <c r="I37" s="480"/>
      <c r="J37" s="704"/>
    </row>
    <row r="38" spans="2:10" ht="15.75">
      <c r="B38" s="455" t="str">
        <f>CONCATENATE(C95,"     ",D95)</f>
        <v>     </v>
      </c>
      <c r="C38" s="295"/>
      <c r="D38" s="219" t="s">
        <v>175</v>
      </c>
      <c r="E38" s="95">
        <f>IF(E37-E21&gt;0,E37-E21,0)</f>
        <v>0</v>
      </c>
      <c r="G38" s="481">
        <f>ROUND(C33*0.05+C33,0)</f>
        <v>0</v>
      </c>
      <c r="H38" s="480" t="str">
        <f>CONCATENATE("Less ",E1-2," Expenditures + 5%")</f>
        <v>Less 2012 Expenditures + 5%</v>
      </c>
      <c r="I38" s="479"/>
      <c r="J38" s="704"/>
    </row>
    <row r="39" spans="2:10" ht="15.75">
      <c r="B39" s="219"/>
      <c r="C39" s="442" t="s">
        <v>654</v>
      </c>
      <c r="D39" s="698">
        <f>inputOth!E41</f>
        <v>0</v>
      </c>
      <c r="E39" s="190">
        <f>ROUND(IF(D39&gt;0,(E38*D39),0),0)</f>
        <v>0</v>
      </c>
      <c r="G39" s="690">
        <f>G36-G38</f>
        <v>0</v>
      </c>
      <c r="H39" s="691" t="str">
        <f>CONCATENATE("Projected ",E1+1," carryover (est.)")</f>
        <v>Projected 2015 carryover (est.)</v>
      </c>
      <c r="I39" s="484"/>
      <c r="J39" s="730"/>
    </row>
    <row r="40" spans="2:10" ht="16.5" thickBot="1">
      <c r="B40" s="65"/>
      <c r="C40" s="780" t="str">
        <f>CONCATENATE("Amount of  ",E1-1," Ad Valorem Tax")</f>
        <v>Amount of  2013 Ad Valorem Tax</v>
      </c>
      <c r="D40" s="781"/>
      <c r="E40" s="705">
        <f>E38+E39</f>
        <v>0</v>
      </c>
      <c r="G40" s="2"/>
      <c r="H40" s="2"/>
      <c r="I40" s="2"/>
      <c r="J40" s="2"/>
    </row>
    <row r="41" spans="2:10" ht="16.5" thickTop="1">
      <c r="B41" s="65"/>
      <c r="C41" s="780"/>
      <c r="D41" s="781"/>
      <c r="E41" s="65"/>
      <c r="G41" s="789" t="s">
        <v>954</v>
      </c>
      <c r="H41" s="790"/>
      <c r="I41" s="790"/>
      <c r="J41" s="791"/>
    </row>
    <row r="42" spans="2:10" ht="15.75">
      <c r="B42" s="65"/>
      <c r="C42" s="624"/>
      <c r="D42" s="65"/>
      <c r="E42" s="65"/>
      <c r="G42" s="700"/>
      <c r="H42" s="478"/>
      <c r="I42" s="650"/>
      <c r="J42" s="651"/>
    </row>
    <row r="43" spans="2:10" ht="15.75">
      <c r="B43" s="70" t="s">
        <v>165</v>
      </c>
      <c r="C43" s="70"/>
      <c r="D43" s="277"/>
      <c r="E43" s="277"/>
      <c r="G43" s="702" t="e">
        <f>summ!#REF!</f>
        <v>#REF!</v>
      </c>
      <c r="H43" s="478" t="str">
        <f>CONCATENATE("",E1," Fund Mill Rate")</f>
        <v>2014 Fund Mill Rate</v>
      </c>
      <c r="I43" s="650"/>
      <c r="J43" s="651"/>
    </row>
    <row r="44" spans="2:10" ht="15.75">
      <c r="B44" s="65"/>
      <c r="C44" s="708" t="s">
        <v>832</v>
      </c>
      <c r="D44" s="709" t="s">
        <v>833</v>
      </c>
      <c r="E44" s="175" t="s">
        <v>834</v>
      </c>
      <c r="G44" s="701" t="e">
        <f>summ!#REF!</f>
        <v>#REF!</v>
      </c>
      <c r="H44" s="478" t="str">
        <f>CONCATENATE("",E1-1," Fund Mill Rate")</f>
        <v>2013 Fund Mill Rate</v>
      </c>
      <c r="I44" s="650"/>
      <c r="J44" s="651"/>
    </row>
    <row r="45" spans="2:10" ht="15.75">
      <c r="B45" s="453">
        <f>(inputPrYr!B22)</f>
        <v>0</v>
      </c>
      <c r="C45" s="333" t="str">
        <f>CONCATENATE("Actual for ",$E$1-2,"")</f>
        <v>Actual for 2012</v>
      </c>
      <c r="D45" s="415" t="str">
        <f>CONCATENATE("Estimate for ",$E$1-1,"")</f>
        <v>Estimate for 2013</v>
      </c>
      <c r="E45" s="230" t="str">
        <f>CONCATENATE("Year for ",$E$1,"")</f>
        <v>Year for 2014</v>
      </c>
      <c r="G45" s="703">
        <f>summ!H22</f>
        <v>48.57</v>
      </c>
      <c r="H45" s="478" t="str">
        <f>CONCATENATE("Total ",E1," Mill Rate")</f>
        <v>Total 2014 Mill Rate</v>
      </c>
      <c r="I45" s="650"/>
      <c r="J45" s="651"/>
    </row>
    <row r="46" spans="2:10" ht="15.75">
      <c r="B46" s="179" t="s">
        <v>278</v>
      </c>
      <c r="C46" s="443"/>
      <c r="D46" s="446">
        <f>C74</f>
        <v>0</v>
      </c>
      <c r="E46" s="190">
        <f>D74</f>
        <v>0</v>
      </c>
      <c r="G46" s="701">
        <f>summ!E22</f>
        <v>53.092</v>
      </c>
      <c r="H46" s="638" t="str">
        <f>CONCATENATE("Total ",E1-1," Mill Rate")</f>
        <v>Total 2013 Mill Rate</v>
      </c>
      <c r="I46" s="639"/>
      <c r="J46" s="640"/>
    </row>
    <row r="47" spans="2:5" ht="15.75">
      <c r="B47" s="279" t="s">
        <v>280</v>
      </c>
      <c r="C47" s="179"/>
      <c r="D47" s="446"/>
      <c r="E47" s="190"/>
    </row>
    <row r="48" spans="2:5" ht="15.75">
      <c r="B48" s="179" t="s">
        <v>166</v>
      </c>
      <c r="C48" s="443"/>
      <c r="D48" s="446">
        <f>IF(inputPrYr!H16&gt;0,inputPrYr!G22,inputPrYr!E22)</f>
        <v>0</v>
      </c>
      <c r="E48" s="345" t="s">
        <v>153</v>
      </c>
    </row>
    <row r="49" spans="2:5" ht="15.75">
      <c r="B49" s="179" t="s">
        <v>167</v>
      </c>
      <c r="C49" s="443"/>
      <c r="D49" s="448"/>
      <c r="E49" s="88"/>
    </row>
    <row r="50" spans="2:5" ht="15.75">
      <c r="B50" s="179" t="s">
        <v>168</v>
      </c>
      <c r="C50" s="443"/>
      <c r="D50" s="448"/>
      <c r="E50" s="190" t="str">
        <f>Mvalloc!D13</f>
        <v>  </v>
      </c>
    </row>
    <row r="51" spans="2:5" ht="15.75">
      <c r="B51" s="179" t="s">
        <v>169</v>
      </c>
      <c r="C51" s="443"/>
      <c r="D51" s="448"/>
      <c r="E51" s="190" t="str">
        <f>Mvalloc!E13</f>
        <v>  </v>
      </c>
    </row>
    <row r="52" spans="2:5" ht="15.75">
      <c r="B52" s="192" t="s">
        <v>217</v>
      </c>
      <c r="C52" s="443"/>
      <c r="D52" s="448"/>
      <c r="E52" s="190" t="str">
        <f>Mvalloc!F13</f>
        <v>  </v>
      </c>
    </row>
    <row r="53" spans="2:5" ht="15.75">
      <c r="B53" s="347"/>
      <c r="C53" s="443"/>
      <c r="D53" s="448"/>
      <c r="E53" s="352"/>
    </row>
    <row r="54" spans="2:5" ht="15.75">
      <c r="B54" s="347"/>
      <c r="C54" s="443"/>
      <c r="D54" s="448"/>
      <c r="E54" s="352"/>
    </row>
    <row r="55" spans="2:5" ht="15.75">
      <c r="B55" s="347"/>
      <c r="C55" s="443"/>
      <c r="D55" s="448"/>
      <c r="E55" s="88"/>
    </row>
    <row r="56" spans="2:5" ht="15.75">
      <c r="B56" s="347"/>
      <c r="C56" s="443"/>
      <c r="D56" s="448"/>
      <c r="E56" s="88"/>
    </row>
    <row r="57" spans="2:5" ht="15.75">
      <c r="B57" s="337" t="s">
        <v>170</v>
      </c>
      <c r="C57" s="443"/>
      <c r="D57" s="448"/>
      <c r="E57" s="88"/>
    </row>
    <row r="58" spans="2:5" ht="15.75">
      <c r="B58" s="179" t="s">
        <v>256</v>
      </c>
      <c r="C58" s="443"/>
      <c r="D58" s="448"/>
      <c r="E58" s="88"/>
    </row>
    <row r="59" spans="2:5" ht="15.75">
      <c r="B59" s="179" t="s">
        <v>651</v>
      </c>
      <c r="C59" s="444">
        <f>IF(C60*0.1&lt;C58,"Exceed 10% Rule","")</f>
      </c>
      <c r="D59" s="454">
        <f>IF(D60*0.1&lt;D58,"Exceed 10% Rule","")</f>
      </c>
      <c r="E59" s="338">
        <f>IF(E60*0.1+E79&lt;E58,"Exceed 10% Rule","")</f>
      </c>
    </row>
    <row r="60" spans="2:5" ht="15.75">
      <c r="B60" s="289" t="s">
        <v>171</v>
      </c>
      <c r="C60" s="445">
        <f>SUM(C48:C58)</f>
        <v>0</v>
      </c>
      <c r="D60" s="445">
        <f>SUM(D48:D58)</f>
        <v>0</v>
      </c>
      <c r="E60" s="340">
        <f>SUM(E48:E58)</f>
        <v>0</v>
      </c>
    </row>
    <row r="61" spans="2:5" ht="15.75">
      <c r="B61" s="289" t="s">
        <v>172</v>
      </c>
      <c r="C61" s="445">
        <f>C46+C60</f>
        <v>0</v>
      </c>
      <c r="D61" s="445">
        <f>D46+D60</f>
        <v>0</v>
      </c>
      <c r="E61" s="340">
        <f>E46+E60</f>
        <v>0</v>
      </c>
    </row>
    <row r="62" spans="2:5" ht="15.75">
      <c r="B62" s="179" t="s">
        <v>173</v>
      </c>
      <c r="C62" s="179"/>
      <c r="D62" s="446"/>
      <c r="E62" s="190"/>
    </row>
    <row r="63" spans="2:5" ht="15.75">
      <c r="B63" s="347"/>
      <c r="C63" s="443"/>
      <c r="D63" s="448"/>
      <c r="E63" s="88"/>
    </row>
    <row r="64" spans="2:10" ht="15.75">
      <c r="B64" s="347"/>
      <c r="C64" s="443"/>
      <c r="D64" s="448"/>
      <c r="E64" s="88"/>
      <c r="G64" s="777" t="str">
        <f>CONCATENATE("Desired Carryover Into ",E1+1,"")</f>
        <v>Desired Carryover Into 2015</v>
      </c>
      <c r="H64" s="778"/>
      <c r="I64" s="778"/>
      <c r="J64" s="779"/>
    </row>
    <row r="65" spans="2:10" ht="15.75">
      <c r="B65" s="347"/>
      <c r="C65" s="443"/>
      <c r="D65" s="448"/>
      <c r="E65" s="88"/>
      <c r="G65" s="559"/>
      <c r="H65" s="464"/>
      <c r="I65" s="480"/>
      <c r="J65" s="560"/>
    </row>
    <row r="66" spans="2:10" ht="15.75">
      <c r="B66" s="347"/>
      <c r="C66" s="443"/>
      <c r="D66" s="448"/>
      <c r="E66" s="88"/>
      <c r="G66" s="486" t="s">
        <v>659</v>
      </c>
      <c r="H66" s="480"/>
      <c r="I66" s="480"/>
      <c r="J66" s="474">
        <v>0</v>
      </c>
    </row>
    <row r="67" spans="2:10" ht="15.75">
      <c r="B67" s="347"/>
      <c r="C67" s="443"/>
      <c r="D67" s="448"/>
      <c r="E67" s="88"/>
      <c r="G67" s="559" t="s">
        <v>658</v>
      </c>
      <c r="H67" s="464"/>
      <c r="I67" s="464"/>
      <c r="J67" s="689">
        <f>IF(J66=0,"",ROUND((J66+E80-G79)/inputOth!E7*1000,3)-G84)</f>
      </c>
    </row>
    <row r="68" spans="2:10" ht="15.75">
      <c r="B68" s="347"/>
      <c r="C68" s="443"/>
      <c r="D68" s="448"/>
      <c r="E68" s="88"/>
      <c r="G68" s="655" t="str">
        <f>CONCATENATE("",E1," Tot Exp/Non-Appr Must Be:")</f>
        <v>2014 Tot Exp/Non-Appr Must Be:</v>
      </c>
      <c r="H68" s="652"/>
      <c r="I68" s="653"/>
      <c r="J68" s="649">
        <f>IF(J66&gt;0,IF(E77&lt;E61,IF(J66=G79,E77,((J66-G79)*(1-D79))+E61),E77+(J66-G79)),0)</f>
        <v>0</v>
      </c>
    </row>
    <row r="69" spans="2:10" ht="15.75">
      <c r="B69" s="347"/>
      <c r="C69" s="443"/>
      <c r="D69" s="448"/>
      <c r="E69" s="88"/>
      <c r="G69" s="687" t="s">
        <v>836</v>
      </c>
      <c r="H69" s="692"/>
      <c r="I69" s="692"/>
      <c r="J69" s="656">
        <f>IF(J66&gt;0,J68-E77,0)</f>
        <v>0</v>
      </c>
    </row>
    <row r="70" spans="2:10" ht="15.75">
      <c r="B70" s="192" t="s">
        <v>53</v>
      </c>
      <c r="C70" s="443"/>
      <c r="D70" s="448"/>
      <c r="E70" s="190">
        <f>Nhood!E11</f>
      </c>
      <c r="J70" s="2"/>
    </row>
    <row r="71" spans="2:10" ht="15.75">
      <c r="B71" s="192" t="s">
        <v>256</v>
      </c>
      <c r="C71" s="443"/>
      <c r="D71" s="448"/>
      <c r="E71" s="88"/>
      <c r="G71" s="777" t="str">
        <f>CONCATENATE("Projected Carryover Into ",E1+1,"")</f>
        <v>Projected Carryover Into 2015</v>
      </c>
      <c r="H71" s="848"/>
      <c r="I71" s="848"/>
      <c r="J71" s="849"/>
    </row>
    <row r="72" spans="2:10" ht="15.75">
      <c r="B72" s="192" t="s">
        <v>650</v>
      </c>
      <c r="C72" s="444">
        <f>IF(C73*0.1&lt;C71,"Exceed 10% Rule","")</f>
      </c>
      <c r="D72" s="454">
        <f>IF(D73*0.1&lt;D71,"Exceed 10% Rule","")</f>
      </c>
      <c r="E72" s="338">
        <f>IF(E73*0.1&lt;E71,"Exceed 10% Rule","")</f>
      </c>
      <c r="G72" s="475"/>
      <c r="H72" s="464"/>
      <c r="I72" s="464"/>
      <c r="J72" s="169"/>
    </row>
    <row r="73" spans="2:10" ht="15.75">
      <c r="B73" s="289" t="s">
        <v>174</v>
      </c>
      <c r="C73" s="445">
        <f>SUM(C63:C71)</f>
        <v>0</v>
      </c>
      <c r="D73" s="445">
        <f>SUM(D63:D71)</f>
        <v>0</v>
      </c>
      <c r="E73" s="340">
        <f>SUM(E63:E71)</f>
        <v>0</v>
      </c>
      <c r="G73" s="477">
        <f>D74</f>
        <v>0</v>
      </c>
      <c r="H73" s="478" t="str">
        <f>CONCATENATE("",E1-1," Ending Cash Balance (est.)")</f>
        <v>2013 Ending Cash Balance (est.)</v>
      </c>
      <c r="I73" s="479"/>
      <c r="J73" s="169"/>
    </row>
    <row r="74" spans="2:10" ht="15.75">
      <c r="B74" s="179" t="s">
        <v>279</v>
      </c>
      <c r="C74" s="450">
        <f>C61-C73</f>
        <v>0</v>
      </c>
      <c r="D74" s="450">
        <f>D61-D73</f>
        <v>0</v>
      </c>
      <c r="E74" s="345" t="s">
        <v>153</v>
      </c>
      <c r="G74" s="477">
        <f>E60</f>
        <v>0</v>
      </c>
      <c r="H74" s="480" t="str">
        <f>CONCATENATE("",E1," Non-AV Receipts (est.)")</f>
        <v>2014 Non-AV Receipts (est.)</v>
      </c>
      <c r="I74" s="479"/>
      <c r="J74" s="169"/>
    </row>
    <row r="75" spans="2:11" ht="15.75">
      <c r="B75" s="211" t="str">
        <f>CONCATENATE("",E1-2,"/",E1-1," Budget Authority Amount:")</f>
        <v>2012/2013 Budget Authority Amount:</v>
      </c>
      <c r="C75" s="222">
        <f>inputOth!B59</f>
        <v>0</v>
      </c>
      <c r="D75" s="222">
        <f>inputPrYr!D22</f>
        <v>0</v>
      </c>
      <c r="E75" s="345" t="s">
        <v>153</v>
      </c>
      <c r="F75" s="294"/>
      <c r="G75" s="481">
        <f>IF(D79&gt;0,E78,E80)</f>
        <v>0</v>
      </c>
      <c r="H75" s="480" t="str">
        <f>CONCATENATE("",E1," Ad Valorem Tax (est.)")</f>
        <v>2014 Ad Valorem Tax (est.)</v>
      </c>
      <c r="I75" s="479"/>
      <c r="J75" s="169"/>
      <c r="K75" s="694">
        <f>IF(G75=E80,"","Note: Does not include Delinquent Taxes")</f>
      </c>
    </row>
    <row r="76" spans="2:10" ht="15.75">
      <c r="B76" s="211"/>
      <c r="C76" s="785" t="s">
        <v>652</v>
      </c>
      <c r="D76" s="786"/>
      <c r="E76" s="88"/>
      <c r="F76" s="294">
        <f>IF(E73/0.95-E73&lt;E76,"Exceeds 5%","")</f>
      </c>
      <c r="G76" s="561">
        <f>SUM(G73:G75)</f>
        <v>0</v>
      </c>
      <c r="H76" s="480" t="str">
        <f>CONCATENATE("Total ",E1," Resources Available")</f>
        <v>Total 2014 Resources Available</v>
      </c>
      <c r="I76" s="476"/>
      <c r="J76" s="169"/>
    </row>
    <row r="77" spans="2:10" ht="15.75">
      <c r="B77" s="455" t="str">
        <f>CONCATENATE(C96,"     ",D96)</f>
        <v>     </v>
      </c>
      <c r="C77" s="787" t="s">
        <v>653</v>
      </c>
      <c r="D77" s="788"/>
      <c r="E77" s="190">
        <f>E73+E76</f>
        <v>0</v>
      </c>
      <c r="G77" s="564"/>
      <c r="H77" s="562"/>
      <c r="I77" s="464"/>
      <c r="J77" s="169"/>
    </row>
    <row r="78" spans="2:10" ht="15.75">
      <c r="B78" s="455" t="str">
        <f>CONCATENATE(C97,"     ",D97)</f>
        <v>     </v>
      </c>
      <c r="C78" s="295"/>
      <c r="D78" s="219" t="s">
        <v>175</v>
      </c>
      <c r="E78" s="95">
        <f>IF(E77-E61&gt;0,E77-E61,0)</f>
        <v>0</v>
      </c>
      <c r="G78" s="563">
        <f>ROUND(C73*0.05+C73,0)</f>
        <v>0</v>
      </c>
      <c r="H78" s="562" t="str">
        <f>CONCATENATE("Less ",E1-2," Expenditures + 5%")</f>
        <v>Less 2012 Expenditures + 5%</v>
      </c>
      <c r="I78" s="476"/>
      <c r="J78" s="169"/>
    </row>
    <row r="79" spans="2:10" ht="15.75">
      <c r="B79" s="219"/>
      <c r="C79" s="442" t="s">
        <v>654</v>
      </c>
      <c r="D79" s="698">
        <f>inputOth!E41</f>
        <v>0</v>
      </c>
      <c r="E79" s="190">
        <f>ROUND(IF(D79&gt;0,(E78*D79),0),0)</f>
        <v>0</v>
      </c>
      <c r="G79" s="573">
        <f>G76-G78</f>
        <v>0</v>
      </c>
      <c r="H79" s="574" t="str">
        <f>CONCATENATE("Projected ",E1+1," carryover (est.)")</f>
        <v>Projected 2015 carryover (est.)</v>
      </c>
      <c r="I79" s="485"/>
      <c r="J79" s="730"/>
    </row>
    <row r="80" spans="2:9" ht="16.5" thickBot="1">
      <c r="B80" s="65"/>
      <c r="C80" s="780" t="str">
        <f>CONCATENATE("Amount of  ",E1-1," Ad Valorem Tax")</f>
        <v>Amount of  2013 Ad Valorem Tax</v>
      </c>
      <c r="D80" s="781"/>
      <c r="E80" s="705">
        <f>E78+E79</f>
        <v>0</v>
      </c>
      <c r="G80" s="2"/>
      <c r="H80" s="2"/>
      <c r="I80" s="2"/>
    </row>
    <row r="81" spans="2:10" ht="16.5" thickTop="1">
      <c r="B81" s="65"/>
      <c r="C81" s="780"/>
      <c r="D81" s="781"/>
      <c r="E81" s="65"/>
      <c r="G81" s="789" t="s">
        <v>954</v>
      </c>
      <c r="H81" s="790"/>
      <c r="I81" s="790"/>
      <c r="J81" s="791"/>
    </row>
    <row r="82" spans="2:10" ht="15.75">
      <c r="B82" s="65"/>
      <c r="C82" s="624"/>
      <c r="D82" s="65"/>
      <c r="E82" s="65"/>
      <c r="G82" s="700"/>
      <c r="H82" s="478"/>
      <c r="I82" s="650"/>
      <c r="J82" s="651"/>
    </row>
    <row r="83" spans="2:10" ht="15.75">
      <c r="B83" s="219" t="s">
        <v>177</v>
      </c>
      <c r="C83" s="346"/>
      <c r="D83" s="119"/>
      <c r="E83" s="65"/>
      <c r="G83" s="702" t="e">
        <f>summ!#REF!</f>
        <v>#REF!</v>
      </c>
      <c r="H83" s="478" t="str">
        <f>CONCATENATE("",E1," Fund Mill Rate")</f>
        <v>2014 Fund Mill Rate</v>
      </c>
      <c r="I83" s="650"/>
      <c r="J83" s="651"/>
    </row>
    <row r="84" spans="7:10" ht="15.75">
      <c r="G84" s="701" t="e">
        <f>summ!#REF!</f>
        <v>#REF!</v>
      </c>
      <c r="H84" s="478" t="str">
        <f>CONCATENATE("",E1-1," Fund Mill Rate")</f>
        <v>2013 Fund Mill Rate</v>
      </c>
      <c r="I84" s="650"/>
      <c r="J84" s="651"/>
    </row>
    <row r="85" spans="2:10" ht="15.75">
      <c r="B85" s="127"/>
      <c r="C85" s="127"/>
      <c r="G85" s="703">
        <f>summ!H22</f>
        <v>48.57</v>
      </c>
      <c r="H85" s="478" t="str">
        <f>CONCATENATE("Total ",E1," Mill Rate")</f>
        <v>Total 2014 Mill Rate</v>
      </c>
      <c r="I85" s="650"/>
      <c r="J85" s="651"/>
    </row>
    <row r="86" spans="7:10" ht="15.75">
      <c r="G86" s="701">
        <f>summ!E22</f>
        <v>53.092</v>
      </c>
      <c r="H86" s="638" t="str">
        <f>CONCATENATE("Total ",E1-1," Mill Rate")</f>
        <v>Total 2013 Mill Rate</v>
      </c>
      <c r="I86" s="639"/>
      <c r="J86" s="640"/>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2" operator="greaterThan" stopIfTrue="1">
      <formula>$C$75</formula>
    </cfRule>
  </conditionalFormatting>
  <conditionalFormatting sqref="C74 C34">
    <cfRule type="cellIs" priority="8" dxfId="2" operator="lessThan" stopIfTrue="1">
      <formula>0</formula>
    </cfRule>
  </conditionalFormatting>
  <conditionalFormatting sqref="D73">
    <cfRule type="cellIs" priority="9" dxfId="2" operator="greaterThan" stopIfTrue="1">
      <formula>$D$75</formula>
    </cfRule>
  </conditionalFormatting>
  <conditionalFormatting sqref="C33">
    <cfRule type="cellIs" priority="10" dxfId="2" operator="greaterThan" stopIfTrue="1">
      <formula>$C$35</formula>
    </cfRule>
  </conditionalFormatting>
  <conditionalFormatting sqref="D33">
    <cfRule type="cellIs" priority="11" dxfId="2" operator="greaterThan" stopIfTrue="1">
      <formula>$D$35</formula>
    </cfRule>
  </conditionalFormatting>
  <conditionalFormatting sqref="C31">
    <cfRule type="cellIs" priority="12" dxfId="2" operator="greaterThan" stopIfTrue="1">
      <formula>$C$33*0.1</formula>
    </cfRule>
  </conditionalFormatting>
  <conditionalFormatting sqref="D31">
    <cfRule type="cellIs" priority="13" dxfId="2" operator="greaterThan" stopIfTrue="1">
      <formula>$D$33*0.1</formula>
    </cfRule>
  </conditionalFormatting>
  <conditionalFormatting sqref="C71">
    <cfRule type="cellIs" priority="14" dxfId="2" operator="greaterThan" stopIfTrue="1">
      <formula>$C$73*0.1</formula>
    </cfRule>
  </conditionalFormatting>
  <conditionalFormatting sqref="D71">
    <cfRule type="cellIs" priority="15" dxfId="2" operator="greaterThan" stopIfTrue="1">
      <formula>$D$73*0.1</formula>
    </cfRule>
  </conditionalFormatting>
  <conditionalFormatting sqref="D18">
    <cfRule type="cellIs" priority="16" dxfId="2" operator="greaterThan" stopIfTrue="1">
      <formula>$D$20*0.1</formula>
    </cfRule>
  </conditionalFormatting>
  <conditionalFormatting sqref="C18">
    <cfRule type="cellIs" priority="17" dxfId="2"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Beattie</v>
      </c>
      <c r="C1" s="202"/>
      <c r="D1" s="65"/>
      <c r="E1" s="162">
        <f>inputPrYr!$C$5</f>
        <v>2014</v>
      </c>
    </row>
    <row r="2" spans="2:5" ht="15.75">
      <c r="B2" s="65"/>
      <c r="C2" s="65"/>
      <c r="D2" s="65"/>
      <c r="E2" s="219"/>
    </row>
    <row r="3" spans="2:5" ht="15.75">
      <c r="B3" s="82" t="s">
        <v>221</v>
      </c>
      <c r="C3" s="344"/>
      <c r="D3" s="173"/>
      <c r="E3" s="164"/>
    </row>
    <row r="4" spans="2:5" ht="15.75">
      <c r="B4" s="70" t="s">
        <v>165</v>
      </c>
      <c r="C4" s="708" t="s">
        <v>832</v>
      </c>
      <c r="D4" s="709" t="s">
        <v>833</v>
      </c>
      <c r="E4" s="175" t="s">
        <v>834</v>
      </c>
    </row>
    <row r="5" spans="2:5" ht="15.75">
      <c r="B5" s="453">
        <f>(inputPrYr!B23)</f>
        <v>0</v>
      </c>
      <c r="C5" s="333" t="str">
        <f>CONCATENATE("Actual for ",$E$1-2,"")</f>
        <v>Actual for 2012</v>
      </c>
      <c r="D5" s="415" t="str">
        <f>CONCATENATE("Estimate for ",$E$1-1,"")</f>
        <v>Estimate for 2013</v>
      </c>
      <c r="E5" s="230" t="str">
        <f>CONCATENATE("Year for ",$E$1,"")</f>
        <v>Year for 2014</v>
      </c>
    </row>
    <row r="6" spans="2:5" ht="15.75">
      <c r="B6" s="179" t="s">
        <v>278</v>
      </c>
      <c r="C6" s="443"/>
      <c r="D6" s="446">
        <f>C34</f>
        <v>0</v>
      </c>
      <c r="E6" s="190">
        <f>D34</f>
        <v>0</v>
      </c>
    </row>
    <row r="7" spans="2:5" ht="15.75">
      <c r="B7" s="279" t="s">
        <v>280</v>
      </c>
      <c r="C7" s="179"/>
      <c r="D7" s="446"/>
      <c r="E7" s="190"/>
    </row>
    <row r="8" spans="2:5" ht="15.75">
      <c r="B8" s="179" t="s">
        <v>166</v>
      </c>
      <c r="C8" s="448"/>
      <c r="D8" s="446">
        <f>IF(inputPrYr!H16&gt;0,inputPrYr!G23,inputPrYr!E23)</f>
        <v>0</v>
      </c>
      <c r="E8" s="345" t="s">
        <v>153</v>
      </c>
    </row>
    <row r="9" spans="2:5" ht="15.75">
      <c r="B9" s="179" t="s">
        <v>167</v>
      </c>
      <c r="C9" s="448"/>
      <c r="D9" s="448"/>
      <c r="E9" s="88"/>
    </row>
    <row r="10" spans="2:5" ht="15.75">
      <c r="B10" s="179" t="s">
        <v>168</v>
      </c>
      <c r="C10" s="448"/>
      <c r="D10" s="448"/>
      <c r="E10" s="190" t="str">
        <f>Mvalloc!D14</f>
        <v>  </v>
      </c>
    </row>
    <row r="11" spans="2:5" ht="15.75">
      <c r="B11" s="179" t="s">
        <v>169</v>
      </c>
      <c r="C11" s="448"/>
      <c r="D11" s="448"/>
      <c r="E11" s="190" t="str">
        <f>Mvalloc!E14</f>
        <v>  </v>
      </c>
    </row>
    <row r="12" spans="2:5" ht="15.75">
      <c r="B12" s="192" t="s">
        <v>217</v>
      </c>
      <c r="C12" s="448"/>
      <c r="D12" s="448"/>
      <c r="E12" s="190" t="str">
        <f>Mvalloc!F14</f>
        <v>  </v>
      </c>
    </row>
    <row r="13" spans="2:5" ht="15.75">
      <c r="B13" s="292"/>
      <c r="C13" s="448"/>
      <c r="D13" s="448"/>
      <c r="E13" s="91"/>
    </row>
    <row r="14" spans="2:5" ht="15.75">
      <c r="B14" s="292"/>
      <c r="C14" s="448"/>
      <c r="D14" s="448"/>
      <c r="E14" s="91"/>
    </row>
    <row r="15" spans="2:5" ht="15.75">
      <c r="B15" s="292"/>
      <c r="C15" s="448"/>
      <c r="D15" s="448"/>
      <c r="E15" s="88"/>
    </row>
    <row r="16" spans="2:5" ht="15.75">
      <c r="B16" s="292"/>
      <c r="C16" s="448"/>
      <c r="D16" s="448"/>
      <c r="E16" s="88"/>
    </row>
    <row r="17" spans="2:5" ht="15.75">
      <c r="B17" s="337" t="s">
        <v>170</v>
      </c>
      <c r="C17" s="448"/>
      <c r="D17" s="448"/>
      <c r="E17" s="88"/>
    </row>
    <row r="18" spans="2:5" ht="15.75">
      <c r="B18" s="341" t="s">
        <v>256</v>
      </c>
      <c r="C18" s="448"/>
      <c r="D18" s="448"/>
      <c r="E18" s="88"/>
    </row>
    <row r="19" spans="2:5" ht="15.75">
      <c r="B19" s="341" t="s">
        <v>651</v>
      </c>
      <c r="C19" s="444">
        <f>IF(C20*0.1&lt;C18,"Exceed 10% Rule","")</f>
      </c>
      <c r="D19" s="444">
        <f>IF(D20*0.1&lt;D18,"Exceed 10% Rule","")</f>
      </c>
      <c r="E19" s="454">
        <f>IF(E20*0.1+E40&lt;E18,"Exceed 10% Rule","")</f>
      </c>
    </row>
    <row r="20" spans="2:5" ht="15.75">
      <c r="B20" s="289" t="s">
        <v>171</v>
      </c>
      <c r="C20" s="445">
        <f>SUM(C8:C18)</f>
        <v>0</v>
      </c>
      <c r="D20" s="445">
        <f>SUM(D8:D18)</f>
        <v>0</v>
      </c>
      <c r="E20" s="340">
        <f>SUM(E8:E18)</f>
        <v>0</v>
      </c>
    </row>
    <row r="21" spans="2:5" ht="15.75">
      <c r="B21" s="289" t="s">
        <v>172</v>
      </c>
      <c r="C21" s="445">
        <f>C6+C20</f>
        <v>0</v>
      </c>
      <c r="D21" s="445">
        <f>D6+D20</f>
        <v>0</v>
      </c>
      <c r="E21" s="340">
        <f>E6+E20</f>
        <v>0</v>
      </c>
    </row>
    <row r="22" spans="2:5" ht="15.75">
      <c r="B22" s="179" t="s">
        <v>173</v>
      </c>
      <c r="C22" s="179"/>
      <c r="D22" s="446"/>
      <c r="E22" s="190"/>
    </row>
    <row r="23" spans="2:5" ht="15.75">
      <c r="B23" s="292"/>
      <c r="C23" s="448"/>
      <c r="D23" s="448"/>
      <c r="E23" s="88"/>
    </row>
    <row r="24" spans="2:10" ht="15.75">
      <c r="B24" s="292"/>
      <c r="C24" s="448"/>
      <c r="D24" s="448"/>
      <c r="E24" s="88"/>
      <c r="G24" s="777" t="str">
        <f>CONCATENATE("Desired Carryover Into ",E1+1,"")</f>
        <v>Desired Carryover Into 2015</v>
      </c>
      <c r="H24" s="778"/>
      <c r="I24" s="778"/>
      <c r="J24" s="779"/>
    </row>
    <row r="25" spans="2:10" ht="15.75">
      <c r="B25" s="292"/>
      <c r="C25" s="448"/>
      <c r="D25" s="448"/>
      <c r="E25" s="88"/>
      <c r="G25" s="559"/>
      <c r="H25" s="464"/>
      <c r="I25" s="480"/>
      <c r="J25" s="560"/>
    </row>
    <row r="26" spans="2:10" ht="15.75">
      <c r="B26" s="292"/>
      <c r="C26" s="448"/>
      <c r="D26" s="448"/>
      <c r="E26" s="88"/>
      <c r="G26" s="486" t="s">
        <v>659</v>
      </c>
      <c r="H26" s="480"/>
      <c r="I26" s="480"/>
      <c r="J26" s="474">
        <v>0</v>
      </c>
    </row>
    <row r="27" spans="2:10" ht="15.75">
      <c r="B27" s="292"/>
      <c r="C27" s="448"/>
      <c r="D27" s="448"/>
      <c r="E27" s="88"/>
      <c r="G27" s="559" t="s">
        <v>658</v>
      </c>
      <c r="H27" s="464"/>
      <c r="I27" s="464"/>
      <c r="J27" s="689">
        <f>IF(J26=0,"",ROUND((J26+E40-G39)/inputOth!E7*1000,3)-G44)</f>
      </c>
    </row>
    <row r="28" spans="2:10" ht="15.75">
      <c r="B28" s="292"/>
      <c r="C28" s="448"/>
      <c r="D28" s="448"/>
      <c r="E28" s="88"/>
      <c r="G28" s="655" t="str">
        <f>CONCATENATE("",E1," Tot Exp/Non-Appr Must Be:")</f>
        <v>2014 Tot Exp/Non-Appr Must Be:</v>
      </c>
      <c r="H28" s="652"/>
      <c r="I28" s="653"/>
      <c r="J28" s="649">
        <f>IF(J26&gt;0,IF(E37&lt;E21,IF(J26=G39,E38,((J26-G39)*(1-D39))+E21),E38+(J26-G39)),0)</f>
        <v>0</v>
      </c>
    </row>
    <row r="29" spans="2:10" ht="15.75">
      <c r="B29" s="292"/>
      <c r="C29" s="448"/>
      <c r="D29" s="448"/>
      <c r="E29" s="88"/>
      <c r="G29" s="687" t="s">
        <v>836</v>
      </c>
      <c r="H29" s="692"/>
      <c r="I29" s="692"/>
      <c r="J29" s="656">
        <f>IF(J26&gt;0,J28-E38,0)</f>
        <v>0</v>
      </c>
    </row>
    <row r="30" spans="2:10" ht="15.75">
      <c r="B30" s="192" t="s">
        <v>53</v>
      </c>
      <c r="C30" s="448"/>
      <c r="D30" s="448"/>
      <c r="E30" s="190">
        <f>Nhood!E12</f>
      </c>
      <c r="J30" s="2"/>
    </row>
    <row r="31" spans="2:10" ht="15.75">
      <c r="B31" s="192" t="s">
        <v>256</v>
      </c>
      <c r="C31" s="448"/>
      <c r="D31" s="448"/>
      <c r="E31" s="88"/>
      <c r="G31" s="777" t="str">
        <f>CONCATENATE("Projected Carryover Into ",E1+1,"")</f>
        <v>Projected Carryover Into 2015</v>
      </c>
      <c r="H31" s="850"/>
      <c r="I31" s="850"/>
      <c r="J31" s="849"/>
    </row>
    <row r="32" spans="2:10" ht="15.75">
      <c r="B32" s="192" t="s">
        <v>650</v>
      </c>
      <c r="C32" s="444">
        <f>IF(C33*0.1&lt;C31,"Exceed 10% Rule","")</f>
      </c>
      <c r="D32" s="444">
        <f>IF(D33*0.1&lt;D31,"Exceed 10% Rule","")</f>
      </c>
      <c r="E32" s="454">
        <f>IF(E33*0.1&lt;E31,"Exceed 10% Rule","")</f>
      </c>
      <c r="G32" s="559"/>
      <c r="H32" s="480"/>
      <c r="I32" s="480"/>
      <c r="J32" s="732"/>
    </row>
    <row r="33" spans="2:10" ht="15.75">
      <c r="B33" s="289" t="s">
        <v>174</v>
      </c>
      <c r="C33" s="445">
        <f>SUM(C23:C31)</f>
        <v>0</v>
      </c>
      <c r="D33" s="445">
        <f>SUM(D23:D31)</f>
        <v>0</v>
      </c>
      <c r="E33" s="340">
        <f>SUM(E23:E31)</f>
        <v>0</v>
      </c>
      <c r="G33" s="477">
        <f>D34</f>
        <v>0</v>
      </c>
      <c r="H33" s="478" t="str">
        <f>CONCATENATE("",E1-1," Ending Cash Balance (est.)")</f>
        <v>2013 Ending Cash Balance (est.)</v>
      </c>
      <c r="I33" s="479"/>
      <c r="J33" s="732"/>
    </row>
    <row r="34" spans="2:10" ht="15.75">
      <c r="B34" s="179" t="s">
        <v>279</v>
      </c>
      <c r="C34" s="450">
        <f>C21-C33</f>
        <v>0</v>
      </c>
      <c r="D34" s="450">
        <f>D21-D33</f>
        <v>0</v>
      </c>
      <c r="E34" s="345" t="s">
        <v>153</v>
      </c>
      <c r="G34" s="477">
        <f>E20</f>
        <v>0</v>
      </c>
      <c r="H34" s="480" t="str">
        <f>CONCATENATE("",E1," Non-AV Receipts (est.)")</f>
        <v>2014 Non-AV Receipts (est.)</v>
      </c>
      <c r="I34" s="479"/>
      <c r="J34" s="732"/>
    </row>
    <row r="35" spans="2:11" ht="15.75">
      <c r="B35" s="211" t="str">
        <f>CONCATENATE("",E1-2,"/",E1-1," Budget Authority Amount:")</f>
        <v>2012/2013 Budget Authority Amount:</v>
      </c>
      <c r="C35" s="222">
        <f>inputOth!B60</f>
        <v>0</v>
      </c>
      <c r="D35" s="222">
        <f>inputPrYr!D23</f>
        <v>0</v>
      </c>
      <c r="E35" s="345" t="s">
        <v>153</v>
      </c>
      <c r="F35" s="294"/>
      <c r="G35" s="481">
        <f>IF(D39&gt;0,E38,E40)</f>
        <v>0</v>
      </c>
      <c r="H35" s="480" t="str">
        <f>CONCATENATE("",E1," Ad Valorem Tax (est.)")</f>
        <v>2014 Ad Valorem Tax (est.)</v>
      </c>
      <c r="I35" s="479"/>
      <c r="J35" s="732"/>
      <c r="K35" s="694">
        <f>IF(G35=E40,"","Note: Does not include Delinquent Taxes")</f>
      </c>
    </row>
    <row r="36" spans="2:10" ht="15.75">
      <c r="B36" s="211"/>
      <c r="C36" s="785" t="s">
        <v>652</v>
      </c>
      <c r="D36" s="786"/>
      <c r="E36" s="88"/>
      <c r="F36" s="294">
        <f>IF(E33/0.95-E33&lt;E36,"Exceeds 5%","")</f>
      </c>
      <c r="G36" s="477">
        <f>SUM(G33:G35)</f>
        <v>0</v>
      </c>
      <c r="H36" s="480" t="str">
        <f>CONCATENATE("Total ",E1," Resources Available")</f>
        <v>Total 2014 Resources Available</v>
      </c>
      <c r="I36" s="479"/>
      <c r="J36" s="732"/>
    </row>
    <row r="37" spans="2:10" ht="15.75">
      <c r="B37" s="455" t="str">
        <f>CONCATENATE(C93,"     ",D93)</f>
        <v>     </v>
      </c>
      <c r="C37" s="787" t="s">
        <v>653</v>
      </c>
      <c r="D37" s="788"/>
      <c r="E37" s="190">
        <f>E33+E36</f>
        <v>0</v>
      </c>
      <c r="G37" s="482"/>
      <c r="H37" s="480"/>
      <c r="I37" s="480"/>
      <c r="J37" s="732"/>
    </row>
    <row r="38" spans="2:10" ht="15.75">
      <c r="B38" s="455" t="str">
        <f>CONCATENATE(C94,"     ",D94)</f>
        <v>     </v>
      </c>
      <c r="C38" s="295"/>
      <c r="D38" s="219" t="s">
        <v>175</v>
      </c>
      <c r="E38" s="95">
        <f>IF(E37-E21&gt;0,E37-E21,0)</f>
        <v>0</v>
      </c>
      <c r="G38" s="481">
        <f>ROUND(C33*0.05+C33,0)</f>
        <v>0</v>
      </c>
      <c r="H38" s="480" t="str">
        <f>CONCATENATE("Less ",E1-2," Expenditures + 5%")</f>
        <v>Less 2012 Expenditures + 5%</v>
      </c>
      <c r="I38" s="479"/>
      <c r="J38" s="732"/>
    </row>
    <row r="39" spans="2:10" ht="15.75">
      <c r="B39" s="219"/>
      <c r="C39" s="442" t="s">
        <v>654</v>
      </c>
      <c r="D39" s="698">
        <f>inputOth!E41</f>
        <v>0</v>
      </c>
      <c r="E39" s="190">
        <f>ROUND(IF(D39&gt;0,(E38*D39),0),0)</f>
        <v>0</v>
      </c>
      <c r="G39" s="690">
        <f>G36-G38</f>
        <v>0</v>
      </c>
      <c r="H39" s="691" t="str">
        <f>CONCATENATE("Projected ",E1+1," carryover (est.)")</f>
        <v>Projected 2015 carryover (est.)</v>
      </c>
      <c r="I39" s="484"/>
      <c r="J39" s="730"/>
    </row>
    <row r="40" spans="2:10" ht="16.5" thickBot="1">
      <c r="B40" s="65"/>
      <c r="C40" s="851" t="str">
        <f>CONCATENATE("Amount of  ",E1-1," Ad Valorem Tax")</f>
        <v>Amount of  2013 Ad Valorem Tax</v>
      </c>
      <c r="D40" s="852"/>
      <c r="E40" s="705">
        <f>E38+E39</f>
        <v>0</v>
      </c>
      <c r="G40" s="2"/>
      <c r="H40" s="2"/>
      <c r="I40" s="2"/>
      <c r="J40" s="2"/>
    </row>
    <row r="41" spans="2:10" ht="16.5" thickTop="1">
      <c r="B41" s="65"/>
      <c r="C41" s="780"/>
      <c r="D41" s="781"/>
      <c r="E41" s="65"/>
      <c r="G41" s="789" t="s">
        <v>954</v>
      </c>
      <c r="H41" s="790"/>
      <c r="I41" s="790"/>
      <c r="J41" s="791"/>
    </row>
    <row r="42" spans="2:10" ht="15.75">
      <c r="B42" s="65"/>
      <c r="C42" s="625"/>
      <c r="D42" s="65"/>
      <c r="E42" s="65"/>
      <c r="G42" s="700"/>
      <c r="H42" s="478"/>
      <c r="I42" s="650"/>
      <c r="J42" s="651"/>
    </row>
    <row r="43" spans="2:10" ht="15.75">
      <c r="B43" s="70" t="s">
        <v>165</v>
      </c>
      <c r="C43" s="92"/>
      <c r="D43" s="173"/>
      <c r="E43" s="173"/>
      <c r="G43" s="702" t="e">
        <f>summ!#REF!</f>
        <v>#REF!</v>
      </c>
      <c r="H43" s="478" t="str">
        <f>CONCATENATE("",E1," Fund Mill Rate")</f>
        <v>2014 Fund Mill Rate</v>
      </c>
      <c r="I43" s="650"/>
      <c r="J43" s="651"/>
    </row>
    <row r="44" spans="2:10" ht="15.75">
      <c r="B44" s="65"/>
      <c r="C44" s="708" t="s">
        <v>832</v>
      </c>
      <c r="D44" s="709" t="s">
        <v>833</v>
      </c>
      <c r="E44" s="175" t="s">
        <v>834</v>
      </c>
      <c r="G44" s="701" t="e">
        <f>summ!#REF!</f>
        <v>#REF!</v>
      </c>
      <c r="H44" s="478" t="str">
        <f>CONCATENATE("",E1-1," Fund Mill Rate")</f>
        <v>2013 Fund Mill Rate</v>
      </c>
      <c r="I44" s="650"/>
      <c r="J44" s="651"/>
    </row>
    <row r="45" spans="2:10" ht="15.75">
      <c r="B45" s="452">
        <f>(inputPrYr!B24)</f>
        <v>0</v>
      </c>
      <c r="C45" s="333" t="str">
        <f>CONCATENATE("Actual for ",$E$1-2,"")</f>
        <v>Actual for 2012</v>
      </c>
      <c r="D45" s="415" t="str">
        <f>CONCATENATE("Estimate for ",$E$1-1,"")</f>
        <v>Estimate for 2013</v>
      </c>
      <c r="E45" s="230" t="str">
        <f>CONCATENATE("Year for ",$E$1,"")</f>
        <v>Year for 2014</v>
      </c>
      <c r="G45" s="703">
        <f>summ!H22</f>
        <v>48.57</v>
      </c>
      <c r="H45" s="478" t="str">
        <f>CONCATENATE("Total ",E1," Mill Rate")</f>
        <v>Total 2014 Mill Rate</v>
      </c>
      <c r="I45" s="650"/>
      <c r="J45" s="651"/>
    </row>
    <row r="46" spans="2:10" ht="15.75">
      <c r="B46" s="179" t="s">
        <v>278</v>
      </c>
      <c r="C46" s="447"/>
      <c r="D46" s="446">
        <f>C74</f>
        <v>0</v>
      </c>
      <c r="E46" s="190">
        <f>D74</f>
        <v>0</v>
      </c>
      <c r="G46" s="701">
        <f>summ!E22</f>
        <v>53.092</v>
      </c>
      <c r="H46" s="638" t="str">
        <f>CONCATENATE("Total ",E1-1," Mill Rate")</f>
        <v>Total 2013 Mill Rate</v>
      </c>
      <c r="I46" s="639"/>
      <c r="J46" s="640"/>
    </row>
    <row r="47" spans="2:5" ht="15.75">
      <c r="B47" s="179" t="s">
        <v>280</v>
      </c>
      <c r="C47" s="179"/>
      <c r="D47" s="446"/>
      <c r="E47" s="190"/>
    </row>
    <row r="48" spans="2:5" ht="15.75">
      <c r="B48" s="179" t="s">
        <v>166</v>
      </c>
      <c r="C48" s="443"/>
      <c r="D48" s="446">
        <f>IF(inputPrYr!H16&gt;0,inputPrYr!G24,inputPrYr!E24)</f>
        <v>0</v>
      </c>
      <c r="E48" s="345" t="s">
        <v>153</v>
      </c>
    </row>
    <row r="49" spans="2:5" ht="15.75">
      <c r="B49" s="179" t="s">
        <v>167</v>
      </c>
      <c r="C49" s="443"/>
      <c r="D49" s="443"/>
      <c r="E49" s="88"/>
    </row>
    <row r="50" spans="2:5" ht="15.75">
      <c r="B50" s="179" t="s">
        <v>168</v>
      </c>
      <c r="C50" s="443"/>
      <c r="D50" s="443"/>
      <c r="E50" s="190" t="str">
        <f>Mvalloc!D15</f>
        <v>  </v>
      </c>
    </row>
    <row r="51" spans="2:5" ht="15.75">
      <c r="B51" s="179" t="s">
        <v>169</v>
      </c>
      <c r="C51" s="443"/>
      <c r="D51" s="443"/>
      <c r="E51" s="190" t="str">
        <f>Mvalloc!E15</f>
        <v>  </v>
      </c>
    </row>
    <row r="52" spans="2:5" ht="15.75">
      <c r="B52" s="192" t="s">
        <v>217</v>
      </c>
      <c r="C52" s="443"/>
      <c r="D52" s="443"/>
      <c r="E52" s="190" t="str">
        <f>Mvalloc!F15</f>
        <v>  </v>
      </c>
    </row>
    <row r="53" spans="2:5" ht="15.75">
      <c r="B53" s="292"/>
      <c r="C53" s="443"/>
      <c r="D53" s="443"/>
      <c r="E53" s="91"/>
    </row>
    <row r="54" spans="2:5" ht="15.75">
      <c r="B54" s="292"/>
      <c r="C54" s="443"/>
      <c r="D54" s="443"/>
      <c r="E54" s="91"/>
    </row>
    <row r="55" spans="2:5" ht="15.75">
      <c r="B55" s="292"/>
      <c r="C55" s="443"/>
      <c r="D55" s="443"/>
      <c r="E55" s="88"/>
    </row>
    <row r="56" spans="2:5" ht="15.75">
      <c r="B56" s="292"/>
      <c r="C56" s="443"/>
      <c r="D56" s="443"/>
      <c r="E56" s="88"/>
    </row>
    <row r="57" spans="2:5" ht="15.75">
      <c r="B57" s="337" t="s">
        <v>170</v>
      </c>
      <c r="C57" s="443"/>
      <c r="D57" s="443"/>
      <c r="E57" s="88"/>
    </row>
    <row r="58" spans="2:5" ht="15.75">
      <c r="B58" s="179" t="s">
        <v>256</v>
      </c>
      <c r="C58" s="443"/>
      <c r="D58" s="443"/>
      <c r="E58" s="88"/>
    </row>
    <row r="59" spans="2:5" ht="15.75">
      <c r="B59" s="179" t="s">
        <v>54</v>
      </c>
      <c r="C59" s="451">
        <f>IF(C60*0.1&lt;C58,"Exceed 10% Rule","")</f>
      </c>
      <c r="D59" s="444">
        <f>IF(D60*0.1&lt;D58,"Exceed 10% Rule","")</f>
      </c>
      <c r="E59" s="454">
        <f>IF(E60*0.1+E80&lt;E58,"Exceed 10% Rule","")</f>
      </c>
    </row>
    <row r="60" spans="2:5" ht="15.75">
      <c r="B60" s="289" t="s">
        <v>171</v>
      </c>
      <c r="C60" s="445">
        <f>SUM(C48:C58)</f>
        <v>0</v>
      </c>
      <c r="D60" s="445">
        <f>SUM(D48:D58)</f>
        <v>0</v>
      </c>
      <c r="E60" s="340">
        <f>SUM(E48:E58)</f>
        <v>0</v>
      </c>
    </row>
    <row r="61" spans="2:5" ht="15.75">
      <c r="B61" s="289" t="s">
        <v>172</v>
      </c>
      <c r="C61" s="445">
        <f>C46+C60</f>
        <v>0</v>
      </c>
      <c r="D61" s="445">
        <f>D46+D60</f>
        <v>0</v>
      </c>
      <c r="E61" s="340">
        <f>E46+E60</f>
        <v>0</v>
      </c>
    </row>
    <row r="62" spans="2:5" ht="15.75">
      <c r="B62" s="179" t="s">
        <v>173</v>
      </c>
      <c r="C62" s="179"/>
      <c r="D62" s="446"/>
      <c r="E62" s="190"/>
    </row>
    <row r="63" spans="2:5" ht="15.75">
      <c r="B63" s="292"/>
      <c r="C63" s="443"/>
      <c r="D63" s="443"/>
      <c r="E63" s="88"/>
    </row>
    <row r="64" spans="2:10" ht="15.75">
      <c r="B64" s="292"/>
      <c r="C64" s="443"/>
      <c r="D64" s="443"/>
      <c r="E64" s="88"/>
      <c r="G64" s="777" t="str">
        <f>CONCATENATE("Desired Carryover Into ",E1+1,"")</f>
        <v>Desired Carryover Into 2015</v>
      </c>
      <c r="H64" s="778"/>
      <c r="I64" s="778"/>
      <c r="J64" s="779"/>
    </row>
    <row r="65" spans="2:10" ht="15.75">
      <c r="B65" s="292"/>
      <c r="C65" s="443"/>
      <c r="D65" s="443"/>
      <c r="E65" s="88"/>
      <c r="G65" s="559"/>
      <c r="H65" s="464"/>
      <c r="I65" s="480"/>
      <c r="J65" s="560"/>
    </row>
    <row r="66" spans="2:10" ht="15.75">
      <c r="B66" s="292"/>
      <c r="C66" s="443"/>
      <c r="D66" s="443"/>
      <c r="E66" s="88"/>
      <c r="G66" s="486" t="s">
        <v>659</v>
      </c>
      <c r="H66" s="480"/>
      <c r="I66" s="480"/>
      <c r="J66" s="474">
        <v>0</v>
      </c>
    </row>
    <row r="67" spans="2:10" ht="15.75">
      <c r="B67" s="292"/>
      <c r="C67" s="443"/>
      <c r="D67" s="443"/>
      <c r="E67" s="88"/>
      <c r="G67" s="559" t="s">
        <v>658</v>
      </c>
      <c r="H67" s="464"/>
      <c r="I67" s="464"/>
      <c r="J67" s="689">
        <f>IF(J66=0,"",ROUND((J66+E80-G79)/inputOth!E7*1000,3)-G84)</f>
      </c>
    </row>
    <row r="68" spans="2:10" ht="15.75">
      <c r="B68" s="292"/>
      <c r="C68" s="443"/>
      <c r="D68" s="443"/>
      <c r="E68" s="88"/>
      <c r="G68" s="655" t="str">
        <f>CONCATENATE("",E1," Tot Exp/Non-Appr Must Be:")</f>
        <v>2014 Tot Exp/Non-Appr Must Be:</v>
      </c>
      <c r="H68" s="652"/>
      <c r="I68" s="653"/>
      <c r="J68" s="649">
        <f>IF(J66&gt;0,IF(E77&lt;E61,IF(J66=G79,E77,((J66-G79)*(1-D79))+E61),E77+(J66-G79)),0)</f>
        <v>0</v>
      </c>
    </row>
    <row r="69" spans="2:10" ht="15.75">
      <c r="B69" s="292"/>
      <c r="C69" s="443"/>
      <c r="D69" s="443"/>
      <c r="E69" s="88"/>
      <c r="G69" s="687" t="s">
        <v>836</v>
      </c>
      <c r="H69" s="692"/>
      <c r="I69" s="692"/>
      <c r="J69" s="656">
        <f>IF(J66&gt;0,J68-E77,0)</f>
        <v>0</v>
      </c>
    </row>
    <row r="70" spans="2:10" ht="15.75">
      <c r="B70" s="192" t="s">
        <v>53</v>
      </c>
      <c r="C70" s="443"/>
      <c r="D70" s="443"/>
      <c r="E70" s="190">
        <f>Nhood!E13</f>
      </c>
      <c r="J70" s="2"/>
    </row>
    <row r="71" spans="2:10" ht="15.75">
      <c r="B71" s="192" t="s">
        <v>256</v>
      </c>
      <c r="C71" s="443"/>
      <c r="D71" s="443"/>
      <c r="E71" s="88"/>
      <c r="G71" s="777" t="str">
        <f>CONCATENATE("Projected Carryover Into ",E1+1,"")</f>
        <v>Projected Carryover Into 2015</v>
      </c>
      <c r="H71" s="848"/>
      <c r="I71" s="848"/>
      <c r="J71" s="849"/>
    </row>
    <row r="72" spans="2:10" ht="15.75">
      <c r="B72" s="192" t="s">
        <v>55</v>
      </c>
      <c r="C72" s="444">
        <f>IF(C73*0.1&lt;C71,"Exceed 10% Rule","")</f>
      </c>
      <c r="D72" s="444">
        <f>IF(D73*0.1&lt;D71,"Exceed 10% Rule","")</f>
      </c>
      <c r="E72" s="454">
        <f>IF(E73*0.1&lt;E71,"Exceed 10% Rule","")</f>
      </c>
      <c r="G72" s="475"/>
      <c r="H72" s="464"/>
      <c r="I72" s="464"/>
      <c r="J72" s="732"/>
    </row>
    <row r="73" spans="2:10" ht="15.75">
      <c r="B73" s="289" t="s">
        <v>174</v>
      </c>
      <c r="C73" s="445">
        <f>SUM(C63:C71)</f>
        <v>0</v>
      </c>
      <c r="D73" s="445">
        <f>SUM(D63:D71)</f>
        <v>0</v>
      </c>
      <c r="E73" s="340">
        <f>SUM(E63:E71)</f>
        <v>0</v>
      </c>
      <c r="G73" s="477">
        <f>D74</f>
        <v>0</v>
      </c>
      <c r="H73" s="478" t="str">
        <f>CONCATENATE("",E1-1," Ending Cash Balance (est.)")</f>
        <v>2013 Ending Cash Balance (est.)</v>
      </c>
      <c r="I73" s="479"/>
      <c r="J73" s="732"/>
    </row>
    <row r="74" spans="2:10" ht="15.75">
      <c r="B74" s="179" t="s">
        <v>279</v>
      </c>
      <c r="C74" s="450">
        <f>C61-C73</f>
        <v>0</v>
      </c>
      <c r="D74" s="450">
        <f>D61-D73</f>
        <v>0</v>
      </c>
      <c r="E74" s="345" t="s">
        <v>153</v>
      </c>
      <c r="G74" s="477">
        <f>E60</f>
        <v>0</v>
      </c>
      <c r="H74" s="480" t="str">
        <f>CONCATENATE("",E1," Non-AV Receipts (est.)")</f>
        <v>2014 Non-AV Receipts (est.)</v>
      </c>
      <c r="I74" s="479"/>
      <c r="J74" s="732"/>
    </row>
    <row r="75" spans="2:11" ht="15.75">
      <c r="B75" s="211" t="str">
        <f>CONCATENATE("",E1-2,"/",E1-1," Budget Authority Amount:")</f>
        <v>2012/2013 Budget Authority Amount:</v>
      </c>
      <c r="C75" s="222">
        <f>inputOth!B61</f>
        <v>0</v>
      </c>
      <c r="D75" s="222">
        <f>inputPrYr!D24</f>
        <v>0</v>
      </c>
      <c r="E75" s="345" t="s">
        <v>153</v>
      </c>
      <c r="F75" s="294"/>
      <c r="G75" s="481">
        <f>IF(D79&gt;0,E78,E80)</f>
        <v>0</v>
      </c>
      <c r="H75" s="480" t="str">
        <f>CONCATENATE("",E1," Ad Valorem Tax (est.)")</f>
        <v>2014 Ad Valorem Tax (est.)</v>
      </c>
      <c r="I75" s="479"/>
      <c r="J75" s="732"/>
      <c r="K75" s="694">
        <f>IF(G75=E80,"","Note: Does not include Delinquent Taxes")</f>
      </c>
    </row>
    <row r="76" spans="2:10" ht="15.75">
      <c r="B76" s="211"/>
      <c r="C76" s="785" t="s">
        <v>652</v>
      </c>
      <c r="D76" s="786"/>
      <c r="E76" s="88"/>
      <c r="F76" s="294">
        <f>IF(E73/0.95-E73&lt;E76,"Exceeds 5%","")</f>
      </c>
      <c r="G76" s="561">
        <f>SUM(G73:G75)</f>
        <v>0</v>
      </c>
      <c r="H76" s="480" t="str">
        <f>CONCATENATE("Total ",E1," Resources Available")</f>
        <v>Total 2014 Resources Available</v>
      </c>
      <c r="I76" s="476"/>
      <c r="J76" s="732"/>
    </row>
    <row r="77" spans="2:10" ht="15.75">
      <c r="B77" s="455" t="str">
        <f>CONCATENATE(C95,"     ",D95)</f>
        <v>     </v>
      </c>
      <c r="C77" s="787" t="s">
        <v>653</v>
      </c>
      <c r="D77" s="788"/>
      <c r="E77" s="190">
        <f>E73+E76</f>
        <v>0</v>
      </c>
      <c r="G77" s="564"/>
      <c r="H77" s="562"/>
      <c r="I77" s="464"/>
      <c r="J77" s="732"/>
    </row>
    <row r="78" spans="2:10" ht="15.75">
      <c r="B78" s="455" t="str">
        <f>CONCATENATE(C96,"     ",D96)</f>
        <v>     </v>
      </c>
      <c r="C78" s="295"/>
      <c r="D78" s="219" t="s">
        <v>175</v>
      </c>
      <c r="E78" s="95">
        <f>IF(E77-E61&gt;0,E77-E61,0)</f>
        <v>0</v>
      </c>
      <c r="G78" s="563">
        <f>ROUND(C73*0.05+C73,0)</f>
        <v>0</v>
      </c>
      <c r="H78" s="562" t="str">
        <f>CONCATENATE("Less ",E1-2," Expenditures + 5%")</f>
        <v>Less 2012 Expenditures + 5%</v>
      </c>
      <c r="I78" s="476"/>
      <c r="J78" s="732"/>
    </row>
    <row r="79" spans="2:10" ht="15.75">
      <c r="B79" s="219"/>
      <c r="C79" s="442" t="s">
        <v>654</v>
      </c>
      <c r="D79" s="698">
        <f>inputOth!E41</f>
        <v>0</v>
      </c>
      <c r="E79" s="190">
        <f>ROUND(IF(D79&gt;0,(E78*D79),0),0)</f>
        <v>0</v>
      </c>
      <c r="G79" s="573">
        <f>G76-G78</f>
        <v>0</v>
      </c>
      <c r="H79" s="574" t="str">
        <f>CONCATENATE("Projected ",E1+1," carryover (est.)")</f>
        <v>Projected 2015 carryover (est.)</v>
      </c>
      <c r="I79" s="485"/>
      <c r="J79" s="730"/>
    </row>
    <row r="80" spans="2:9" ht="16.5" thickBot="1">
      <c r="B80" s="65"/>
      <c r="C80" s="851" t="str">
        <f>CONCATENATE("Amount of  ",E1-1," Ad Valorem Tax")</f>
        <v>Amount of  2013 Ad Valorem Tax</v>
      </c>
      <c r="D80" s="852"/>
      <c r="E80" s="705">
        <f>E78+E79</f>
        <v>0</v>
      </c>
      <c r="G80" s="2"/>
      <c r="H80" s="2"/>
      <c r="I80" s="2"/>
    </row>
    <row r="81" spans="2:10" ht="16.5" thickTop="1">
      <c r="B81" s="65"/>
      <c r="C81" s="780"/>
      <c r="D81" s="781"/>
      <c r="E81" s="65"/>
      <c r="G81" s="789" t="s">
        <v>954</v>
      </c>
      <c r="H81" s="790"/>
      <c r="I81" s="790"/>
      <c r="J81" s="791"/>
    </row>
    <row r="82" spans="2:10" ht="15.75">
      <c r="B82" s="65"/>
      <c r="C82" s="65"/>
      <c r="D82" s="65"/>
      <c r="E82" s="65"/>
      <c r="G82" s="700"/>
      <c r="H82" s="478"/>
      <c r="I82" s="650"/>
      <c r="J82" s="651"/>
    </row>
    <row r="83" spans="2:10" ht="15.75">
      <c r="B83" s="219" t="s">
        <v>177</v>
      </c>
      <c r="C83" s="346"/>
      <c r="D83" s="119"/>
      <c r="E83" s="65"/>
      <c r="G83" s="702" t="e">
        <f>summ!#REF!</f>
        <v>#REF!</v>
      </c>
      <c r="H83" s="478" t="str">
        <f>CONCATENATE("",E1," Fund Mill Rate")</f>
        <v>2014 Fund Mill Rate</v>
      </c>
      <c r="I83" s="650"/>
      <c r="J83" s="651"/>
    </row>
    <row r="84" spans="7:10" ht="15.75">
      <c r="G84" s="701" t="e">
        <f>summ!#REF!</f>
        <v>#REF!</v>
      </c>
      <c r="H84" s="478" t="str">
        <f>CONCATENATE("",E1-1," Fund Mill Rate")</f>
        <v>2013 Fund Mill Rate</v>
      </c>
      <c r="I84" s="650"/>
      <c r="J84" s="651"/>
    </row>
    <row r="85" spans="2:10" ht="15.75">
      <c r="B85" s="127"/>
      <c r="C85" s="127"/>
      <c r="G85" s="703">
        <f>summ!H22</f>
        <v>48.57</v>
      </c>
      <c r="H85" s="478" t="str">
        <f>CONCATENATE("Total ",E1," Mill Rate")</f>
        <v>Total 2014 Mill Rate</v>
      </c>
      <c r="I85" s="650"/>
      <c r="J85" s="651"/>
    </row>
    <row r="86" spans="7:10" ht="15.75">
      <c r="G86" s="701">
        <f>summ!E22</f>
        <v>53.092</v>
      </c>
      <c r="H86" s="638" t="str">
        <f>CONCATENATE("Total ",E1-1," Mill Rate")</f>
        <v>Total 2013 Mill Rate</v>
      </c>
      <c r="I86" s="639"/>
      <c r="J86" s="640"/>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33">
    <cfRule type="cellIs" priority="10" dxfId="2" operator="greaterThan" stopIfTrue="1">
      <formula>$C$35</formula>
    </cfRule>
  </conditionalFormatting>
  <conditionalFormatting sqref="D33">
    <cfRule type="cellIs" priority="11" dxfId="2"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Beattie</v>
      </c>
      <c r="C1" s="65"/>
      <c r="D1" s="65"/>
      <c r="E1" s="162">
        <f>inputPrYr!$C$5</f>
        <v>2014</v>
      </c>
    </row>
    <row r="2" spans="2:5" ht="15.75">
      <c r="B2" s="65"/>
      <c r="C2" s="65"/>
      <c r="D2" s="65"/>
      <c r="E2" s="219"/>
    </row>
    <row r="3" spans="2:5" ht="15.75">
      <c r="B3" s="82" t="s">
        <v>222</v>
      </c>
      <c r="C3" s="331"/>
      <c r="D3" s="331"/>
      <c r="E3" s="332"/>
    </row>
    <row r="4" spans="2:5" ht="15.75">
      <c r="B4" s="70" t="s">
        <v>165</v>
      </c>
      <c r="C4" s="708" t="s">
        <v>832</v>
      </c>
      <c r="D4" s="709" t="s">
        <v>833</v>
      </c>
      <c r="E4" s="175" t="s">
        <v>834</v>
      </c>
    </row>
    <row r="5" spans="2:5" ht="15.75">
      <c r="B5" s="453">
        <f>(inputPrYr!B32)</f>
        <v>0</v>
      </c>
      <c r="C5" s="333" t="str">
        <f>CONCATENATE("Actual for ",$E$1-2,"")</f>
        <v>Actual for 2012</v>
      </c>
      <c r="D5" s="415" t="str">
        <f>CONCATENATE("Estimate for ",$E$1-1,"")</f>
        <v>Estimate for 2013</v>
      </c>
      <c r="E5" s="230" t="str">
        <f>CONCATENATE("Year for ",$E$1,"")</f>
        <v>Year for 2014</v>
      </c>
    </row>
    <row r="6" spans="2:5" ht="15.75">
      <c r="B6" s="179" t="s">
        <v>278</v>
      </c>
      <c r="C6" s="88"/>
      <c r="D6" s="190">
        <f>C31</f>
        <v>0</v>
      </c>
      <c r="E6" s="190">
        <f>D31</f>
        <v>0</v>
      </c>
    </row>
    <row r="7" spans="2:5" ht="15.75">
      <c r="B7" s="279" t="s">
        <v>280</v>
      </c>
      <c r="C7" s="109"/>
      <c r="D7" s="109"/>
      <c r="E7" s="109"/>
    </row>
    <row r="8" spans="2:5" ht="15.75">
      <c r="B8" s="292"/>
      <c r="C8" s="335"/>
      <c r="D8" s="335"/>
      <c r="E8" s="335"/>
    </row>
    <row r="9" spans="2:5" ht="15.75">
      <c r="B9" s="292"/>
      <c r="C9" s="335"/>
      <c r="D9" s="335"/>
      <c r="E9" s="335"/>
    </row>
    <row r="10" spans="2:5" ht="15.75">
      <c r="B10" s="336"/>
      <c r="C10" s="132"/>
      <c r="D10" s="132"/>
      <c r="E10" s="132"/>
    </row>
    <row r="11" spans="2:5" ht="15.75">
      <c r="B11" s="292"/>
      <c r="C11" s="335"/>
      <c r="D11" s="335"/>
      <c r="E11" s="335"/>
    </row>
    <row r="12" spans="2:5" ht="15.75">
      <c r="B12" s="337" t="s">
        <v>170</v>
      </c>
      <c r="C12" s="335"/>
      <c r="D12" s="335"/>
      <c r="E12" s="335"/>
    </row>
    <row r="13" spans="2:5" ht="15.75">
      <c r="B13" s="341" t="s">
        <v>256</v>
      </c>
      <c r="C13" s="335"/>
      <c r="D13" s="335"/>
      <c r="E13" s="335"/>
    </row>
    <row r="14" spans="2:5" ht="15.75">
      <c r="B14" s="341" t="s">
        <v>651</v>
      </c>
      <c r="C14" s="454">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9" t="s">
        <v>173</v>
      </c>
      <c r="C17" s="109"/>
      <c r="D17" s="109"/>
      <c r="E17" s="109"/>
    </row>
    <row r="18" spans="2:5" ht="15.75">
      <c r="B18" s="292" t="s">
        <v>290</v>
      </c>
      <c r="C18" s="335"/>
      <c r="D18" s="335"/>
      <c r="E18" s="335"/>
    </row>
    <row r="19" spans="2:5" ht="15.75">
      <c r="B19" s="292" t="s">
        <v>293</v>
      </c>
      <c r="C19" s="335"/>
      <c r="D19" s="335"/>
      <c r="E19" s="335"/>
    </row>
    <row r="20" spans="2:5" ht="15.75">
      <c r="B20" s="292"/>
      <c r="C20" s="132"/>
      <c r="D20" s="132"/>
      <c r="E20" s="132"/>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2" t="s">
        <v>256</v>
      </c>
      <c r="C28" s="335"/>
      <c r="D28" s="335"/>
      <c r="E28" s="335"/>
    </row>
    <row r="29" spans="2:5" ht="15.75">
      <c r="B29" s="192" t="s">
        <v>650</v>
      </c>
      <c r="C29" s="454">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9" t="s">
        <v>279</v>
      </c>
      <c r="C31" s="95">
        <f>C16-C30</f>
        <v>0</v>
      </c>
      <c r="D31" s="95">
        <f>D16-D30</f>
        <v>0</v>
      </c>
      <c r="E31" s="95">
        <f>E16-E30</f>
        <v>0</v>
      </c>
    </row>
    <row r="32" spans="2:5" ht="15.75">
      <c r="B32" s="211" t="str">
        <f>CONCATENATE("",E1-2,"/",E1-1," Budget Authority Amount:")</f>
        <v>2012/2013 Budget Authority Amount:</v>
      </c>
      <c r="C32" s="222">
        <f>inputOth!B66</f>
        <v>0</v>
      </c>
      <c r="D32" s="222">
        <f>inputPrYr!D32</f>
        <v>0</v>
      </c>
      <c r="E32" s="461">
        <f>IF(E31&lt;0,"See Tab E","")</f>
      </c>
    </row>
    <row r="33" spans="2:5" ht="15.75">
      <c r="B33" s="211"/>
      <c r="C33" s="295">
        <f>IF(C30&gt;C32,"See Tab A","")</f>
      </c>
      <c r="D33" s="295">
        <f>IF(D30&gt;D32,"See Tab C","")</f>
      </c>
      <c r="E33" s="209"/>
    </row>
    <row r="34" spans="2:5" ht="15.75">
      <c r="B34" s="211"/>
      <c r="C34" s="295">
        <f>IF(C31&lt;0,"See Tab B","")</f>
      </c>
      <c r="D34" s="295">
        <f>IF(D31&lt;0,"See Tab D","")</f>
      </c>
      <c r="E34" s="209"/>
    </row>
    <row r="35" spans="2:5" ht="15.75">
      <c r="B35" s="65"/>
      <c r="C35" s="209"/>
      <c r="D35" s="209"/>
      <c r="E35" s="209"/>
    </row>
    <row r="36" spans="2:5" ht="15.75">
      <c r="B36" s="65"/>
      <c r="C36" s="209"/>
      <c r="D36" s="209"/>
      <c r="E36" s="209"/>
    </row>
    <row r="37" spans="2:5" ht="15.75">
      <c r="B37" s="70" t="s">
        <v>165</v>
      </c>
      <c r="C37" s="708" t="s">
        <v>832</v>
      </c>
      <c r="D37" s="709" t="s">
        <v>833</v>
      </c>
      <c r="E37" s="175" t="s">
        <v>834</v>
      </c>
    </row>
    <row r="38" spans="2:5" ht="15.75">
      <c r="B38" s="452">
        <f>(inputPrYr!B33)</f>
        <v>0</v>
      </c>
      <c r="C38" s="333" t="str">
        <f>CONCATENATE("Actual for ",$E$1-2,"")</f>
        <v>Actual for 2012</v>
      </c>
      <c r="D38" s="415" t="str">
        <f>CONCATENATE("Estimate for ",$E$1-1,"")</f>
        <v>Estimate for 2013</v>
      </c>
      <c r="E38" s="230" t="str">
        <f>CONCATENATE("Year for ",$E$1,"")</f>
        <v>Year for 2014</v>
      </c>
    </row>
    <row r="39" spans="2:5" ht="15.75">
      <c r="B39" s="179" t="s">
        <v>278</v>
      </c>
      <c r="C39" s="88">
        <v>0</v>
      </c>
      <c r="D39" s="190">
        <f>C63</f>
        <v>0</v>
      </c>
      <c r="E39" s="190">
        <f>D63</f>
        <v>0</v>
      </c>
    </row>
    <row r="40" spans="2:5" ht="15.75">
      <c r="B40" s="179" t="s">
        <v>280</v>
      </c>
      <c r="C40" s="109"/>
      <c r="D40" s="109"/>
      <c r="E40" s="109"/>
    </row>
    <row r="41" spans="2:5" ht="15.75">
      <c r="B41" s="292"/>
      <c r="C41" s="335"/>
      <c r="D41" s="335"/>
      <c r="E41" s="335"/>
    </row>
    <row r="42" spans="2:5" ht="15.75">
      <c r="B42" s="292"/>
      <c r="C42" s="335"/>
      <c r="D42" s="335"/>
      <c r="E42" s="335"/>
    </row>
    <row r="43" spans="2:5" ht="15.75">
      <c r="B43" s="336"/>
      <c r="C43" s="132"/>
      <c r="D43" s="132"/>
      <c r="E43" s="132"/>
    </row>
    <row r="44" spans="2:5" ht="15.75">
      <c r="B44" s="292"/>
      <c r="C44" s="335"/>
      <c r="D44" s="335"/>
      <c r="E44" s="335"/>
    </row>
    <row r="45" spans="2:5" ht="15.75">
      <c r="B45" s="337" t="s">
        <v>170</v>
      </c>
      <c r="C45" s="335"/>
      <c r="D45" s="335"/>
      <c r="E45" s="335"/>
    </row>
    <row r="46" spans="2:5" ht="15.75">
      <c r="B46" s="341" t="s">
        <v>256</v>
      </c>
      <c r="C46" s="335"/>
      <c r="D46" s="335"/>
      <c r="E46" s="335"/>
    </row>
    <row r="47" spans="2:5" ht="15.75">
      <c r="B47" s="341" t="s">
        <v>651</v>
      </c>
      <c r="C47" s="454">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9" t="s">
        <v>173</v>
      </c>
      <c r="C50" s="109"/>
      <c r="D50" s="109"/>
      <c r="E50" s="109"/>
    </row>
    <row r="51" spans="2:5" ht="15.75">
      <c r="B51" s="292" t="s">
        <v>290</v>
      </c>
      <c r="C51" s="335"/>
      <c r="D51" s="335"/>
      <c r="E51" s="335"/>
    </row>
    <row r="52" spans="2:5" ht="15.75">
      <c r="B52" s="292" t="s">
        <v>291</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2"/>
      <c r="D57" s="132"/>
      <c r="E57" s="132"/>
    </row>
    <row r="58" spans="2:5" ht="15.75">
      <c r="B58" s="292"/>
      <c r="C58" s="335"/>
      <c r="D58" s="132"/>
      <c r="E58" s="132"/>
    </row>
    <row r="59" spans="2:5" ht="15.75">
      <c r="B59" s="292"/>
      <c r="C59" s="335"/>
      <c r="D59" s="132"/>
      <c r="E59" s="132"/>
    </row>
    <row r="60" spans="2:5" ht="15.75">
      <c r="B60" s="192" t="s">
        <v>256</v>
      </c>
      <c r="C60" s="335"/>
      <c r="D60" s="132"/>
      <c r="E60" s="132"/>
    </row>
    <row r="61" spans="2:5" ht="15.75">
      <c r="B61" s="192" t="s">
        <v>650</v>
      </c>
      <c r="C61" s="454">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9" t="s">
        <v>279</v>
      </c>
      <c r="C63" s="95">
        <f>C49-C62</f>
        <v>0</v>
      </c>
      <c r="D63" s="95">
        <f>D49-D62</f>
        <v>0</v>
      </c>
      <c r="E63" s="95">
        <f>E49-E62</f>
        <v>0</v>
      </c>
    </row>
    <row r="64" spans="2:5" ht="15.75">
      <c r="B64" s="211" t="str">
        <f>CONCATENATE("",E1-2,"/",E1-1," Budget Authority Amount:")</f>
        <v>2012/2013 Budget Authority Amount:</v>
      </c>
      <c r="C64" s="222">
        <f>inputOth!B67</f>
        <v>0</v>
      </c>
      <c r="D64" s="222">
        <f>inputPrYr!D33</f>
        <v>0</v>
      </c>
      <c r="E64" s="461">
        <f>IF(E63&lt;0,"See Tab E","")</f>
      </c>
    </row>
    <row r="65" spans="2:5" ht="15.75">
      <c r="B65" s="211"/>
      <c r="C65" s="295">
        <f>IF(C62&gt;C64,"See Tab A","")</f>
      </c>
      <c r="D65" s="295">
        <f>IF(D62&gt;D64,"See Tab C","")</f>
      </c>
      <c r="E65" s="65"/>
    </row>
    <row r="66" spans="2:5" ht="15.75">
      <c r="B66" s="211"/>
      <c r="C66" s="295">
        <f>IF(C63&lt;0,"See Tab B","")</f>
      </c>
      <c r="D66" s="295">
        <f>IF(D63&lt;0,"See Tab D","")</f>
      </c>
      <c r="E66" s="65"/>
    </row>
    <row r="67" spans="2:5" ht="15.75">
      <c r="B67" s="65"/>
      <c r="C67" s="65"/>
      <c r="D67" s="65"/>
      <c r="E67" s="65"/>
    </row>
    <row r="68" spans="2:5" ht="15.75">
      <c r="B68" s="219" t="s">
        <v>177</v>
      </c>
      <c r="C68" s="297"/>
      <c r="D68" s="65"/>
      <c r="E68" s="65"/>
    </row>
  </sheetData>
  <sheetProtection sheet="1"/>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2" operator="lessThan" stopIfTrue="1">
      <formula>0</formula>
    </cfRule>
  </conditionalFormatting>
  <conditionalFormatting sqref="D30">
    <cfRule type="cellIs" priority="16" dxfId="2" operator="greaterThan" stopIfTrue="1">
      <formula>$D$32</formula>
    </cfRule>
  </conditionalFormatting>
  <conditionalFormatting sqref="C30">
    <cfRule type="cellIs" priority="17" dxfId="2" operator="greaterThan" stopIfTrue="1">
      <formula>$C$32</formula>
    </cfRule>
  </conditionalFormatting>
  <conditionalFormatting sqref="C63">
    <cfRule type="cellIs" priority="18" dxfId="3" operator="lessThan" stopIfTrue="1">
      <formula>0</formula>
    </cfRule>
  </conditionalFormatting>
  <conditionalFormatting sqref="C62">
    <cfRule type="cellIs" priority="19" dxfId="2" operator="greaterThan" stopIfTrue="1">
      <formula>$C$64</formula>
    </cfRule>
  </conditionalFormatting>
  <conditionalFormatting sqref="D62">
    <cfRule type="cellIs" priority="20" dxfId="2"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Beattie</v>
      </c>
      <c r="C1" s="65"/>
      <c r="D1" s="65"/>
      <c r="E1" s="162">
        <f>inputPrYr!$C$5</f>
        <v>2014</v>
      </c>
    </row>
    <row r="2" spans="2:5" ht="15.75">
      <c r="B2" s="65"/>
      <c r="C2" s="65"/>
      <c r="D2" s="65"/>
      <c r="E2" s="219"/>
    </row>
    <row r="3" spans="2:5" ht="15.75">
      <c r="B3" s="82" t="s">
        <v>222</v>
      </c>
      <c r="C3" s="331"/>
      <c r="D3" s="331"/>
      <c r="E3" s="332"/>
    </row>
    <row r="4" spans="2:5" ht="15.75">
      <c r="B4" s="70" t="s">
        <v>165</v>
      </c>
      <c r="C4" s="708" t="s">
        <v>832</v>
      </c>
      <c r="D4" s="709" t="s">
        <v>833</v>
      </c>
      <c r="E4" s="175" t="s">
        <v>834</v>
      </c>
    </row>
    <row r="5" spans="2:5" ht="15.75">
      <c r="B5" s="453">
        <f>(inputPrYr!B35)</f>
        <v>0</v>
      </c>
      <c r="C5" s="333" t="str">
        <f>CONCATENATE("Actual for ",$E$1-2,"")</f>
        <v>Actual for 2012</v>
      </c>
      <c r="D5" s="415" t="str">
        <f>CONCATENATE("Estimate for ",$E$1-1,"")</f>
        <v>Estimate for 2013</v>
      </c>
      <c r="E5" s="230" t="str">
        <f>CONCATENATE("Year for ",$E$1,"")</f>
        <v>Year for 2014</v>
      </c>
    </row>
    <row r="6" spans="2:5" ht="15.75">
      <c r="B6" s="179" t="s">
        <v>278</v>
      </c>
      <c r="C6" s="88">
        <v>0</v>
      </c>
      <c r="D6" s="190">
        <f>C52</f>
        <v>0</v>
      </c>
      <c r="E6" s="190">
        <f>D52</f>
        <v>0</v>
      </c>
    </row>
    <row r="7" spans="2:5" ht="15.75">
      <c r="B7" s="279" t="s">
        <v>280</v>
      </c>
      <c r="C7" s="109"/>
      <c r="D7" s="109"/>
      <c r="E7" s="109"/>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2"/>
      <c r="D14" s="132"/>
      <c r="E14" s="132"/>
    </row>
    <row r="15" spans="2:5" ht="15.75">
      <c r="B15" s="292"/>
      <c r="C15" s="335"/>
      <c r="D15" s="335"/>
      <c r="E15" s="335"/>
    </row>
    <row r="16" spans="2:5" ht="15.75">
      <c r="B16" s="292"/>
      <c r="C16" s="335"/>
      <c r="D16" s="335"/>
      <c r="E16" s="335"/>
    </row>
    <row r="17" spans="2:5" ht="15.75">
      <c r="B17" s="292"/>
      <c r="C17" s="335"/>
      <c r="D17" s="335"/>
      <c r="E17" s="335"/>
    </row>
    <row r="18" spans="2:5" ht="15.75">
      <c r="B18" s="337" t="s">
        <v>170</v>
      </c>
      <c r="C18" s="335"/>
      <c r="D18" s="335"/>
      <c r="E18" s="335"/>
    </row>
    <row r="19" spans="2:5" ht="15.75">
      <c r="B19" s="179" t="s">
        <v>256</v>
      </c>
      <c r="C19" s="335"/>
      <c r="D19" s="335"/>
      <c r="E19" s="335"/>
    </row>
    <row r="20" spans="2:5" ht="15.75">
      <c r="B20" s="179" t="s">
        <v>791</v>
      </c>
      <c r="C20" s="454">
        <f>IF(C21*0.1&lt;C19,"Exceed 10% Rule","")</f>
      </c>
      <c r="D20" s="338">
        <f>IF(D21*0.1&lt;D19,"Exceed 10% Rule","")</f>
      </c>
      <c r="E20" s="338">
        <f>IF(E21*0.1&lt;E19,"Exceed 10% Rule","")</f>
      </c>
    </row>
    <row r="21" spans="2:5" ht="15.75">
      <c r="B21" s="289" t="s">
        <v>171</v>
      </c>
      <c r="C21" s="340">
        <f>SUM(C8:C19)</f>
        <v>0</v>
      </c>
      <c r="D21" s="340">
        <f>SUM(D8:D19)</f>
        <v>0</v>
      </c>
      <c r="E21" s="340">
        <f>SUM(E8:E19)</f>
        <v>0</v>
      </c>
    </row>
    <row r="22" spans="2:5" ht="15.75">
      <c r="B22" s="289" t="s">
        <v>172</v>
      </c>
      <c r="C22" s="340">
        <f>C6+C21</f>
        <v>0</v>
      </c>
      <c r="D22" s="340">
        <f>D6+D21</f>
        <v>0</v>
      </c>
      <c r="E22" s="340">
        <f>E6+E21</f>
        <v>0</v>
      </c>
    </row>
    <row r="23" spans="2:5" ht="15.75">
      <c r="B23" s="179" t="s">
        <v>173</v>
      </c>
      <c r="C23" s="109"/>
      <c r="D23" s="109"/>
      <c r="E23" s="109"/>
    </row>
    <row r="24" spans="2:5" ht="15.75">
      <c r="B24" s="292"/>
      <c r="C24" s="335"/>
      <c r="D24" s="335"/>
      <c r="E24" s="335"/>
    </row>
    <row r="25" spans="2:5" ht="15.75">
      <c r="B25" s="292"/>
      <c r="C25" s="335"/>
      <c r="D25" s="335"/>
      <c r="E25" s="335"/>
    </row>
    <row r="26" spans="2:5" ht="15.75">
      <c r="B26" s="292"/>
      <c r="C26" s="132"/>
      <c r="D26" s="132"/>
      <c r="E26" s="132"/>
    </row>
    <row r="27" spans="2:5" ht="15.75">
      <c r="B27" s="292"/>
      <c r="C27" s="132"/>
      <c r="D27" s="132"/>
      <c r="E27" s="132"/>
    </row>
    <row r="28" spans="2:5" ht="15.75">
      <c r="B28" s="292"/>
      <c r="C28" s="132"/>
      <c r="D28" s="132"/>
      <c r="E28" s="132"/>
    </row>
    <row r="29" spans="2:5" ht="15.75">
      <c r="B29" s="292"/>
      <c r="C29" s="132"/>
      <c r="D29" s="132"/>
      <c r="E29" s="132"/>
    </row>
    <row r="30" spans="2:5" ht="15.75">
      <c r="B30" s="292"/>
      <c r="C30" s="132"/>
      <c r="D30" s="132"/>
      <c r="E30" s="132"/>
    </row>
    <row r="31" spans="2:5" ht="15.75">
      <c r="B31" s="292"/>
      <c r="C31" s="132"/>
      <c r="D31" s="132"/>
      <c r="E31" s="132"/>
    </row>
    <row r="32" spans="2:5" ht="15.75">
      <c r="B32" s="292"/>
      <c r="C32" s="132"/>
      <c r="D32" s="132"/>
      <c r="E32" s="132"/>
    </row>
    <row r="33" spans="2:5" ht="15.75">
      <c r="B33" s="292"/>
      <c r="C33" s="132"/>
      <c r="D33" s="132"/>
      <c r="E33" s="132"/>
    </row>
    <row r="34" spans="2:5" ht="15.75">
      <c r="B34" s="292"/>
      <c r="C34" s="132"/>
      <c r="D34" s="132"/>
      <c r="E34" s="132"/>
    </row>
    <row r="35" spans="2:5" ht="15.75">
      <c r="B35" s="292"/>
      <c r="C35" s="132"/>
      <c r="D35" s="132"/>
      <c r="E35" s="132"/>
    </row>
    <row r="36" spans="2:5" ht="15.75">
      <c r="B36" s="292"/>
      <c r="C36" s="132"/>
      <c r="D36" s="132"/>
      <c r="E36" s="132"/>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2" t="s">
        <v>256</v>
      </c>
      <c r="C49" s="335"/>
      <c r="D49" s="335"/>
      <c r="E49" s="335"/>
    </row>
    <row r="50" spans="2:5" ht="15.75">
      <c r="B50" s="192" t="s">
        <v>790</v>
      </c>
      <c r="C50" s="454">
        <f>IF(C51*0.1&lt;C49,"Exceed 10% Rule","")</f>
      </c>
      <c r="D50" s="338">
        <f>IF(D51*0.1&lt;D49,"Exceed 10% Rule","")</f>
      </c>
      <c r="E50" s="338">
        <f>IF(E51*0.1&lt;E49,"Exceed 10% Rule","")</f>
      </c>
    </row>
    <row r="51" spans="2:5" ht="15.75">
      <c r="B51" s="289" t="s">
        <v>174</v>
      </c>
      <c r="C51" s="340">
        <f>SUM(C24:C49)</f>
        <v>0</v>
      </c>
      <c r="D51" s="340">
        <f>SUM(D24:D49)</f>
        <v>0</v>
      </c>
      <c r="E51" s="340">
        <f>SUM(E24:E49)</f>
        <v>0</v>
      </c>
    </row>
    <row r="52" spans="2:5" ht="15.75">
      <c r="B52" s="179" t="s">
        <v>279</v>
      </c>
      <c r="C52" s="95">
        <f>C22-C51</f>
        <v>0</v>
      </c>
      <c r="D52" s="95">
        <f>D22-D51</f>
        <v>0</v>
      </c>
      <c r="E52" s="95">
        <f>E22-E51</f>
        <v>0</v>
      </c>
    </row>
    <row r="53" spans="2:5" ht="15.75">
      <c r="B53" s="211" t="str">
        <f>CONCATENATE("",E1-2,"/",E1-1," Budget Authority Amount:")</f>
        <v>2012/2013 Budget Authority Amount:</v>
      </c>
      <c r="C53" s="222">
        <f>inputOth!B68</f>
        <v>0</v>
      </c>
      <c r="D53" s="222">
        <f>inputPrYr!D35</f>
        <v>0</v>
      </c>
      <c r="E53" s="461">
        <f>IF(E52&lt;0,"See Tab E","")</f>
      </c>
    </row>
    <row r="54" spans="2:5" ht="15.75">
      <c r="B54" s="211"/>
      <c r="C54" s="295">
        <f>IF(C51&gt;C53,"See Tab A","")</f>
      </c>
      <c r="D54" s="295">
        <f>IF(D51&gt;D53,"See Tab C","")</f>
      </c>
      <c r="E54" s="129"/>
    </row>
    <row r="55" spans="2:5" ht="15.75">
      <c r="B55" s="211"/>
      <c r="C55" s="295">
        <f>IF(C52&lt;0,"See Tab B","")</f>
      </c>
      <c r="D55" s="295">
        <f>IF(D52&lt;0,"See Tab D","")</f>
      </c>
      <c r="E55" s="129"/>
    </row>
    <row r="56" spans="2:5" ht="15">
      <c r="B56" s="129"/>
      <c r="C56" s="129"/>
      <c r="D56" s="129"/>
      <c r="E56" s="129"/>
    </row>
    <row r="57" spans="2:5" ht="15.75">
      <c r="B57" s="219" t="s">
        <v>177</v>
      </c>
      <c r="C57" s="297"/>
      <c r="D57" s="129"/>
      <c r="E57" s="129"/>
    </row>
  </sheetData>
  <sheetProtection sheet="1"/>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2" operator="lessThan" stopIfTrue="1">
      <formula>0</formula>
    </cfRule>
  </conditionalFormatting>
  <conditionalFormatting sqref="D51">
    <cfRule type="cellIs" priority="9" dxfId="2" operator="greaterThan" stopIfTrue="1">
      <formula>$D$53</formula>
    </cfRule>
  </conditionalFormatting>
  <conditionalFormatting sqref="C51">
    <cfRule type="cellIs" priority="10" dxfId="2"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80" zoomScaleNormal="80" zoomScalePageLayoutView="0" workbookViewId="0" topLeftCell="A1">
      <selection activeCell="E6" sqref="E6"/>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Beattie</v>
      </c>
      <c r="B1" s="129"/>
      <c r="C1" s="129"/>
      <c r="D1" s="129"/>
      <c r="E1" s="130">
        <f>inputPrYr!C5</f>
        <v>2014</v>
      </c>
    </row>
    <row r="2" spans="1:5" ht="15">
      <c r="A2" s="129"/>
      <c r="B2" s="129"/>
      <c r="C2" s="129"/>
      <c r="D2" s="129"/>
      <c r="E2" s="129"/>
    </row>
    <row r="3" spans="1:5" ht="15.75">
      <c r="A3" s="740" t="s">
        <v>22</v>
      </c>
      <c r="B3" s="741"/>
      <c r="C3" s="741"/>
      <c r="D3" s="741"/>
      <c r="E3" s="741"/>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2013</v>
      </c>
      <c r="B7" s="116"/>
      <c r="C7" s="116"/>
      <c r="D7" s="116"/>
      <c r="E7" s="88">
        <v>895803</v>
      </c>
    </row>
    <row r="8" spans="1:5" ht="15.75">
      <c r="A8" s="131" t="str">
        <f>CONCATENATE("New Improvements for ",E1-1,"")</f>
        <v>New Improvements for 2013</v>
      </c>
      <c r="B8" s="116"/>
      <c r="C8" s="116"/>
      <c r="D8" s="116"/>
      <c r="E8" s="124">
        <v>202</v>
      </c>
    </row>
    <row r="9" spans="1:5" ht="15.75">
      <c r="A9" s="131" t="str">
        <f>CONCATENATE("Personal Property excluding oil, gas, and mobile homes  - ",E1-1,"")</f>
        <v>Personal Property excluding oil, gas, and mobile homes  - 2013</v>
      </c>
      <c r="B9" s="116"/>
      <c r="C9" s="116"/>
      <c r="D9" s="116"/>
      <c r="E9" s="124">
        <v>49619</v>
      </c>
    </row>
    <row r="10" spans="1:5" ht="15.75">
      <c r="A10" s="133" t="s">
        <v>281</v>
      </c>
      <c r="B10" s="116"/>
      <c r="C10" s="116"/>
      <c r="D10" s="116"/>
      <c r="E10" s="109"/>
    </row>
    <row r="11" spans="1:5" ht="15.75">
      <c r="A11" s="131" t="s">
        <v>271</v>
      </c>
      <c r="B11" s="116"/>
      <c r="C11" s="116"/>
      <c r="D11" s="116"/>
      <c r="E11" s="124"/>
    </row>
    <row r="12" spans="1:5" ht="15.75">
      <c r="A12" s="131" t="s">
        <v>272</v>
      </c>
      <c r="B12" s="116"/>
      <c r="C12" s="116"/>
      <c r="D12" s="116"/>
      <c r="E12" s="124"/>
    </row>
    <row r="13" spans="1:5" ht="15.75">
      <c r="A13" s="131" t="s">
        <v>273</v>
      </c>
      <c r="B13" s="116"/>
      <c r="C13" s="116"/>
      <c r="D13" s="116"/>
      <c r="E13" s="124"/>
    </row>
    <row r="14" spans="1:5" ht="15.75">
      <c r="A14" s="131" t="str">
        <f>CONCATENATE("Property that has changed in use for ",E1-1,"")</f>
        <v>Property that has changed in use for 2013</v>
      </c>
      <c r="B14" s="116"/>
      <c r="C14" s="116"/>
      <c r="D14" s="116"/>
      <c r="E14" s="124">
        <v>582</v>
      </c>
    </row>
    <row r="15" spans="1:5" ht="15.75">
      <c r="A15" s="131" t="str">
        <f>CONCATENATE("Personal Property  excluding oil, gas, and mobile homes- ",E1-2,"")</f>
        <v>Personal Property  excluding oil, gas, and mobile homes- 2012</v>
      </c>
      <c r="B15" s="116"/>
      <c r="C15" s="116"/>
      <c r="D15" s="116"/>
      <c r="E15" s="124">
        <v>54579</v>
      </c>
    </row>
    <row r="16" spans="1:5" ht="15.75">
      <c r="A16" s="131" t="str">
        <f>CONCATENATE("Gross earnings (intangible) tax estimate for ",E1,"")</f>
        <v>Gross earnings (intangible) tax estimate for 2014</v>
      </c>
      <c r="B16" s="116"/>
      <c r="C16" s="116"/>
      <c r="D16" s="117"/>
      <c r="E16" s="88"/>
    </row>
    <row r="17" spans="1:5" ht="15.75">
      <c r="A17" s="131" t="s">
        <v>47</v>
      </c>
      <c r="B17" s="116"/>
      <c r="C17" s="116"/>
      <c r="D17" s="116"/>
      <c r="E17" s="124">
        <v>1588</v>
      </c>
    </row>
    <row r="18" spans="1:5" ht="15.75">
      <c r="A18" s="100"/>
      <c r="B18" s="97"/>
      <c r="C18" s="97"/>
      <c r="D18" s="97"/>
      <c r="E18" s="102"/>
    </row>
    <row r="19" spans="1:5" ht="15.75">
      <c r="A19" s="100" t="str">
        <f>CONCATENATE("Actual Tax Rates for the ",E1-1," Budget:")</f>
        <v>Actual Tax Rates for the 2013 Budget:</v>
      </c>
      <c r="B19" s="97"/>
      <c r="C19" s="97"/>
      <c r="D19" s="97"/>
      <c r="E19" s="102"/>
    </row>
    <row r="20" spans="1:5" ht="15.75">
      <c r="A20" s="747" t="s">
        <v>151</v>
      </c>
      <c r="B20" s="748"/>
      <c r="C20" s="129"/>
      <c r="D20" s="134" t="s">
        <v>197</v>
      </c>
      <c r="E20" s="102"/>
    </row>
    <row r="21" spans="1:5" ht="15.75">
      <c r="A21" s="92" t="str">
        <f>inputPrYr!B17</f>
        <v>General</v>
      </c>
      <c r="B21" s="93"/>
      <c r="C21" s="97"/>
      <c r="D21" s="111">
        <v>53.092</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53.092</v>
      </c>
      <c r="E28" s="136"/>
    </row>
    <row r="29" spans="1:5" ht="15">
      <c r="A29" s="136"/>
      <c r="B29" s="136"/>
      <c r="C29" s="136"/>
      <c r="D29" s="136"/>
      <c r="E29" s="136"/>
    </row>
    <row r="30" spans="1:5" ht="15.75">
      <c r="A30" s="93" t="str">
        <f>CONCATENATE("Final Assessed Valuation from the November 1, ",E1-2," Abstract")</f>
        <v>Final Assessed Valuation from the November 1, 2012 Abstract</v>
      </c>
      <c r="B30" s="138"/>
      <c r="C30" s="138"/>
      <c r="D30" s="138"/>
      <c r="E30" s="124">
        <v>894056</v>
      </c>
    </row>
    <row r="31" spans="1:5" ht="15">
      <c r="A31" s="136"/>
      <c r="B31" s="136"/>
      <c r="C31" s="136"/>
      <c r="D31" s="136"/>
      <c r="E31" s="136"/>
    </row>
    <row r="32" spans="1:5" ht="15.75">
      <c r="A32" s="139" t="s">
        <v>282</v>
      </c>
      <c r="B32" s="78"/>
      <c r="C32" s="78"/>
      <c r="D32" s="140"/>
      <c r="E32" s="89"/>
    </row>
    <row r="33" spans="1:5" ht="15.75">
      <c r="A33" s="92" t="s">
        <v>137</v>
      </c>
      <c r="B33" s="93"/>
      <c r="C33" s="93"/>
      <c r="D33" s="141"/>
      <c r="E33" s="88">
        <v>13173</v>
      </c>
    </row>
    <row r="34" spans="1:5" ht="15.75">
      <c r="A34" s="131" t="s">
        <v>138</v>
      </c>
      <c r="B34" s="116"/>
      <c r="C34" s="116"/>
      <c r="D34" s="142"/>
      <c r="E34" s="88">
        <v>184</v>
      </c>
    </row>
    <row r="35" spans="1:5" ht="15.75">
      <c r="A35" s="131" t="s">
        <v>224</v>
      </c>
      <c r="B35" s="116"/>
      <c r="C35" s="116"/>
      <c r="D35" s="142"/>
      <c r="E35" s="88">
        <v>667</v>
      </c>
    </row>
    <row r="36" spans="1:5" ht="15.75">
      <c r="A36" s="131" t="s">
        <v>121</v>
      </c>
      <c r="B36" s="116"/>
      <c r="C36" s="116"/>
      <c r="D36" s="142"/>
      <c r="E36" s="88"/>
    </row>
    <row r="37" spans="1:5" ht="15.75">
      <c r="A37" s="131" t="s">
        <v>123</v>
      </c>
      <c r="B37" s="116"/>
      <c r="C37" s="116"/>
      <c r="D37" s="142"/>
      <c r="E37" s="88"/>
    </row>
    <row r="38" spans="1:5" ht="15.75">
      <c r="A38" s="65" t="s">
        <v>260</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2011 Tax - (rate .01213 = 1.213%, key in 1.2)</v>
      </c>
      <c r="B40" s="93"/>
      <c r="C40" s="93"/>
      <c r="D40" s="104"/>
      <c r="E40" s="657">
        <v>0</v>
      </c>
    </row>
    <row r="41" spans="1:5" ht="15.75">
      <c r="A41" s="131" t="s">
        <v>837</v>
      </c>
      <c r="B41" s="131"/>
      <c r="C41" s="116"/>
      <c r="D41" s="117"/>
      <c r="E41" s="65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2014 State Distribution for Kansas Gas Tax</v>
      </c>
      <c r="B45" s="150"/>
      <c r="C45" s="150"/>
      <c r="D45" s="151"/>
      <c r="E45" s="124">
        <v>5160</v>
      </c>
    </row>
    <row r="46" spans="1:5" ht="15.75">
      <c r="A46" s="152" t="str">
        <f>CONCATENATE("",E1," County Transfers for Gas***")</f>
        <v>2014 County Transfers for Gas***</v>
      </c>
      <c r="B46" s="153"/>
      <c r="C46" s="153"/>
      <c r="D46" s="154"/>
      <c r="E46" s="124"/>
    </row>
    <row r="47" spans="1:5" ht="15.75">
      <c r="A47" s="152" t="str">
        <f>CONCATENATE("Adjusted ",E1-1," State Distribution for Kansas Gas Tax")</f>
        <v>Adjusted 2013 State Distribution for Kansas Gas Tax</v>
      </c>
      <c r="B47" s="153"/>
      <c r="C47" s="153"/>
      <c r="D47" s="154"/>
      <c r="E47" s="124">
        <v>4980</v>
      </c>
    </row>
    <row r="48" spans="1:5" ht="15.75">
      <c r="A48" s="152" t="str">
        <f>CONCATENATE("Adjusted ",E1-1," County Transfers for Gas***")</f>
        <v>Adjusted 2013 County Transfers for Gas***</v>
      </c>
      <c r="B48" s="153"/>
      <c r="C48" s="153"/>
      <c r="D48" s="154"/>
      <c r="E48" s="124"/>
    </row>
    <row r="49" spans="1:5" ht="18" customHeight="1">
      <c r="A49" s="749" t="s">
        <v>15</v>
      </c>
      <c r="B49" s="750"/>
      <c r="C49" s="750"/>
      <c r="D49" s="750"/>
      <c r="E49" s="750"/>
    </row>
    <row r="50" spans="1:5" ht="15">
      <c r="A50" s="155" t="s">
        <v>16</v>
      </c>
      <c r="B50" s="155"/>
      <c r="C50" s="155"/>
      <c r="D50" s="155"/>
      <c r="E50" s="155"/>
    </row>
    <row r="51" spans="1:5" ht="15">
      <c r="A51" s="129"/>
      <c r="B51" s="129"/>
      <c r="C51" s="129"/>
      <c r="D51" s="129"/>
      <c r="E51" s="129"/>
    </row>
    <row r="52" spans="1:5" ht="15.75">
      <c r="A52" s="751" t="str">
        <f>CONCATENATE("From the ",E1-2," Budget Certificate Page")</f>
        <v>From the 2012 Budget Certificate Page</v>
      </c>
      <c r="B52" s="752"/>
      <c r="C52" s="129"/>
      <c r="D52" s="129"/>
      <c r="E52" s="129"/>
    </row>
    <row r="53" spans="1:5" ht="15.75">
      <c r="A53" s="156"/>
      <c r="B53" s="156" t="str">
        <f>CONCATENATE("",E1-2," Expenditure Amounts")</f>
        <v>2012 Expenditure Amounts</v>
      </c>
      <c r="C53" s="745" t="str">
        <f>CONCATENATE("Note: If the ",E1-2," budget was amended, then the")</f>
        <v>Note: If the 2012 budget was amended, then the</v>
      </c>
      <c r="D53" s="746"/>
      <c r="E53" s="746"/>
    </row>
    <row r="54" spans="1:5" ht="15.75">
      <c r="A54" s="157" t="s">
        <v>52</v>
      </c>
      <c r="B54" s="157" t="s">
        <v>51</v>
      </c>
      <c r="C54" s="158" t="s">
        <v>49</v>
      </c>
      <c r="D54" s="159"/>
      <c r="E54" s="159"/>
    </row>
    <row r="55" spans="1:5" ht="15.75">
      <c r="A55" s="160" t="str">
        <f>inputPrYr!B17</f>
        <v>General</v>
      </c>
      <c r="B55" s="124">
        <v>111504</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5517</v>
      </c>
      <c r="C62" s="129"/>
      <c r="D62" s="129"/>
      <c r="E62" s="129"/>
    </row>
    <row r="63" spans="1:5" ht="15.75">
      <c r="A63" s="160" t="str">
        <f>inputPrYr!B29</f>
        <v>Water</v>
      </c>
      <c r="B63" s="124">
        <v>43170</v>
      </c>
      <c r="C63" s="129"/>
      <c r="D63" s="129"/>
      <c r="E63" s="129"/>
    </row>
    <row r="64" spans="1:5" ht="15.75">
      <c r="A64" s="160" t="str">
        <f>inputPrYr!B30</f>
        <v>Sewer</v>
      </c>
      <c r="B64" s="124">
        <v>34204</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731</v>
      </c>
    </row>
    <row r="3" ht="31.5">
      <c r="A3" s="571" t="s">
        <v>732</v>
      </c>
    </row>
    <row r="4" ht="15.75">
      <c r="A4" s="572" t="s">
        <v>733</v>
      </c>
    </row>
    <row r="7" ht="31.5">
      <c r="A7" s="571" t="s">
        <v>734</v>
      </c>
    </row>
    <row r="8" ht="15.75">
      <c r="A8" s="572" t="s">
        <v>735</v>
      </c>
    </row>
    <row r="11" ht="15.75">
      <c r="A11" s="1" t="s">
        <v>736</v>
      </c>
    </row>
    <row r="12" ht="15.75">
      <c r="A12" s="572" t="s">
        <v>737</v>
      </c>
    </row>
    <row r="15" ht="15.75">
      <c r="A15" s="1" t="s">
        <v>738</v>
      </c>
    </row>
    <row r="16" ht="15.75">
      <c r="A16" s="572" t="s">
        <v>739</v>
      </c>
    </row>
    <row r="19" ht="15.75">
      <c r="A19" s="1" t="s">
        <v>740</v>
      </c>
    </row>
    <row r="20" ht="15.75">
      <c r="A20" s="572" t="s">
        <v>741</v>
      </c>
    </row>
    <row r="23" ht="15.75">
      <c r="A23" s="1" t="s">
        <v>742</v>
      </c>
    </row>
    <row r="24" ht="15.75">
      <c r="A24" s="572" t="s">
        <v>743</v>
      </c>
    </row>
    <row r="27" ht="15.75">
      <c r="A27" s="1" t="s">
        <v>744</v>
      </c>
    </row>
    <row r="28" ht="15.75">
      <c r="A28" s="572" t="s">
        <v>745</v>
      </c>
    </row>
    <row r="31" ht="15.75">
      <c r="A31" s="1" t="s">
        <v>746</v>
      </c>
    </row>
    <row r="32" ht="15.75">
      <c r="A32" s="572" t="s">
        <v>747</v>
      </c>
    </row>
    <row r="35" ht="15.75">
      <c r="A35" s="1" t="s">
        <v>748</v>
      </c>
    </row>
    <row r="36" ht="15.75">
      <c r="A36" s="572" t="s">
        <v>749</v>
      </c>
    </row>
    <row r="39" ht="15.75">
      <c r="A39" s="1" t="s">
        <v>750</v>
      </c>
    </row>
    <row r="40" ht="15.75">
      <c r="A40" s="572" t="s">
        <v>751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1.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14" t="s">
        <v>981</v>
      </c>
    </row>
    <row r="2" ht="15.75">
      <c r="A2" s="51" t="s">
        <v>982</v>
      </c>
    </row>
    <row r="4" ht="15.75">
      <c r="A4" s="614" t="s">
        <v>978</v>
      </c>
    </row>
    <row r="5" ht="15.75">
      <c r="A5" s="51" t="s">
        <v>979</v>
      </c>
    </row>
    <row r="6" ht="15.75">
      <c r="A6" s="51" t="s">
        <v>980</v>
      </c>
    </row>
    <row r="8" ht="15.75">
      <c r="A8" s="614" t="s">
        <v>976</v>
      </c>
    </row>
    <row r="9" ht="15.75">
      <c r="A9" s="738" t="s">
        <v>977</v>
      </c>
    </row>
    <row r="11" ht="15.75">
      <c r="A11" s="614" t="s">
        <v>900</v>
      </c>
    </row>
    <row r="12" ht="15.75">
      <c r="A12" s="733" t="s">
        <v>920</v>
      </c>
    </row>
    <row r="13" ht="15.75">
      <c r="A13" s="51" t="s">
        <v>921</v>
      </c>
    </row>
    <row r="14" ht="15.75">
      <c r="A14" s="51" t="s">
        <v>922</v>
      </c>
    </row>
    <row r="15" ht="15.75">
      <c r="A15" s="51" t="s">
        <v>923</v>
      </c>
    </row>
    <row r="16" ht="15.75">
      <c r="A16" s="51" t="s">
        <v>924</v>
      </c>
    </row>
    <row r="17" ht="15.75">
      <c r="A17" s="51" t="s">
        <v>925</v>
      </c>
    </row>
    <row r="18" ht="15.75">
      <c r="A18" s="51" t="s">
        <v>926</v>
      </c>
    </row>
    <row r="19" ht="15.75">
      <c r="A19" s="51" t="s">
        <v>927</v>
      </c>
    </row>
    <row r="20" ht="15.75">
      <c r="A20" s="51" t="s">
        <v>928</v>
      </c>
    </row>
    <row r="21" ht="15.75">
      <c r="A21" s="51" t="s">
        <v>929</v>
      </c>
    </row>
    <row r="22" ht="15.75">
      <c r="A22" s="51" t="s">
        <v>930</v>
      </c>
    </row>
    <row r="23" ht="15.75">
      <c r="A23" s="51" t="s">
        <v>931</v>
      </c>
    </row>
    <row r="24" ht="15.75">
      <c r="A24" s="51" t="s">
        <v>932</v>
      </c>
    </row>
    <row r="25" ht="15.75">
      <c r="A25" s="51" t="s">
        <v>933</v>
      </c>
    </row>
    <row r="26" ht="15.75">
      <c r="A26" s="51" t="s">
        <v>934</v>
      </c>
    </row>
    <row r="27" ht="15.75">
      <c r="A27" s="51" t="s">
        <v>935</v>
      </c>
    </row>
    <row r="28" ht="48.75" customHeight="1">
      <c r="A28" s="54" t="s">
        <v>936</v>
      </c>
    </row>
    <row r="29" ht="15.75">
      <c r="A29" s="53" t="s">
        <v>937</v>
      </c>
    </row>
    <row r="30" ht="36" customHeight="1">
      <c r="A30" s="54" t="s">
        <v>938</v>
      </c>
    </row>
    <row r="31" ht="15.75">
      <c r="A31" s="51" t="s">
        <v>939</v>
      </c>
    </row>
    <row r="32" ht="15.75">
      <c r="A32" s="51" t="s">
        <v>940</v>
      </c>
    </row>
    <row r="33" ht="15.75">
      <c r="A33" s="51" t="s">
        <v>941</v>
      </c>
    </row>
    <row r="34" ht="15.75">
      <c r="A34" s="51" t="s">
        <v>942</v>
      </c>
    </row>
    <row r="35" ht="15.75">
      <c r="A35" s="51" t="s">
        <v>943</v>
      </c>
    </row>
    <row r="36" ht="15.75">
      <c r="A36" s="51" t="s">
        <v>944</v>
      </c>
    </row>
    <row r="37" ht="15.75">
      <c r="A37" s="51" t="s">
        <v>945</v>
      </c>
    </row>
    <row r="38" ht="15.75">
      <c r="A38" s="51" t="s">
        <v>946</v>
      </c>
    </row>
    <row r="39" ht="15.75">
      <c r="A39" s="51" t="s">
        <v>947</v>
      </c>
    </row>
    <row r="40" ht="15.75">
      <c r="A40" s="51" t="s">
        <v>952</v>
      </c>
    </row>
    <row r="41" ht="15.75">
      <c r="A41" s="51" t="s">
        <v>956</v>
      </c>
    </row>
    <row r="42" ht="15.75">
      <c r="A42" s="51" t="s">
        <v>958</v>
      </c>
    </row>
    <row r="43" ht="15.75">
      <c r="A43" s="51" t="s">
        <v>957</v>
      </c>
    </row>
    <row r="44" ht="15.75">
      <c r="A44" s="51" t="s">
        <v>959</v>
      </c>
    </row>
    <row r="45" ht="15.75">
      <c r="A45" s="51" t="s">
        <v>965</v>
      </c>
    </row>
    <row r="46" ht="15.75">
      <c r="A46" s="51" t="s">
        <v>966</v>
      </c>
    </row>
    <row r="48" ht="15.75">
      <c r="A48" s="614" t="s">
        <v>806</v>
      </c>
    </row>
    <row r="49" ht="15.75">
      <c r="A49" s="51" t="s">
        <v>807</v>
      </c>
    </row>
    <row r="51" ht="15.75">
      <c r="A51" s="614" t="s">
        <v>803</v>
      </c>
    </row>
    <row r="52" ht="15.75">
      <c r="A52" s="51" t="s">
        <v>804</v>
      </c>
    </row>
    <row r="53" ht="15.75">
      <c r="A53" s="51" t="s">
        <v>805</v>
      </c>
    </row>
    <row r="55" ht="15.75">
      <c r="A55" s="614" t="s">
        <v>801</v>
      </c>
    </row>
    <row r="56" ht="15.75">
      <c r="A56" s="51" t="s">
        <v>802</v>
      </c>
    </row>
    <row r="58" ht="15.75">
      <c r="A58" s="614" t="s">
        <v>799</v>
      </c>
    </row>
    <row r="59" ht="15.75">
      <c r="A59" s="51" t="s">
        <v>800</v>
      </c>
    </row>
    <row r="61" ht="15.75">
      <c r="A61" s="614" t="s">
        <v>796</v>
      </c>
    </row>
    <row r="62" ht="15.75">
      <c r="A62" s="492" t="s">
        <v>797</v>
      </c>
    </row>
    <row r="63" ht="15.75">
      <c r="A63" s="492" t="s">
        <v>798</v>
      </c>
    </row>
    <row r="65" ht="15.75">
      <c r="A65" s="398" t="s">
        <v>792</v>
      </c>
    </row>
    <row r="66" ht="15.75">
      <c r="A66" s="51" t="s">
        <v>793</v>
      </c>
    </row>
    <row r="67" ht="15.75">
      <c r="A67" s="51" t="s">
        <v>794</v>
      </c>
    </row>
    <row r="68" ht="15.75">
      <c r="A68" s="51" t="s">
        <v>795</v>
      </c>
    </row>
    <row r="70" ht="15.75">
      <c r="A70" s="398" t="s">
        <v>660</v>
      </c>
    </row>
    <row r="71" ht="15.75">
      <c r="A71" s="492" t="s">
        <v>664</v>
      </c>
    </row>
    <row r="72" ht="15.75">
      <c r="A72" s="492" t="s">
        <v>665</v>
      </c>
    </row>
    <row r="73" ht="31.5">
      <c r="A73" s="491" t="s">
        <v>789</v>
      </c>
    </row>
    <row r="74" ht="15.75">
      <c r="A74" s="492" t="s">
        <v>755</v>
      </c>
    </row>
    <row r="75" ht="15.75">
      <c r="A75" s="492" t="s">
        <v>756</v>
      </c>
    </row>
    <row r="76" ht="15.75">
      <c r="A76" s="492" t="s">
        <v>757</v>
      </c>
    </row>
    <row r="77" ht="15.75">
      <c r="A77" s="492" t="s">
        <v>758</v>
      </c>
    </row>
    <row r="78" ht="15.75">
      <c r="A78" s="492" t="s">
        <v>759</v>
      </c>
    </row>
    <row r="79" ht="15.75">
      <c r="A79" s="492" t="s">
        <v>760</v>
      </c>
    </row>
    <row r="80" ht="15.75">
      <c r="A80" s="492" t="s">
        <v>761</v>
      </c>
    </row>
    <row r="81" ht="15.75">
      <c r="A81" s="492" t="s">
        <v>762</v>
      </c>
    </row>
    <row r="82" ht="15.75">
      <c r="A82" s="492" t="s">
        <v>763</v>
      </c>
    </row>
    <row r="83" ht="15.75">
      <c r="A83" s="492" t="s">
        <v>764</v>
      </c>
    </row>
    <row r="84" ht="15.75">
      <c r="A84" s="492" t="s">
        <v>765</v>
      </c>
    </row>
    <row r="85" ht="15.75">
      <c r="A85" s="492" t="s">
        <v>766</v>
      </c>
    </row>
    <row r="86" ht="15.75">
      <c r="A86" s="492" t="s">
        <v>767</v>
      </c>
    </row>
    <row r="87" ht="15.75">
      <c r="A87" s="492" t="s">
        <v>768</v>
      </c>
    </row>
    <row r="88" ht="15.75">
      <c r="A88" s="492" t="s">
        <v>769</v>
      </c>
    </row>
    <row r="89" ht="15.75">
      <c r="A89" s="492" t="s">
        <v>770</v>
      </c>
    </row>
    <row r="90" ht="15.75">
      <c r="A90" s="492" t="s">
        <v>771</v>
      </c>
    </row>
    <row r="91" ht="15.75">
      <c r="A91" s="492" t="s">
        <v>772</v>
      </c>
    </row>
    <row r="92" ht="15.75">
      <c r="A92" s="492" t="s">
        <v>773</v>
      </c>
    </row>
    <row r="93" ht="15.75">
      <c r="A93" s="492" t="s">
        <v>774</v>
      </c>
    </row>
    <row r="94" ht="15.75">
      <c r="A94" s="492" t="s">
        <v>775</v>
      </c>
    </row>
    <row r="95" ht="15.75">
      <c r="A95" s="492" t="s">
        <v>776</v>
      </c>
    </row>
    <row r="96" ht="15.75">
      <c r="A96" s="492" t="s">
        <v>777</v>
      </c>
    </row>
    <row r="97" ht="15.75">
      <c r="A97" s="492" t="s">
        <v>778</v>
      </c>
    </row>
    <row r="98" ht="15.75">
      <c r="A98" s="492" t="s">
        <v>779</v>
      </c>
    </row>
    <row r="100" ht="15.75">
      <c r="A100" s="398" t="s">
        <v>642</v>
      </c>
    </row>
    <row r="101" ht="15.75">
      <c r="A101" s="51" t="s">
        <v>643</v>
      </c>
    </row>
    <row r="102" ht="15.75">
      <c r="A102" s="51" t="s">
        <v>644</v>
      </c>
    </row>
    <row r="103" ht="15.75">
      <c r="A103" s="51" t="s">
        <v>645</v>
      </c>
    </row>
    <row r="105" ht="15.75">
      <c r="A105" s="398" t="s">
        <v>631</v>
      </c>
    </row>
    <row r="106" ht="15.75">
      <c r="A106" s="51" t="s">
        <v>632</v>
      </c>
    </row>
    <row r="107" ht="15.75">
      <c r="A107" s="51" t="s">
        <v>633</v>
      </c>
    </row>
    <row r="109" ht="15.75">
      <c r="A109" s="398" t="s">
        <v>624</v>
      </c>
    </row>
    <row r="110" ht="15.75">
      <c r="A110" s="397" t="s">
        <v>625</v>
      </c>
    </row>
    <row r="111" ht="15.75">
      <c r="A111" s="397" t="s">
        <v>626</v>
      </c>
    </row>
    <row r="112" ht="15.75">
      <c r="A112" s="397" t="s">
        <v>627</v>
      </c>
    </row>
    <row r="113" ht="15.75">
      <c r="A113" s="51" t="s">
        <v>629</v>
      </c>
    </row>
    <row r="115" ht="15.75">
      <c r="A115" s="330" t="s">
        <v>349</v>
      </c>
    </row>
    <row r="116" ht="15.75">
      <c r="A116" s="361" t="s">
        <v>372</v>
      </c>
    </row>
    <row r="117" ht="21.75" customHeight="1">
      <c r="A117" s="51" t="s">
        <v>373</v>
      </c>
    </row>
    <row r="118" ht="15.75">
      <c r="A118" s="51" t="s">
        <v>374</v>
      </c>
    </row>
    <row r="119" ht="31.5">
      <c r="A119" s="54" t="s">
        <v>375</v>
      </c>
    </row>
    <row r="120" ht="15.75">
      <c r="A120" s="51" t="s">
        <v>376</v>
      </c>
    </row>
    <row r="121" ht="15.75">
      <c r="A121" s="51" t="s">
        <v>377</v>
      </c>
    </row>
    <row r="122" ht="15.75">
      <c r="A122" s="51" t="s">
        <v>378</v>
      </c>
    </row>
    <row r="123" ht="15.75">
      <c r="A123" s="51" t="s">
        <v>379</v>
      </c>
    </row>
    <row r="124" ht="15.75">
      <c r="A124" s="51" t="s">
        <v>397</v>
      </c>
    </row>
    <row r="126" ht="15.75">
      <c r="A126" s="330" t="s">
        <v>337</v>
      </c>
    </row>
    <row r="127" ht="15.75">
      <c r="A127" s="51" t="s">
        <v>338</v>
      </c>
    </row>
    <row r="128" ht="15.75">
      <c r="A128" s="51" t="s">
        <v>339</v>
      </c>
    </row>
    <row r="129" ht="15.75">
      <c r="A129" s="51" t="s">
        <v>340</v>
      </c>
    </row>
    <row r="130" ht="15.75">
      <c r="A130" s="51" t="s">
        <v>341</v>
      </c>
    </row>
    <row r="132" ht="15.75">
      <c r="A132" s="330" t="s">
        <v>335</v>
      </c>
    </row>
    <row r="133" ht="15.75">
      <c r="A133" s="51" t="s">
        <v>336</v>
      </c>
    </row>
    <row r="135" ht="15.75">
      <c r="A135" s="330" t="s">
        <v>333</v>
      </c>
    </row>
    <row r="136" ht="15.75">
      <c r="A136" s="51" t="s">
        <v>334</v>
      </c>
    </row>
    <row r="138" ht="15.75">
      <c r="A138" s="330" t="s">
        <v>329</v>
      </c>
    </row>
    <row r="139" ht="15.75">
      <c r="A139" s="51" t="s">
        <v>330</v>
      </c>
    </row>
    <row r="140" ht="15.75">
      <c r="A140" s="51" t="s">
        <v>331</v>
      </c>
    </row>
    <row r="141" ht="15.75">
      <c r="A141" s="51" t="s">
        <v>332</v>
      </c>
    </row>
    <row r="143" ht="15.75">
      <c r="A143" s="330"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666</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0" t="s">
        <v>94</v>
      </c>
    </row>
    <row r="165" ht="15.75">
      <c r="A165" s="51" t="s">
        <v>103</v>
      </c>
    </row>
    <row r="166" ht="15.75">
      <c r="A166" s="51" t="s">
        <v>95</v>
      </c>
    </row>
    <row r="167" ht="15.75">
      <c r="A167" s="51" t="s">
        <v>96</v>
      </c>
    </row>
    <row r="168" ht="15.75">
      <c r="A168" s="51" t="s">
        <v>667</v>
      </c>
    </row>
    <row r="169" ht="18" customHeight="1">
      <c r="A169" s="330" t="s">
        <v>91</v>
      </c>
    </row>
    <row r="170" ht="51" customHeight="1">
      <c r="A170" s="54" t="s">
        <v>92</v>
      </c>
    </row>
    <row r="171" ht="15.75">
      <c r="A171" s="51" t="s">
        <v>93</v>
      </c>
    </row>
    <row r="174" ht="15.75">
      <c r="A174" s="330" t="s">
        <v>324</v>
      </c>
    </row>
    <row r="175" ht="47.25">
      <c r="A175" s="54" t="s">
        <v>668</v>
      </c>
    </row>
    <row r="176" ht="15.75">
      <c r="A176" s="51" t="s">
        <v>116</v>
      </c>
    </row>
    <row r="177" ht="15.75">
      <c r="A177" s="51" t="s">
        <v>326</v>
      </c>
    </row>
    <row r="178" ht="15.75">
      <c r="A178" s="51" t="s">
        <v>41</v>
      </c>
    </row>
    <row r="179" ht="15.75">
      <c r="A179" s="51" t="s">
        <v>327</v>
      </c>
    </row>
    <row r="180" ht="15.75">
      <c r="A180" s="51" t="s">
        <v>328</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I2"/>
    </sheetView>
  </sheetViews>
  <sheetFormatPr defaultColWidth="8.796875" defaultRowHeight="15"/>
  <cols>
    <col min="1" max="1" width="70.59765625" style="362" customWidth="1"/>
    <col min="2" max="16384" width="8.8984375" style="362" customWidth="1"/>
  </cols>
  <sheetData>
    <row r="1" ht="18.75">
      <c r="A1" s="363" t="s">
        <v>380</v>
      </c>
    </row>
    <row r="2" ht="18.75">
      <c r="A2" s="363"/>
    </row>
    <row r="3" ht="18.75">
      <c r="A3" s="363"/>
    </row>
    <row r="4" ht="51.75" customHeight="1">
      <c r="A4" s="565" t="s">
        <v>725</v>
      </c>
    </row>
    <row r="5" ht="18.75">
      <c r="A5" s="363"/>
    </row>
    <row r="6" ht="15.75">
      <c r="A6" s="364"/>
    </row>
    <row r="7" ht="47.25">
      <c r="A7" s="365" t="s">
        <v>381</v>
      </c>
    </row>
    <row r="8" ht="15.75">
      <c r="A8" s="364"/>
    </row>
    <row r="9" ht="15.75">
      <c r="A9" s="364"/>
    </row>
    <row r="10" ht="63">
      <c r="A10" s="365" t="s">
        <v>382</v>
      </c>
    </row>
    <row r="11" ht="15.75">
      <c r="A11" s="366"/>
    </row>
    <row r="12" ht="15.75">
      <c r="A12" s="364"/>
    </row>
    <row r="13" ht="47.25">
      <c r="A13" s="365" t="s">
        <v>383</v>
      </c>
    </row>
    <row r="14" ht="15.75">
      <c r="A14" s="366"/>
    </row>
    <row r="15" ht="15.75">
      <c r="A15" s="364"/>
    </row>
    <row r="16" ht="47.25">
      <c r="A16" s="365" t="s">
        <v>384</v>
      </c>
    </row>
    <row r="17" ht="15.75">
      <c r="A17" s="366"/>
    </row>
    <row r="18" ht="15.75">
      <c r="A18" s="366"/>
    </row>
    <row r="19" ht="47.25">
      <c r="A19" s="365" t="s">
        <v>385</v>
      </c>
    </row>
    <row r="20" ht="15.75">
      <c r="A20" s="366"/>
    </row>
    <row r="21" ht="15.75">
      <c r="A21" s="366"/>
    </row>
    <row r="22" ht="47.25">
      <c r="A22" s="365" t="s">
        <v>386</v>
      </c>
    </row>
    <row r="23" ht="15.75">
      <c r="A23" s="366"/>
    </row>
    <row r="24" ht="15.75">
      <c r="A24" s="366"/>
    </row>
    <row r="25" ht="31.5">
      <c r="A25" s="365" t="s">
        <v>387</v>
      </c>
    </row>
    <row r="26" ht="15.75">
      <c r="A26" s="364"/>
    </row>
    <row r="27" ht="15.75">
      <c r="A27" s="364"/>
    </row>
    <row r="28" ht="60">
      <c r="A28" s="367" t="s">
        <v>388</v>
      </c>
    </row>
    <row r="29" ht="15">
      <c r="A29" s="368"/>
    </row>
    <row r="30" ht="15">
      <c r="A30" s="368"/>
    </row>
    <row r="31" ht="47.25">
      <c r="A31" s="365" t="s">
        <v>389</v>
      </c>
    </row>
    <row r="32" ht="15.75">
      <c r="A32" s="364"/>
    </row>
    <row r="33" ht="15.75">
      <c r="A33" s="364"/>
    </row>
    <row r="34" ht="66.75" customHeight="1">
      <c r="A34" s="501" t="s">
        <v>726</v>
      </c>
    </row>
    <row r="35" ht="15.75">
      <c r="A35" s="364"/>
    </row>
    <row r="36" ht="15.75">
      <c r="A36" s="364"/>
    </row>
    <row r="37" ht="63">
      <c r="A37" s="369" t="s">
        <v>390</v>
      </c>
    </row>
    <row r="38" ht="15.75">
      <c r="A38" s="366"/>
    </row>
    <row r="39" ht="15.75">
      <c r="A39" s="364"/>
    </row>
    <row r="40" ht="63">
      <c r="A40" s="365" t="s">
        <v>391</v>
      </c>
    </row>
    <row r="41" ht="15.75">
      <c r="A41" s="366"/>
    </row>
    <row r="42" ht="15.75">
      <c r="A42" s="366"/>
    </row>
    <row r="43" ht="82.5" customHeight="1">
      <c r="A43" s="356" t="s">
        <v>727</v>
      </c>
    </row>
    <row r="44" ht="15.75">
      <c r="A44" s="366"/>
    </row>
    <row r="45" ht="15.75">
      <c r="A45" s="366"/>
    </row>
    <row r="46" ht="69" customHeight="1">
      <c r="A46" s="356" t="s">
        <v>728</v>
      </c>
    </row>
    <row r="47" ht="15.75">
      <c r="A47" s="366"/>
    </row>
    <row r="48" ht="15.75">
      <c r="A48" s="366"/>
    </row>
    <row r="49" ht="69" customHeight="1">
      <c r="A49" s="356" t="s">
        <v>729</v>
      </c>
    </row>
    <row r="50" ht="15.75" customHeight="1">
      <c r="A50" s="366"/>
    </row>
    <row r="51" ht="21.75" customHeight="1">
      <c r="A51" s="366"/>
    </row>
    <row r="52" ht="66" customHeight="1">
      <c r="A52" s="356" t="s">
        <v>953</v>
      </c>
    </row>
    <row r="53" ht="15.75">
      <c r="A53" s="366"/>
    </row>
    <row r="54" ht="15.75">
      <c r="A54" s="366"/>
    </row>
    <row r="55" ht="63">
      <c r="A55" s="365" t="s">
        <v>392</v>
      </c>
    </row>
    <row r="56" ht="15.75">
      <c r="A56" s="366"/>
    </row>
    <row r="57" ht="15.75">
      <c r="A57" s="366"/>
    </row>
    <row r="58" ht="63">
      <c r="A58" s="365" t="s">
        <v>393</v>
      </c>
    </row>
    <row r="59" ht="15.75">
      <c r="A59" s="366"/>
    </row>
    <row r="60" ht="15.75">
      <c r="A60" s="366"/>
    </row>
    <row r="61" ht="47.25">
      <c r="A61" s="365" t="s">
        <v>394</v>
      </c>
    </row>
    <row r="62" ht="15.75">
      <c r="A62" s="366"/>
    </row>
    <row r="63" ht="15.75">
      <c r="A63" s="366"/>
    </row>
    <row r="64" ht="47.25">
      <c r="A64" s="365" t="s">
        <v>395</v>
      </c>
    </row>
    <row r="65" ht="15.75">
      <c r="A65" s="366"/>
    </row>
    <row r="66" ht="15.75">
      <c r="A66" s="366"/>
    </row>
    <row r="67" ht="78.75">
      <c r="A67" s="365" t="s">
        <v>396</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5">
      <selection activeCell="B2" sqref="B2:I2"/>
    </sheetView>
  </sheetViews>
  <sheetFormatPr defaultColWidth="8.796875" defaultRowHeight="15"/>
  <cols>
    <col min="1" max="1" width="2.59765625" style="663" customWidth="1"/>
    <col min="2" max="4" width="8.8984375" style="663" customWidth="1"/>
    <col min="5" max="5" width="9.69921875" style="663" customWidth="1"/>
    <col min="6" max="6" width="8.8984375" style="663" customWidth="1"/>
    <col min="7" max="7" width="9.69921875" style="663" customWidth="1"/>
    <col min="8" max="16384" width="8.8984375" style="663" customWidth="1"/>
  </cols>
  <sheetData>
    <row r="1" spans="2:9" ht="15.75">
      <c r="B1" s="662"/>
      <c r="C1" s="662"/>
      <c r="D1" s="662"/>
      <c r="E1" s="662"/>
      <c r="F1" s="662"/>
      <c r="G1" s="662"/>
      <c r="H1" s="662"/>
      <c r="I1" s="662"/>
    </row>
    <row r="2" spans="2:9" ht="15.75">
      <c r="B2" s="853" t="s">
        <v>840</v>
      </c>
      <c r="C2" s="853"/>
      <c r="D2" s="853"/>
      <c r="E2" s="853"/>
      <c r="F2" s="853"/>
      <c r="G2" s="853"/>
      <c r="H2" s="853"/>
      <c r="I2" s="853"/>
    </row>
    <row r="3" spans="2:9" ht="15.75">
      <c r="B3" s="853" t="s">
        <v>841</v>
      </c>
      <c r="C3" s="853"/>
      <c r="D3" s="853"/>
      <c r="E3" s="853"/>
      <c r="F3" s="853"/>
      <c r="G3" s="853"/>
      <c r="H3" s="853"/>
      <c r="I3" s="853"/>
    </row>
    <row r="4" spans="2:9" ht="15.75">
      <c r="B4" s="664"/>
      <c r="C4" s="664"/>
      <c r="D4" s="664"/>
      <c r="E4" s="664"/>
      <c r="F4" s="664"/>
      <c r="G4" s="664"/>
      <c r="H4" s="664"/>
      <c r="I4" s="664"/>
    </row>
    <row r="5" spans="2:9" ht="15.75">
      <c r="B5" s="854" t="str">
        <f>CONCATENATE("Budgeted Year: ",inputPrYr!C5,"")</f>
        <v>Budgeted Year: 2014</v>
      </c>
      <c r="C5" s="854"/>
      <c r="D5" s="854"/>
      <c r="E5" s="854"/>
      <c r="F5" s="854"/>
      <c r="G5" s="854"/>
      <c r="H5" s="854"/>
      <c r="I5" s="854"/>
    </row>
    <row r="6" spans="2:9" ht="15.75">
      <c r="B6" s="665"/>
      <c r="C6" s="664"/>
      <c r="D6" s="664"/>
      <c r="E6" s="664"/>
      <c r="F6" s="664"/>
      <c r="G6" s="664"/>
      <c r="H6" s="664"/>
      <c r="I6" s="664"/>
    </row>
    <row r="7" spans="2:9" ht="15.75">
      <c r="B7" s="665" t="str">
        <f>CONCATENATE("Library found in: ",inputPrYr!D2,"")</f>
        <v>Library found in: City of Beattie</v>
      </c>
      <c r="C7" s="664"/>
      <c r="D7" s="664"/>
      <c r="E7" s="664"/>
      <c r="F7" s="664"/>
      <c r="G7" s="664"/>
      <c r="H7" s="664"/>
      <c r="I7" s="664"/>
    </row>
    <row r="8" spans="2:9" ht="15.75">
      <c r="B8" s="665" t="str">
        <f>inputPrYr!D3</f>
        <v>Marshall County</v>
      </c>
      <c r="C8" s="664"/>
      <c r="D8" s="664"/>
      <c r="E8" s="664"/>
      <c r="F8" s="664"/>
      <c r="G8" s="664"/>
      <c r="H8" s="664"/>
      <c r="I8" s="664"/>
    </row>
    <row r="9" spans="2:9" ht="15.75">
      <c r="B9" s="664"/>
      <c r="C9" s="664"/>
      <c r="D9" s="664"/>
      <c r="E9" s="664"/>
      <c r="F9" s="664"/>
      <c r="G9" s="664"/>
      <c r="H9" s="664"/>
      <c r="I9" s="664"/>
    </row>
    <row r="10" spans="2:9" ht="39" customHeight="1">
      <c r="B10" s="855" t="s">
        <v>842</v>
      </c>
      <c r="C10" s="855"/>
      <c r="D10" s="855"/>
      <c r="E10" s="855"/>
      <c r="F10" s="855"/>
      <c r="G10" s="855"/>
      <c r="H10" s="855"/>
      <c r="I10" s="855"/>
    </row>
    <row r="11" spans="2:9" ht="15.75">
      <c r="B11" s="664"/>
      <c r="C11" s="664"/>
      <c r="D11" s="664"/>
      <c r="E11" s="664"/>
      <c r="F11" s="664"/>
      <c r="G11" s="664"/>
      <c r="H11" s="664"/>
      <c r="I11" s="664"/>
    </row>
    <row r="12" spans="2:9" ht="15.75">
      <c r="B12" s="666" t="s">
        <v>843</v>
      </c>
      <c r="C12" s="664"/>
      <c r="D12" s="664"/>
      <c r="E12" s="664"/>
      <c r="F12" s="664"/>
      <c r="G12" s="664"/>
      <c r="H12" s="664"/>
      <c r="I12" s="664"/>
    </row>
    <row r="13" spans="2:9" ht="15.75">
      <c r="B13" s="664"/>
      <c r="C13" s="664"/>
      <c r="D13" s="664"/>
      <c r="E13" s="667" t="s">
        <v>844</v>
      </c>
      <c r="F13" s="664"/>
      <c r="G13" s="667" t="s">
        <v>845</v>
      </c>
      <c r="H13" s="664"/>
      <c r="I13" s="664"/>
    </row>
    <row r="14" spans="2:9" ht="15.75">
      <c r="B14" s="664"/>
      <c r="C14" s="664"/>
      <c r="D14" s="664"/>
      <c r="E14" s="668">
        <f>inputPrYr!C5-1</f>
        <v>2013</v>
      </c>
      <c r="F14" s="664"/>
      <c r="G14" s="668">
        <f>inputPrYr!C5</f>
        <v>2014</v>
      </c>
      <c r="H14" s="664"/>
      <c r="I14" s="664"/>
    </row>
    <row r="15" spans="2:9" ht="15.75">
      <c r="B15" s="665" t="str">
        <f>'DebtSvs-Library'!B48</f>
        <v>Ad Valorem Tax</v>
      </c>
      <c r="C15" s="664"/>
      <c r="D15" s="664"/>
      <c r="E15" s="669">
        <f>'DebtSvs-Library'!D48</f>
        <v>0</v>
      </c>
      <c r="F15" s="664"/>
      <c r="G15" s="669">
        <f>'DebtSvs-Library'!E80</f>
        <v>0</v>
      </c>
      <c r="H15" s="664"/>
      <c r="I15" s="664"/>
    </row>
    <row r="16" spans="2:9" ht="15.75">
      <c r="B16" s="665" t="str">
        <f>'DebtSvs-Library'!B49</f>
        <v>Delinquent Tax</v>
      </c>
      <c r="C16" s="664"/>
      <c r="D16" s="664"/>
      <c r="E16" s="669">
        <f>'DebtSvs-Library'!D49</f>
        <v>0</v>
      </c>
      <c r="F16" s="664"/>
      <c r="G16" s="669">
        <f>'DebtSvs-Library'!E49</f>
        <v>0</v>
      </c>
      <c r="H16" s="664"/>
      <c r="I16" s="664"/>
    </row>
    <row r="17" spans="2:9" ht="15.75">
      <c r="B17" s="665" t="str">
        <f>'DebtSvs-Library'!B50</f>
        <v>Motor Vehicle Tax</v>
      </c>
      <c r="C17" s="664"/>
      <c r="D17" s="664"/>
      <c r="E17" s="669">
        <f>'DebtSvs-Library'!D50</f>
        <v>0</v>
      </c>
      <c r="F17" s="664"/>
      <c r="G17" s="669" t="str">
        <f>'DebtSvs-Library'!E50</f>
        <v>  </v>
      </c>
      <c r="H17" s="664"/>
      <c r="I17" s="664"/>
    </row>
    <row r="18" spans="2:9" ht="15.75">
      <c r="B18" s="665" t="str">
        <f>'DebtSvs-Library'!B51</f>
        <v>Recreational Vehicle Tax</v>
      </c>
      <c r="C18" s="664"/>
      <c r="D18" s="664"/>
      <c r="E18" s="669">
        <f>'DebtSvs-Library'!D51</f>
        <v>0</v>
      </c>
      <c r="F18" s="664"/>
      <c r="G18" s="669" t="str">
        <f>'DebtSvs-Library'!E51</f>
        <v>  </v>
      </c>
      <c r="H18" s="664"/>
      <c r="I18" s="664"/>
    </row>
    <row r="19" spans="2:9" ht="15.75">
      <c r="B19" s="665" t="str">
        <f>'DebtSvs-Library'!B52</f>
        <v>16/20M Vehicle Tax</v>
      </c>
      <c r="C19" s="664"/>
      <c r="D19" s="664"/>
      <c r="E19" s="669">
        <f>'DebtSvs-Library'!D52</f>
        <v>0</v>
      </c>
      <c r="F19" s="664"/>
      <c r="G19" s="669" t="str">
        <f>'DebtSvs-Library'!E52</f>
        <v>  </v>
      </c>
      <c r="H19" s="664"/>
      <c r="I19" s="664"/>
    </row>
    <row r="20" spans="2:9" ht="15.75">
      <c r="B20" s="664" t="s">
        <v>121</v>
      </c>
      <c r="C20" s="664"/>
      <c r="D20" s="664"/>
      <c r="E20" s="669">
        <v>0</v>
      </c>
      <c r="F20" s="664"/>
      <c r="G20" s="669">
        <v>0</v>
      </c>
      <c r="H20" s="664"/>
      <c r="I20" s="664"/>
    </row>
    <row r="21" spans="2:9" ht="15.75">
      <c r="B21" s="664"/>
      <c r="C21" s="664"/>
      <c r="D21" s="664"/>
      <c r="E21" s="669">
        <v>0</v>
      </c>
      <c r="F21" s="664"/>
      <c r="G21" s="669">
        <v>0</v>
      </c>
      <c r="H21" s="664"/>
      <c r="I21" s="664"/>
    </row>
    <row r="22" spans="2:9" ht="15.75">
      <c r="B22" s="664" t="s">
        <v>846</v>
      </c>
      <c r="C22" s="664"/>
      <c r="D22" s="664"/>
      <c r="E22" s="670">
        <f>SUM(E15:E21)</f>
        <v>0</v>
      </c>
      <c r="F22" s="664"/>
      <c r="G22" s="670">
        <f>SUM(G15:G21)</f>
        <v>0</v>
      </c>
      <c r="H22" s="664"/>
      <c r="I22" s="664"/>
    </row>
    <row r="23" spans="2:9" ht="15.75">
      <c r="B23" s="664" t="s">
        <v>847</v>
      </c>
      <c r="C23" s="664"/>
      <c r="D23" s="664"/>
      <c r="E23" s="671">
        <f>G22-E22</f>
        <v>0</v>
      </c>
      <c r="F23" s="664"/>
      <c r="G23" s="672"/>
      <c r="H23" s="664"/>
      <c r="I23" s="664"/>
    </row>
    <row r="24" spans="2:9" ht="15.75">
      <c r="B24" s="664" t="s">
        <v>848</v>
      </c>
      <c r="C24" s="664"/>
      <c r="D24" s="673" t="str">
        <f>IF((G22-E22)&gt;0,"Qualify","Not Qualify")</f>
        <v>Not Qualify</v>
      </c>
      <c r="E24" s="664"/>
      <c r="F24" s="664"/>
      <c r="G24" s="664"/>
      <c r="H24" s="664"/>
      <c r="I24" s="664"/>
    </row>
    <row r="25" spans="2:9" ht="15.75">
      <c r="B25" s="664"/>
      <c r="C25" s="664"/>
      <c r="D25" s="664"/>
      <c r="E25" s="664"/>
      <c r="F25" s="664"/>
      <c r="G25" s="664"/>
      <c r="H25" s="664"/>
      <c r="I25" s="664"/>
    </row>
    <row r="26" spans="2:9" ht="15.75">
      <c r="B26" s="666" t="s">
        <v>849</v>
      </c>
      <c r="C26" s="664"/>
      <c r="D26" s="664"/>
      <c r="E26" s="664"/>
      <c r="F26" s="664"/>
      <c r="G26" s="664"/>
      <c r="H26" s="664"/>
      <c r="I26" s="664"/>
    </row>
    <row r="27" spans="2:9" ht="15.75">
      <c r="B27" s="664" t="s">
        <v>188</v>
      </c>
      <c r="C27" s="664"/>
      <c r="D27" s="664"/>
      <c r="E27" s="669">
        <f>summ!D26</f>
        <v>894056</v>
      </c>
      <c r="F27" s="664"/>
      <c r="G27" s="669">
        <f>summ!F26</f>
        <v>895803</v>
      </c>
      <c r="H27" s="664"/>
      <c r="I27" s="664"/>
    </row>
    <row r="28" spans="2:9" ht="15.75">
      <c r="B28" s="664" t="s">
        <v>850</v>
      </c>
      <c r="C28" s="664"/>
      <c r="D28" s="664"/>
      <c r="E28" s="674" t="str">
        <f>IF(G27-E27&gt;0,"No","Yes")</f>
        <v>No</v>
      </c>
      <c r="F28" s="664"/>
      <c r="G28" s="664"/>
      <c r="H28" s="664"/>
      <c r="I28" s="664"/>
    </row>
    <row r="29" spans="2:9" ht="15.75">
      <c r="B29" s="664" t="s">
        <v>851</v>
      </c>
      <c r="C29" s="664"/>
      <c r="D29" s="664"/>
      <c r="E29" s="667" t="e">
        <f>summ!#REF!</f>
        <v>#REF!</v>
      </c>
      <c r="F29" s="664"/>
      <c r="G29" s="682" t="e">
        <f>summ!#REF!</f>
        <v>#REF!</v>
      </c>
      <c r="H29" s="664"/>
      <c r="I29" s="664"/>
    </row>
    <row r="30" spans="2:9" ht="15.75">
      <c r="B30" s="664" t="s">
        <v>852</v>
      </c>
      <c r="C30" s="664"/>
      <c r="D30" s="664"/>
      <c r="E30" s="683" t="e">
        <f>G29-E29</f>
        <v>#REF!</v>
      </c>
      <c r="F30" s="664"/>
      <c r="G30" s="664"/>
      <c r="H30" s="664"/>
      <c r="I30" s="664"/>
    </row>
    <row r="31" spans="2:9" ht="15.75">
      <c r="B31" s="664" t="s">
        <v>848</v>
      </c>
      <c r="C31" s="664"/>
      <c r="D31" s="675" t="e">
        <f>IF(E30&gt;=0,"Qualify","Not Qualify")</f>
        <v>#REF!</v>
      </c>
      <c r="E31" s="664"/>
      <c r="F31" s="664"/>
      <c r="G31" s="664"/>
      <c r="H31" s="664"/>
      <c r="I31" s="664"/>
    </row>
    <row r="32" spans="2:9" ht="15.75">
      <c r="B32" s="664"/>
      <c r="C32" s="664"/>
      <c r="D32" s="664"/>
      <c r="E32" s="664"/>
      <c r="F32" s="664"/>
      <c r="G32" s="664"/>
      <c r="H32" s="664"/>
      <c r="I32" s="664"/>
    </row>
    <row r="33" spans="2:9" ht="15.75">
      <c r="B33" s="664" t="s">
        <v>853</v>
      </c>
      <c r="C33" s="664"/>
      <c r="D33" s="664"/>
      <c r="E33" s="664"/>
      <c r="F33" s="684" t="e">
        <f>IF(D24="Not Qualify",IF(D31="Not Qualify",IF(D31="Not Qualify","Not Qualify","Qualify"),"Qualify"),"Qualify")</f>
        <v>#REF!</v>
      </c>
      <c r="G33" s="664"/>
      <c r="H33" s="664"/>
      <c r="I33" s="664"/>
    </row>
    <row r="34" spans="2:9" ht="15.75">
      <c r="B34" s="664"/>
      <c r="C34" s="664"/>
      <c r="D34" s="664"/>
      <c r="E34" s="664"/>
      <c r="F34" s="664"/>
      <c r="G34" s="664"/>
      <c r="H34" s="664"/>
      <c r="I34" s="664"/>
    </row>
    <row r="35" spans="2:9" ht="15.75">
      <c r="B35" s="664"/>
      <c r="C35" s="664"/>
      <c r="D35" s="664"/>
      <c r="E35" s="664"/>
      <c r="F35" s="664"/>
      <c r="G35" s="664"/>
      <c r="H35" s="664"/>
      <c r="I35" s="664"/>
    </row>
    <row r="36" spans="2:9" ht="37.5" customHeight="1">
      <c r="B36" s="855" t="s">
        <v>854</v>
      </c>
      <c r="C36" s="855"/>
      <c r="D36" s="855"/>
      <c r="E36" s="855"/>
      <c r="F36" s="855"/>
      <c r="G36" s="855"/>
      <c r="H36" s="855"/>
      <c r="I36" s="855"/>
    </row>
    <row r="37" spans="2:9" ht="15.75">
      <c r="B37" s="664"/>
      <c r="C37" s="664"/>
      <c r="D37" s="664"/>
      <c r="E37" s="664"/>
      <c r="F37" s="664"/>
      <c r="G37" s="664"/>
      <c r="H37" s="664"/>
      <c r="I37" s="664"/>
    </row>
    <row r="38" spans="2:9" ht="15.75">
      <c r="B38" s="664"/>
      <c r="C38" s="664"/>
      <c r="D38" s="664"/>
      <c r="E38" s="664"/>
      <c r="F38" s="664"/>
      <c r="G38" s="664"/>
      <c r="H38" s="664"/>
      <c r="I38" s="664"/>
    </row>
    <row r="39" spans="2:9" ht="15.75">
      <c r="B39" s="664"/>
      <c r="C39" s="664"/>
      <c r="D39" s="664"/>
      <c r="E39" s="664"/>
      <c r="F39" s="664"/>
      <c r="G39" s="664"/>
      <c r="H39" s="664"/>
      <c r="I39" s="664"/>
    </row>
    <row r="40" spans="2:9" ht="15.75">
      <c r="B40" s="664"/>
      <c r="C40" s="664"/>
      <c r="D40" s="664"/>
      <c r="E40" s="681" t="s">
        <v>193</v>
      </c>
      <c r="F40" s="680">
        <v>7</v>
      </c>
      <c r="G40" s="664"/>
      <c r="H40" s="664"/>
      <c r="I40" s="664"/>
    </row>
    <row r="41" spans="2:9" ht="15.75">
      <c r="B41" s="664"/>
      <c r="C41" s="664"/>
      <c r="D41" s="664"/>
      <c r="E41" s="664"/>
      <c r="F41" s="664"/>
      <c r="G41" s="664"/>
      <c r="H41" s="664"/>
      <c r="I41" s="664"/>
    </row>
    <row r="42" spans="2:9" ht="15.75">
      <c r="B42" s="664"/>
      <c r="C42" s="664"/>
      <c r="D42" s="664"/>
      <c r="E42" s="664"/>
      <c r="F42" s="664"/>
      <c r="G42" s="664"/>
      <c r="H42" s="664"/>
      <c r="I42" s="664"/>
    </row>
    <row r="43" spans="2:9" ht="15.75">
      <c r="B43" s="856" t="s">
        <v>855</v>
      </c>
      <c r="C43" s="857"/>
      <c r="D43" s="857"/>
      <c r="E43" s="857"/>
      <c r="F43" s="857"/>
      <c r="G43" s="857"/>
      <c r="H43" s="857"/>
      <c r="I43" s="857"/>
    </row>
    <row r="44" spans="2:9" ht="15.75">
      <c r="B44" s="664"/>
      <c r="C44" s="664"/>
      <c r="D44" s="664"/>
      <c r="E44" s="664"/>
      <c r="F44" s="664"/>
      <c r="G44" s="664"/>
      <c r="H44" s="664"/>
      <c r="I44" s="664"/>
    </row>
    <row r="45" spans="2:9" ht="15.75">
      <c r="B45" s="676" t="s">
        <v>856</v>
      </c>
      <c r="C45" s="664"/>
      <c r="D45" s="664"/>
      <c r="E45" s="664"/>
      <c r="F45" s="664"/>
      <c r="G45" s="664"/>
      <c r="H45" s="664"/>
      <c r="I45" s="664"/>
    </row>
    <row r="46" spans="2:9" ht="15.75">
      <c r="B46" s="676" t="str">
        <f>CONCATENATE("sources in your ",G14," library fund is not equal to or greater than the amount from the same")</f>
        <v>sources in your 2014 library fund is not equal to or greater than the amount from the same</v>
      </c>
      <c r="C46" s="664"/>
      <c r="D46" s="664"/>
      <c r="E46" s="664"/>
      <c r="F46" s="664"/>
      <c r="G46" s="664"/>
      <c r="H46" s="664"/>
      <c r="I46" s="664"/>
    </row>
    <row r="47" spans="2:9" ht="15.75">
      <c r="B47" s="676" t="str">
        <f>CONCATENATE("sources in ",E14,".")</f>
        <v>sources in 2013.</v>
      </c>
      <c r="C47" s="662"/>
      <c r="D47" s="662"/>
      <c r="E47" s="662"/>
      <c r="F47" s="662"/>
      <c r="G47" s="662"/>
      <c r="H47" s="662"/>
      <c r="I47" s="662"/>
    </row>
    <row r="48" spans="2:9" ht="15.75">
      <c r="B48" s="662"/>
      <c r="C48" s="662"/>
      <c r="D48" s="662"/>
      <c r="E48" s="662"/>
      <c r="F48" s="662"/>
      <c r="G48" s="662"/>
      <c r="H48" s="662"/>
      <c r="I48" s="662"/>
    </row>
    <row r="49" spans="2:9" ht="15.75">
      <c r="B49" s="676" t="s">
        <v>857</v>
      </c>
      <c r="C49" s="676"/>
      <c r="D49" s="677"/>
      <c r="E49" s="677"/>
      <c r="F49" s="677"/>
      <c r="G49" s="677"/>
      <c r="H49" s="677"/>
      <c r="I49" s="677"/>
    </row>
    <row r="50" spans="2:9" ht="15.75">
      <c r="B50" s="676" t="s">
        <v>858</v>
      </c>
      <c r="C50" s="676"/>
      <c r="D50" s="677"/>
      <c r="E50" s="677"/>
      <c r="F50" s="677"/>
      <c r="G50" s="677"/>
      <c r="H50" s="677"/>
      <c r="I50" s="677"/>
    </row>
    <row r="51" spans="2:9" ht="15.75">
      <c r="B51" s="676" t="s">
        <v>859</v>
      </c>
      <c r="C51" s="676"/>
      <c r="D51" s="677"/>
      <c r="E51" s="677"/>
      <c r="F51" s="677"/>
      <c r="G51" s="677"/>
      <c r="H51" s="677"/>
      <c r="I51" s="677"/>
    </row>
    <row r="52" spans="2:9" ht="15">
      <c r="B52" s="677"/>
      <c r="C52" s="677"/>
      <c r="D52" s="677"/>
      <c r="E52" s="677"/>
      <c r="F52" s="677"/>
      <c r="G52" s="677"/>
      <c r="H52" s="677"/>
      <c r="I52" s="677"/>
    </row>
    <row r="53" spans="2:9" ht="15.75">
      <c r="B53" s="678" t="s">
        <v>860</v>
      </c>
      <c r="C53" s="677"/>
      <c r="D53" s="677"/>
      <c r="E53" s="677"/>
      <c r="F53" s="677"/>
      <c r="G53" s="677"/>
      <c r="H53" s="677"/>
      <c r="I53" s="677"/>
    </row>
    <row r="54" spans="2:9" ht="15">
      <c r="B54" s="677"/>
      <c r="C54" s="677"/>
      <c r="D54" s="677"/>
      <c r="E54" s="677"/>
      <c r="F54" s="677"/>
      <c r="G54" s="677"/>
      <c r="H54" s="677"/>
      <c r="I54" s="677"/>
    </row>
    <row r="55" spans="2:9" ht="15.75">
      <c r="B55" s="676" t="s">
        <v>861</v>
      </c>
      <c r="C55" s="677"/>
      <c r="D55" s="677"/>
      <c r="E55" s="677"/>
      <c r="F55" s="677"/>
      <c r="G55" s="677"/>
      <c r="H55" s="677"/>
      <c r="I55" s="677"/>
    </row>
    <row r="56" spans="2:9" ht="15.75">
      <c r="B56" s="676" t="s">
        <v>862</v>
      </c>
      <c r="C56" s="677"/>
      <c r="D56" s="677"/>
      <c r="E56" s="677"/>
      <c r="F56" s="677"/>
      <c r="G56" s="677"/>
      <c r="H56" s="677"/>
      <c r="I56" s="677"/>
    </row>
    <row r="57" spans="2:9" ht="15">
      <c r="B57" s="677"/>
      <c r="C57" s="677"/>
      <c r="D57" s="677"/>
      <c r="E57" s="677"/>
      <c r="F57" s="677"/>
      <c r="G57" s="677"/>
      <c r="H57" s="677"/>
      <c r="I57" s="677"/>
    </row>
    <row r="58" spans="2:9" ht="15.75">
      <c r="B58" s="678" t="s">
        <v>863</v>
      </c>
      <c r="C58" s="676"/>
      <c r="D58" s="676"/>
      <c r="E58" s="676"/>
      <c r="F58" s="676"/>
      <c r="G58" s="677"/>
      <c r="H58" s="677"/>
      <c r="I58" s="677"/>
    </row>
    <row r="59" spans="2:9" ht="15.75">
      <c r="B59" s="676"/>
      <c r="C59" s="676"/>
      <c r="D59" s="676"/>
      <c r="E59" s="676"/>
      <c r="F59" s="676"/>
      <c r="G59" s="677"/>
      <c r="H59" s="677"/>
      <c r="I59" s="677"/>
    </row>
    <row r="60" spans="2:9" ht="15.75">
      <c r="B60" s="676" t="s">
        <v>864</v>
      </c>
      <c r="C60" s="676"/>
      <c r="D60" s="676"/>
      <c r="E60" s="676"/>
      <c r="F60" s="676"/>
      <c r="G60" s="677"/>
      <c r="H60" s="677"/>
      <c r="I60" s="677"/>
    </row>
    <row r="61" spans="2:9" ht="15.75">
      <c r="B61" s="676" t="s">
        <v>865</v>
      </c>
      <c r="C61" s="676"/>
      <c r="D61" s="676"/>
      <c r="E61" s="676"/>
      <c r="F61" s="676"/>
      <c r="G61" s="677"/>
      <c r="H61" s="677"/>
      <c r="I61" s="677"/>
    </row>
    <row r="62" spans="2:9" ht="15.75">
      <c r="B62" s="676" t="s">
        <v>866</v>
      </c>
      <c r="C62" s="676"/>
      <c r="D62" s="676"/>
      <c r="E62" s="676"/>
      <c r="F62" s="676"/>
      <c r="G62" s="677"/>
      <c r="H62" s="677"/>
      <c r="I62" s="677"/>
    </row>
    <row r="63" spans="2:9" ht="15.75">
      <c r="B63" s="676" t="s">
        <v>867</v>
      </c>
      <c r="C63" s="676"/>
      <c r="D63" s="676"/>
      <c r="E63" s="676"/>
      <c r="F63" s="676"/>
      <c r="G63" s="677"/>
      <c r="H63" s="677"/>
      <c r="I63" s="677"/>
    </row>
    <row r="64" spans="2:9" ht="15">
      <c r="B64" s="679"/>
      <c r="C64" s="679"/>
      <c r="D64" s="679"/>
      <c r="E64" s="679"/>
      <c r="F64" s="679"/>
      <c r="G64" s="677"/>
      <c r="H64" s="677"/>
      <c r="I64" s="677"/>
    </row>
    <row r="65" spans="2:9" ht="15.75">
      <c r="B65" s="676" t="s">
        <v>868</v>
      </c>
      <c r="C65" s="679"/>
      <c r="D65" s="679"/>
      <c r="E65" s="679"/>
      <c r="F65" s="679"/>
      <c r="G65" s="677"/>
      <c r="H65" s="677"/>
      <c r="I65" s="677"/>
    </row>
    <row r="66" spans="2:9" ht="15.75">
      <c r="B66" s="676" t="s">
        <v>869</v>
      </c>
      <c r="C66" s="679"/>
      <c r="D66" s="679"/>
      <c r="E66" s="679"/>
      <c r="F66" s="679"/>
      <c r="G66" s="677"/>
      <c r="H66" s="677"/>
      <c r="I66" s="677"/>
    </row>
    <row r="67" spans="2:9" ht="15">
      <c r="B67" s="679"/>
      <c r="C67" s="679"/>
      <c r="D67" s="679"/>
      <c r="E67" s="679"/>
      <c r="F67" s="679"/>
      <c r="G67" s="677"/>
      <c r="H67" s="677"/>
      <c r="I67" s="677"/>
    </row>
    <row r="68" spans="2:9" ht="15.75">
      <c r="B68" s="676" t="s">
        <v>870</v>
      </c>
      <c r="C68" s="679"/>
      <c r="D68" s="679"/>
      <c r="E68" s="679"/>
      <c r="F68" s="679"/>
      <c r="G68" s="677"/>
      <c r="H68" s="677"/>
      <c r="I68" s="677"/>
    </row>
    <row r="69" spans="2:9" ht="15.75">
      <c r="B69" s="676" t="s">
        <v>871</v>
      </c>
      <c r="C69" s="679"/>
      <c r="D69" s="679"/>
      <c r="E69" s="679"/>
      <c r="F69" s="679"/>
      <c r="G69" s="677"/>
      <c r="H69" s="677"/>
      <c r="I69" s="677"/>
    </row>
    <row r="70" spans="2:9" ht="15">
      <c r="B70" s="679"/>
      <c r="C70" s="679"/>
      <c r="D70" s="679"/>
      <c r="E70" s="679"/>
      <c r="F70" s="679"/>
      <c r="G70" s="677"/>
      <c r="H70" s="677"/>
      <c r="I70" s="677"/>
    </row>
    <row r="71" spans="2:9" ht="15.75">
      <c r="B71" s="678" t="s">
        <v>872</v>
      </c>
      <c r="C71" s="679"/>
      <c r="D71" s="679"/>
      <c r="E71" s="679"/>
      <c r="F71" s="679"/>
      <c r="G71" s="677"/>
      <c r="H71" s="677"/>
      <c r="I71" s="677"/>
    </row>
    <row r="72" spans="2:9" ht="15">
      <c r="B72" s="679"/>
      <c r="C72" s="679"/>
      <c r="D72" s="679"/>
      <c r="E72" s="679"/>
      <c r="F72" s="679"/>
      <c r="G72" s="677"/>
      <c r="H72" s="677"/>
      <c r="I72" s="677"/>
    </row>
    <row r="73" spans="2:9" ht="15.75">
      <c r="B73" s="676" t="s">
        <v>873</v>
      </c>
      <c r="C73" s="679"/>
      <c r="D73" s="679"/>
      <c r="E73" s="679"/>
      <c r="F73" s="679"/>
      <c r="G73" s="677"/>
      <c r="H73" s="677"/>
      <c r="I73" s="677"/>
    </row>
    <row r="74" spans="2:9" ht="15.75">
      <c r="B74" s="676" t="s">
        <v>874</v>
      </c>
      <c r="C74" s="679"/>
      <c r="D74" s="679"/>
      <c r="E74" s="679"/>
      <c r="F74" s="679"/>
      <c r="G74" s="677"/>
      <c r="H74" s="677"/>
      <c r="I74" s="677"/>
    </row>
    <row r="75" spans="2:9" ht="15">
      <c r="B75" s="679"/>
      <c r="C75" s="679"/>
      <c r="D75" s="679"/>
      <c r="E75" s="679"/>
      <c r="F75" s="679"/>
      <c r="G75" s="677"/>
      <c r="H75" s="677"/>
      <c r="I75" s="677"/>
    </row>
    <row r="76" spans="2:9" ht="15.75">
      <c r="B76" s="678" t="s">
        <v>875</v>
      </c>
      <c r="C76" s="679"/>
      <c r="D76" s="679"/>
      <c r="E76" s="679"/>
      <c r="F76" s="679"/>
      <c r="G76" s="677"/>
      <c r="H76" s="677"/>
      <c r="I76" s="677"/>
    </row>
    <row r="77" spans="2:9" ht="15">
      <c r="B77" s="679"/>
      <c r="C77" s="679"/>
      <c r="D77" s="679"/>
      <c r="E77" s="679"/>
      <c r="F77" s="679"/>
      <c r="G77" s="677"/>
      <c r="H77" s="677"/>
      <c r="I77" s="677"/>
    </row>
    <row r="78" spans="2:9" ht="15.75">
      <c r="B78" s="676" t="str">
        <f>CONCATENATE("If the ",G14," municipal budget has not been published and has not been submitted to the County")</f>
        <v>If the 2014 municipal budget has not been published and has not been submitted to the County</v>
      </c>
      <c r="C78" s="679"/>
      <c r="D78" s="679"/>
      <c r="E78" s="679"/>
      <c r="F78" s="679"/>
      <c r="G78" s="677"/>
      <c r="H78" s="677"/>
      <c r="I78" s="677"/>
    </row>
    <row r="79" spans="2:9" ht="15.75">
      <c r="B79" s="676" t="s">
        <v>876</v>
      </c>
      <c r="C79" s="679"/>
      <c r="D79" s="679"/>
      <c r="E79" s="679"/>
      <c r="F79" s="679"/>
      <c r="G79" s="677"/>
      <c r="H79" s="677"/>
      <c r="I79" s="677"/>
    </row>
    <row r="80" spans="2:9" ht="15">
      <c r="B80" s="679"/>
      <c r="C80" s="679"/>
      <c r="D80" s="679"/>
      <c r="E80" s="679"/>
      <c r="F80" s="679"/>
      <c r="G80" s="677"/>
      <c r="H80" s="677"/>
      <c r="I80" s="677"/>
    </row>
    <row r="81" spans="2:9" ht="15.75">
      <c r="B81" s="678" t="s">
        <v>474</v>
      </c>
      <c r="C81" s="679"/>
      <c r="D81" s="679"/>
      <c r="E81" s="679"/>
      <c r="F81" s="679"/>
      <c r="G81" s="677"/>
      <c r="H81" s="677"/>
      <c r="I81" s="677"/>
    </row>
    <row r="82" spans="2:9" ht="15">
      <c r="B82" s="679"/>
      <c r="C82" s="679"/>
      <c r="D82" s="679"/>
      <c r="E82" s="679"/>
      <c r="F82" s="679"/>
      <c r="G82" s="677"/>
      <c r="H82" s="677"/>
      <c r="I82" s="677"/>
    </row>
    <row r="83" spans="2:9" ht="15.75">
      <c r="B83" s="676" t="s">
        <v>877</v>
      </c>
      <c r="C83" s="679"/>
      <c r="D83" s="679"/>
      <c r="E83" s="679"/>
      <c r="F83" s="679"/>
      <c r="G83" s="677"/>
      <c r="H83" s="677"/>
      <c r="I83" s="677"/>
    </row>
    <row r="84" spans="2:9" ht="15.75">
      <c r="B84" s="676" t="str">
        <f>CONCATENATE("Budget Year ",G14," is equal to or greater than that for Current Year Estimate ",E14,".")</f>
        <v>Budget Year 2014 is equal to or greater than that for Current Year Estimate 2013.</v>
      </c>
      <c r="C84" s="679"/>
      <c r="D84" s="679"/>
      <c r="E84" s="679"/>
      <c r="F84" s="679"/>
      <c r="G84" s="677"/>
      <c r="H84" s="677"/>
      <c r="I84" s="677"/>
    </row>
    <row r="85" spans="2:9" ht="15">
      <c r="B85" s="679"/>
      <c r="C85" s="679"/>
      <c r="D85" s="679"/>
      <c r="E85" s="679"/>
      <c r="F85" s="679"/>
      <c r="G85" s="677"/>
      <c r="H85" s="677"/>
      <c r="I85" s="677"/>
    </row>
    <row r="86" spans="2:9" ht="15.75">
      <c r="B86" s="676" t="s">
        <v>878</v>
      </c>
      <c r="C86" s="679"/>
      <c r="D86" s="679"/>
      <c r="E86" s="679"/>
      <c r="F86" s="679"/>
      <c r="G86" s="677"/>
      <c r="H86" s="677"/>
      <c r="I86" s="677"/>
    </row>
    <row r="87" spans="2:9" ht="15.75">
      <c r="B87" s="676" t="s">
        <v>879</v>
      </c>
      <c r="C87" s="679"/>
      <c r="D87" s="679"/>
      <c r="E87" s="679"/>
      <c r="F87" s="679"/>
      <c r="G87" s="677"/>
      <c r="H87" s="677"/>
      <c r="I87" s="677"/>
    </row>
    <row r="88" spans="2:9" ht="15.75">
      <c r="B88" s="676" t="s">
        <v>880</v>
      </c>
      <c r="C88" s="679"/>
      <c r="D88" s="679"/>
      <c r="E88" s="679"/>
      <c r="F88" s="679"/>
      <c r="G88" s="677"/>
      <c r="H88" s="677"/>
      <c r="I88" s="677"/>
    </row>
    <row r="89" spans="2:9" ht="15.75">
      <c r="B89" s="676" t="str">
        <f>CONCATENATE("purpose for the previous (",E14,") year.")</f>
        <v>purpose for the previous (2013) year.</v>
      </c>
      <c r="C89" s="679"/>
      <c r="D89" s="679"/>
      <c r="E89" s="679"/>
      <c r="F89" s="679"/>
      <c r="G89" s="677"/>
      <c r="H89" s="677"/>
      <c r="I89" s="677"/>
    </row>
    <row r="90" spans="2:9" ht="15">
      <c r="B90" s="679"/>
      <c r="C90" s="679"/>
      <c r="D90" s="679"/>
      <c r="E90" s="679"/>
      <c r="F90" s="679"/>
      <c r="G90" s="677"/>
      <c r="H90" s="677"/>
      <c r="I90" s="677"/>
    </row>
    <row r="91" spans="2:9" ht="15.75">
      <c r="B91" s="676" t="str">
        <f>CONCATENATE("Next, look to see if delinquent tax for ",G14," is budgeted. Often this line is budgeted at $0 or left")</f>
        <v>Next, look to see if delinquent tax for 2014 is budgeted. Often this line is budgeted at $0 or left</v>
      </c>
      <c r="C91" s="679"/>
      <c r="D91" s="679"/>
      <c r="E91" s="679"/>
      <c r="F91" s="679"/>
      <c r="G91" s="677"/>
      <c r="H91" s="677"/>
      <c r="I91" s="677"/>
    </row>
    <row r="92" spans="2:9" ht="15.75">
      <c r="B92" s="676" t="s">
        <v>881</v>
      </c>
      <c r="C92" s="679"/>
      <c r="D92" s="679"/>
      <c r="E92" s="679"/>
      <c r="F92" s="679"/>
      <c r="G92" s="677"/>
      <c r="H92" s="677"/>
      <c r="I92" s="677"/>
    </row>
    <row r="93" spans="2:9" ht="15.75">
      <c r="B93" s="676" t="s">
        <v>882</v>
      </c>
      <c r="C93" s="679"/>
      <c r="D93" s="679"/>
      <c r="E93" s="679"/>
      <c r="F93" s="679"/>
      <c r="G93" s="677"/>
      <c r="H93" s="677"/>
      <c r="I93" s="677"/>
    </row>
    <row r="94" spans="2:9" ht="15.75">
      <c r="B94" s="676" t="s">
        <v>883</v>
      </c>
      <c r="C94" s="679"/>
      <c r="D94" s="679"/>
      <c r="E94" s="679"/>
      <c r="F94" s="679"/>
      <c r="G94" s="677"/>
      <c r="H94" s="677"/>
      <c r="I94" s="677"/>
    </row>
    <row r="95" spans="2:9" ht="15">
      <c r="B95" s="679"/>
      <c r="C95" s="679"/>
      <c r="D95" s="679"/>
      <c r="E95" s="679"/>
      <c r="F95" s="679"/>
      <c r="G95" s="677"/>
      <c r="H95" s="677"/>
      <c r="I95" s="677"/>
    </row>
    <row r="96" spans="2:9" ht="15.75">
      <c r="B96" s="678" t="s">
        <v>884</v>
      </c>
      <c r="C96" s="679"/>
      <c r="D96" s="679"/>
      <c r="E96" s="679"/>
      <c r="F96" s="679"/>
      <c r="G96" s="677"/>
      <c r="H96" s="677"/>
      <c r="I96" s="677"/>
    </row>
    <row r="97" spans="2:9" ht="15">
      <c r="B97" s="679"/>
      <c r="C97" s="679"/>
      <c r="D97" s="679"/>
      <c r="E97" s="679"/>
      <c r="F97" s="679"/>
      <c r="G97" s="677"/>
      <c r="H97" s="677"/>
      <c r="I97" s="677"/>
    </row>
    <row r="98" spans="2:9" ht="15.75">
      <c r="B98" s="676" t="s">
        <v>885</v>
      </c>
      <c r="C98" s="679"/>
      <c r="D98" s="679"/>
      <c r="E98" s="679"/>
      <c r="F98" s="679"/>
      <c r="G98" s="677"/>
      <c r="H98" s="677"/>
      <c r="I98" s="677"/>
    </row>
    <row r="99" spans="2:9" ht="15.75">
      <c r="B99" s="676" t="s">
        <v>886</v>
      </c>
      <c r="C99" s="679"/>
      <c r="D99" s="679"/>
      <c r="E99" s="679"/>
      <c r="F99" s="679"/>
      <c r="G99" s="677"/>
      <c r="H99" s="677"/>
      <c r="I99" s="677"/>
    </row>
    <row r="100" spans="2:9" ht="15">
      <c r="B100" s="679"/>
      <c r="C100" s="679"/>
      <c r="D100" s="679"/>
      <c r="E100" s="679"/>
      <c r="F100" s="679"/>
      <c r="G100" s="677"/>
      <c r="H100" s="677"/>
      <c r="I100" s="677"/>
    </row>
    <row r="101" spans="2:9" ht="15.75">
      <c r="B101" s="676" t="s">
        <v>887</v>
      </c>
      <c r="C101" s="679"/>
      <c r="D101" s="679"/>
      <c r="E101" s="679"/>
      <c r="F101" s="679"/>
      <c r="G101" s="677"/>
      <c r="H101" s="677"/>
      <c r="I101" s="677"/>
    </row>
    <row r="102" spans="2:9" ht="15.75">
      <c r="B102" s="676" t="s">
        <v>888</v>
      </c>
      <c r="C102" s="679"/>
      <c r="D102" s="679"/>
      <c r="E102" s="679"/>
      <c r="F102" s="679"/>
      <c r="G102" s="677"/>
      <c r="H102" s="677"/>
      <c r="I102" s="677"/>
    </row>
    <row r="103" spans="2:9" ht="15.75">
      <c r="B103" s="676" t="s">
        <v>889</v>
      </c>
      <c r="C103" s="679"/>
      <c r="D103" s="679"/>
      <c r="E103" s="679"/>
      <c r="F103" s="679"/>
      <c r="G103" s="677"/>
      <c r="H103" s="677"/>
      <c r="I103" s="677"/>
    </row>
    <row r="104" spans="2:9" ht="15.75">
      <c r="B104" s="676" t="s">
        <v>948</v>
      </c>
      <c r="C104" s="679"/>
      <c r="D104" s="679"/>
      <c r="E104" s="679"/>
      <c r="F104" s="679"/>
      <c r="G104" s="677"/>
      <c r="H104" s="677"/>
      <c r="I104" s="677"/>
    </row>
    <row r="105" spans="2:9" ht="15.75">
      <c r="B105" s="736" t="s">
        <v>975</v>
      </c>
      <c r="C105" s="737"/>
      <c r="D105" s="737"/>
      <c r="E105" s="737"/>
      <c r="F105" s="737"/>
      <c r="G105" s="677"/>
      <c r="H105" s="677"/>
      <c r="I105" s="677"/>
    </row>
    <row r="108" ht="15">
      <c r="G108" s="69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5" t="s">
        <v>350</v>
      </c>
    </row>
    <row r="2" ht="15.75">
      <c r="A2" s="1"/>
    </row>
    <row r="3" ht="57" customHeight="1">
      <c r="A3" s="356" t="s">
        <v>351</v>
      </c>
    </row>
    <row r="4" ht="15.75">
      <c r="A4" s="354"/>
    </row>
    <row r="5" ht="15.75">
      <c r="A5" s="1"/>
    </row>
    <row r="6" ht="44.25" customHeight="1">
      <c r="A6" s="356" t="s">
        <v>352</v>
      </c>
    </row>
    <row r="7" ht="15.75">
      <c r="A7" s="1"/>
    </row>
    <row r="8" ht="15.75">
      <c r="A8" s="354"/>
    </row>
    <row r="9" ht="46.5" customHeight="1">
      <c r="A9" s="356" t="s">
        <v>353</v>
      </c>
    </row>
    <row r="10" ht="15.75">
      <c r="A10" s="1"/>
    </row>
    <row r="11" ht="15.75">
      <c r="A11" s="354"/>
    </row>
    <row r="12" ht="60" customHeight="1">
      <c r="A12" s="356" t="s">
        <v>354</v>
      </c>
    </row>
    <row r="13" ht="15.75">
      <c r="A13" s="1"/>
    </row>
    <row r="14" ht="15.75">
      <c r="A14" s="1"/>
    </row>
    <row r="15" ht="61.5" customHeight="1">
      <c r="A15" s="356" t="s">
        <v>355</v>
      </c>
    </row>
    <row r="16" ht="15.75">
      <c r="A16" s="1"/>
    </row>
    <row r="17" ht="15.75">
      <c r="A17" s="1"/>
    </row>
    <row r="18" ht="59.25" customHeight="1">
      <c r="A18" s="356" t="s">
        <v>356</v>
      </c>
    </row>
    <row r="19" ht="15.75">
      <c r="A19" s="1"/>
    </row>
    <row r="20" ht="15.75">
      <c r="A20" s="1"/>
    </row>
    <row r="21" ht="61.5" customHeight="1">
      <c r="A21" s="356" t="s">
        <v>357</v>
      </c>
    </row>
    <row r="22" ht="15.75">
      <c r="A22" s="354"/>
    </row>
    <row r="23" ht="15.75">
      <c r="A23" s="354"/>
    </row>
    <row r="24" ht="63" customHeight="1">
      <c r="A24" s="356" t="s">
        <v>358</v>
      </c>
    </row>
    <row r="25" ht="15.75">
      <c r="A25" s="1"/>
    </row>
    <row r="26" ht="15.75">
      <c r="A26" s="1"/>
    </row>
    <row r="27" ht="52.5" customHeight="1">
      <c r="A27" s="501" t="s">
        <v>669</v>
      </c>
    </row>
    <row r="28" ht="15.75">
      <c r="A28" s="1"/>
    </row>
    <row r="29" ht="15.75">
      <c r="A29" s="1"/>
    </row>
    <row r="30" ht="44.25" customHeight="1">
      <c r="A30" s="356" t="s">
        <v>359</v>
      </c>
    </row>
    <row r="31" ht="15.75">
      <c r="A31" s="1"/>
    </row>
    <row r="32" ht="15.75">
      <c r="A32" s="1"/>
    </row>
    <row r="33" ht="42.75" customHeight="1">
      <c r="A33" s="356" t="s">
        <v>360</v>
      </c>
    </row>
    <row r="34" ht="15.75">
      <c r="A34" s="354"/>
    </row>
    <row r="35" ht="15.75">
      <c r="A35" s="354"/>
    </row>
    <row r="36" ht="38.25" customHeight="1">
      <c r="A36" s="356" t="s">
        <v>361</v>
      </c>
    </row>
    <row r="37" ht="15.75">
      <c r="A37" s="354"/>
    </row>
    <row r="38" ht="15.75">
      <c r="A38" s="1"/>
    </row>
    <row r="39" ht="75.75" customHeight="1">
      <c r="A39" s="356" t="s">
        <v>362</v>
      </c>
    </row>
    <row r="40" ht="15.75">
      <c r="A40" s="1"/>
    </row>
    <row r="41" ht="15.75">
      <c r="A41" s="1"/>
    </row>
    <row r="42" ht="57.75" customHeight="1">
      <c r="A42" s="356" t="s">
        <v>363</v>
      </c>
    </row>
    <row r="43" ht="15.75">
      <c r="A43" s="354"/>
    </row>
    <row r="44" ht="15.75">
      <c r="A44" s="1"/>
    </row>
    <row r="45" ht="57.75" customHeight="1">
      <c r="A45" s="356" t="s">
        <v>364</v>
      </c>
    </row>
    <row r="46" ht="15.75">
      <c r="A46" s="1"/>
    </row>
    <row r="47" ht="15.75">
      <c r="A47" s="1"/>
    </row>
    <row r="48" ht="41.25" customHeight="1">
      <c r="A48" s="356" t="s">
        <v>365</v>
      </c>
    </row>
    <row r="49" ht="15.75">
      <c r="A49" s="1"/>
    </row>
    <row r="50" ht="15.75">
      <c r="A50" s="1"/>
    </row>
    <row r="51" ht="75" customHeight="1">
      <c r="A51" s="356" t="s">
        <v>366</v>
      </c>
    </row>
    <row r="52" ht="15.75">
      <c r="A52" s="354"/>
    </row>
    <row r="53" ht="15.75">
      <c r="A53" s="354"/>
    </row>
    <row r="54" ht="57.75" customHeight="1">
      <c r="A54" s="356" t="s">
        <v>367</v>
      </c>
    </row>
    <row r="55" ht="15.75">
      <c r="A55" s="1"/>
    </row>
    <row r="56" ht="15.75">
      <c r="A56" s="1"/>
    </row>
    <row r="57" ht="44.25" customHeight="1">
      <c r="A57" s="356" t="s">
        <v>368</v>
      </c>
    </row>
    <row r="58" ht="15.75">
      <c r="A58" s="1"/>
    </row>
    <row r="59" ht="15.75">
      <c r="A59" s="1"/>
    </row>
    <row r="60" ht="60" customHeight="1">
      <c r="A60" s="356" t="s">
        <v>369</v>
      </c>
    </row>
    <row r="61" ht="15.75">
      <c r="A61" s="354"/>
    </row>
    <row r="62" ht="15.75">
      <c r="A62" s="354"/>
    </row>
    <row r="63" ht="57.75" customHeight="1">
      <c r="A63" s="356" t="s">
        <v>370</v>
      </c>
    </row>
    <row r="64" ht="15.75">
      <c r="A64" s="1"/>
    </row>
    <row r="65" ht="15.75">
      <c r="A65" s="1"/>
    </row>
    <row r="66" ht="60" customHeight="1">
      <c r="A66" s="356"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 sqref="B1"/>
    </sheetView>
  </sheetViews>
  <sheetFormatPr defaultColWidth="8.796875" defaultRowHeight="15"/>
  <cols>
    <col min="1" max="1" width="13.796875" style="0" customWidth="1"/>
    <col min="2" max="2" width="16.09765625" style="0" customWidth="1"/>
  </cols>
  <sheetData>
    <row r="1" ht="15">
      <c r="J1" s="627" t="s">
        <v>808</v>
      </c>
    </row>
    <row r="2" spans="1:10" ht="54" customHeight="1">
      <c r="A2" s="753" t="s">
        <v>398</v>
      </c>
      <c r="B2" s="754"/>
      <c r="C2" s="754"/>
      <c r="D2" s="754"/>
      <c r="E2" s="754"/>
      <c r="F2" s="754"/>
      <c r="J2" s="627" t="s">
        <v>809</v>
      </c>
    </row>
    <row r="3" spans="1:10" ht="15.75">
      <c r="A3" s="1" t="s">
        <v>820</v>
      </c>
      <c r="B3" s="376" t="s">
        <v>1037</v>
      </c>
      <c r="C3" s="620"/>
      <c r="J3" s="627" t="s">
        <v>810</v>
      </c>
    </row>
    <row r="4" spans="1:10" ht="15.75">
      <c r="A4" s="1"/>
      <c r="B4" s="633"/>
      <c r="J4" s="627" t="s">
        <v>811</v>
      </c>
    </row>
    <row r="5" spans="1:10" ht="15.75">
      <c r="A5" s="1" t="s">
        <v>647</v>
      </c>
      <c r="B5" s="376" t="s">
        <v>1038</v>
      </c>
      <c r="J5" s="627" t="s">
        <v>812</v>
      </c>
    </row>
    <row r="6" spans="1:10" ht="15.75">
      <c r="A6" s="374"/>
      <c r="B6" s="374"/>
      <c r="C6" s="374"/>
      <c r="D6" s="375" t="s">
        <v>400</v>
      </c>
      <c r="E6" s="374"/>
      <c r="F6" s="374"/>
      <c r="J6" s="627" t="s">
        <v>813</v>
      </c>
    </row>
    <row r="7" spans="1:10" ht="15.75">
      <c r="A7" s="375" t="s">
        <v>399</v>
      </c>
      <c r="B7" s="376" t="s">
        <v>1042</v>
      </c>
      <c r="C7" s="377"/>
      <c r="D7" s="619" t="str">
        <f>IF(B7="","",CONCATENATE("Latest date for notice to be published in your newspaper: ",G18," ",G22,", ",G23))</f>
        <v>Latest date for notice to be published in your newspaper: August 4, 2013</v>
      </c>
      <c r="E7" s="374"/>
      <c r="F7" s="374"/>
      <c r="J7" s="627" t="s">
        <v>814</v>
      </c>
    </row>
    <row r="8" spans="1:10" ht="15.75">
      <c r="A8" s="375"/>
      <c r="B8" s="378"/>
      <c r="C8" s="379"/>
      <c r="D8" s="619"/>
      <c r="E8" s="374"/>
      <c r="F8" s="374"/>
      <c r="J8" s="627" t="s">
        <v>815</v>
      </c>
    </row>
    <row r="9" spans="1:10" ht="15.75">
      <c r="A9" s="375" t="s">
        <v>401</v>
      </c>
      <c r="B9" s="620" t="s">
        <v>1036</v>
      </c>
      <c r="C9" s="380"/>
      <c r="D9" s="375"/>
      <c r="E9" s="374"/>
      <c r="F9" s="374"/>
      <c r="J9" s="627" t="s">
        <v>816</v>
      </c>
    </row>
    <row r="10" spans="1:10" ht="15.75">
      <c r="A10" s="375"/>
      <c r="B10" s="619"/>
      <c r="C10" s="375"/>
      <c r="D10" s="375"/>
      <c r="E10" s="374"/>
      <c r="F10" s="374"/>
      <c r="J10" s="627" t="s">
        <v>817</v>
      </c>
    </row>
    <row r="11" spans="1:10" ht="15.75">
      <c r="A11" s="375" t="s">
        <v>402</v>
      </c>
      <c r="B11" s="621" t="s">
        <v>407</v>
      </c>
      <c r="C11" s="381"/>
      <c r="D11" s="381"/>
      <c r="E11" s="382"/>
      <c r="F11" s="374"/>
      <c r="J11" s="627" t="s">
        <v>818</v>
      </c>
    </row>
    <row r="12" spans="1:10" ht="15.75">
      <c r="A12" s="375"/>
      <c r="B12" s="619"/>
      <c r="C12" s="375"/>
      <c r="D12" s="375"/>
      <c r="E12" s="374"/>
      <c r="F12" s="374"/>
      <c r="J12" s="627" t="s">
        <v>819</v>
      </c>
    </row>
    <row r="13" spans="1:6" ht="15.75">
      <c r="A13" s="375"/>
      <c r="B13" s="619"/>
      <c r="C13" s="375"/>
      <c r="D13" s="375"/>
      <c r="E13" s="374"/>
      <c r="F13" s="374"/>
    </row>
    <row r="14" spans="1:6" ht="15.75">
      <c r="A14" s="375" t="s">
        <v>403</v>
      </c>
      <c r="B14" s="621" t="s">
        <v>407</v>
      </c>
      <c r="C14" s="381"/>
      <c r="D14" s="381"/>
      <c r="E14" s="382"/>
      <c r="F14" s="374"/>
    </row>
    <row r="17" spans="1:6" ht="15.75">
      <c r="A17" s="755" t="s">
        <v>404</v>
      </c>
      <c r="B17" s="755"/>
      <c r="C17" s="375"/>
      <c r="D17" s="375"/>
      <c r="E17" s="375"/>
      <c r="F17" s="374"/>
    </row>
    <row r="18" spans="1:7" ht="15.75">
      <c r="A18" s="375"/>
      <c r="B18" s="375"/>
      <c r="C18" s="375"/>
      <c r="D18" s="375"/>
      <c r="E18" s="375"/>
      <c r="F18" s="374"/>
      <c r="G18" s="627" t="str">
        <f ca="1">IF(B7="","",INDIRECT(G19))</f>
        <v>August</v>
      </c>
    </row>
    <row r="19" spans="1:7" ht="15.75">
      <c r="A19" s="375" t="s">
        <v>647</v>
      </c>
      <c r="B19" s="375" t="s">
        <v>648</v>
      </c>
      <c r="C19" s="375"/>
      <c r="D19" s="375"/>
      <c r="E19" s="375"/>
      <c r="F19" s="374"/>
      <c r="G19" s="628" t="str">
        <f>IF(B7="","",CONCATENATE("J",G21))</f>
        <v>J8</v>
      </c>
    </row>
    <row r="20" spans="1:7" ht="15.75">
      <c r="A20" s="375"/>
      <c r="B20" s="375"/>
      <c r="C20" s="375"/>
      <c r="D20" s="375"/>
      <c r="E20" s="375"/>
      <c r="F20" s="374"/>
      <c r="G20" s="629">
        <f>B7-10</f>
        <v>41490</v>
      </c>
    </row>
    <row r="21" spans="1:7" ht="15.75">
      <c r="A21" s="375" t="s">
        <v>399</v>
      </c>
      <c r="B21" s="378" t="s">
        <v>405</v>
      </c>
      <c r="C21" s="375"/>
      <c r="D21" s="375"/>
      <c r="E21" s="375"/>
      <c r="G21" s="630">
        <f>IF(B7="","",MONTH(G20))</f>
        <v>8</v>
      </c>
    </row>
    <row r="22" spans="1:7" ht="15.75">
      <c r="A22" s="375"/>
      <c r="B22" s="375"/>
      <c r="C22" s="375"/>
      <c r="D22" s="375"/>
      <c r="E22" s="375"/>
      <c r="G22" s="631">
        <f>IF(B7="","",DAY(G20))</f>
        <v>4</v>
      </c>
    </row>
    <row r="23" spans="1:7" ht="15.75">
      <c r="A23" s="375" t="s">
        <v>401</v>
      </c>
      <c r="B23" s="375" t="s">
        <v>406</v>
      </c>
      <c r="C23" s="375"/>
      <c r="D23" s="375"/>
      <c r="E23" s="375"/>
      <c r="G23" s="632">
        <f>IF(B7="","",YEAR(G20))</f>
        <v>2013</v>
      </c>
    </row>
    <row r="24" spans="1:5" ht="15.75">
      <c r="A24" s="375"/>
      <c r="B24" s="375"/>
      <c r="C24" s="375"/>
      <c r="D24" s="375"/>
      <c r="E24" s="375"/>
    </row>
    <row r="25" spans="1:5" ht="15.75">
      <c r="A25" s="375" t="s">
        <v>402</v>
      </c>
      <c r="B25" s="375" t="s">
        <v>407</v>
      </c>
      <c r="C25" s="375"/>
      <c r="D25" s="375"/>
      <c r="E25" s="375"/>
    </row>
    <row r="26" spans="1:5" ht="15.75">
      <c r="A26" s="375"/>
      <c r="B26" s="375"/>
      <c r="C26" s="375"/>
      <c r="D26" s="375"/>
      <c r="E26" s="375"/>
    </row>
    <row r="27" spans="1:5" ht="15.75">
      <c r="A27" s="375" t="s">
        <v>403</v>
      </c>
      <c r="B27" s="375" t="s">
        <v>407</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7" sqref="A17"/>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2014</v>
      </c>
    </row>
    <row r="2" spans="1:6" ht="15" customHeight="1">
      <c r="A2" s="65"/>
      <c r="B2" s="65"/>
      <c r="C2" s="67" t="s">
        <v>218</v>
      </c>
      <c r="D2" s="65"/>
      <c r="E2" s="65"/>
      <c r="F2" s="164"/>
    </row>
    <row r="3" spans="1:6" s="66" customFormat="1" ht="15" customHeight="1">
      <c r="A3" s="756" t="str">
        <f>CONCATENATE("To the Clerk of ",inputPrYr!D3,", State of Kansas")</f>
        <v>To the Clerk of Marshall County, State of Kansas</v>
      </c>
      <c r="B3" s="748"/>
      <c r="C3" s="748"/>
      <c r="D3" s="748"/>
      <c r="E3" s="748"/>
      <c r="F3" s="748"/>
    </row>
    <row r="4" spans="1:6" s="66" customFormat="1" ht="15" customHeight="1">
      <c r="A4" s="75" t="s">
        <v>646</v>
      </c>
      <c r="B4" s="74"/>
      <c r="C4" s="74"/>
      <c r="D4" s="74"/>
      <c r="E4" s="74"/>
      <c r="F4" s="74"/>
    </row>
    <row r="5" spans="1:6" s="66" customFormat="1" ht="15" customHeight="1">
      <c r="A5" s="65"/>
      <c r="B5" s="65"/>
      <c r="C5" s="432" t="str">
        <f>(inputPrYr!D2)</f>
        <v>City of Beattie</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2014; and</v>
      </c>
      <c r="B8" s="74"/>
      <c r="C8" s="74"/>
      <c r="D8" s="74"/>
      <c r="E8" s="74"/>
      <c r="F8" s="74"/>
    </row>
    <row r="9" spans="1:6" s="66" customFormat="1" ht="15" customHeight="1">
      <c r="A9" s="75" t="str">
        <f>CONCATENATE("(3) the Amount(s) of ",F1-1," Ad Valorem Tax are within statutory limitations.")</f>
        <v>(3) the Amount(s) of 2013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2014</v>
      </c>
      <c r="E11" s="171" t="s">
        <v>165</v>
      </c>
      <c r="F11" s="172"/>
    </row>
    <row r="12" spans="1:6" ht="16.5" customHeight="1">
      <c r="A12" s="167"/>
      <c r="B12" s="65"/>
      <c r="C12" s="173"/>
      <c r="D12" s="175"/>
      <c r="E12" s="757" t="str">
        <f>CONCATENATE("Amount of ",$F$1-1," Ad Valorem Tax")</f>
        <v>Amount of 2013 Ad Valorem Tax</v>
      </c>
      <c r="F12" s="175" t="s">
        <v>142</v>
      </c>
    </row>
    <row r="13" spans="1:6" ht="14.25" customHeight="1">
      <c r="A13" s="65"/>
      <c r="B13" s="65"/>
      <c r="C13" s="175" t="s">
        <v>143</v>
      </c>
      <c r="D13" s="176" t="s">
        <v>51</v>
      </c>
      <c r="E13" s="758"/>
      <c r="F13" s="176" t="s">
        <v>144</v>
      </c>
    </row>
    <row r="14" spans="1:6" ht="14.25" customHeight="1">
      <c r="A14" s="177" t="s">
        <v>145</v>
      </c>
      <c r="B14" s="104"/>
      <c r="C14" s="178" t="s">
        <v>146</v>
      </c>
      <c r="D14" s="178" t="s">
        <v>657</v>
      </c>
      <c r="E14" s="759"/>
      <c r="F14" s="178" t="s">
        <v>148</v>
      </c>
    </row>
    <row r="15" spans="1:6" ht="15" customHeight="1">
      <c r="A15" s="179" t="s">
        <v>310</v>
      </c>
      <c r="B15" s="180">
        <f>inputPrYr!$C$5</f>
        <v>2014</v>
      </c>
      <c r="C15" s="181">
        <v>2</v>
      </c>
      <c r="D15" s="97"/>
      <c r="E15" s="97"/>
      <c r="F15" s="182"/>
    </row>
    <row r="16" spans="1:6" ht="15" customHeight="1">
      <c r="A16" s="174" t="s">
        <v>961</v>
      </c>
      <c r="B16" s="183"/>
      <c r="C16" s="181">
        <v>3</v>
      </c>
      <c r="D16" s="97"/>
      <c r="E16" s="97"/>
      <c r="F16" s="169"/>
    </row>
    <row r="17" spans="1:6" ht="15" customHeight="1">
      <c r="A17" s="179" t="s">
        <v>284</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IF(general!C67&gt;0,general!C67,"")</f>
        <v>7</v>
      </c>
      <c r="D22" s="428">
        <f>IF((general!$E$57)&lt;&gt;0,general!$E$57,"")</f>
        <v>119452</v>
      </c>
      <c r="E22" s="641">
        <f>IF((general!$E$64)&lt;&gt;0,(general!$E$64),0)</f>
        <v>43509</v>
      </c>
      <c r="F22" s="645">
        <f aca="true" t="shared" si="0" ref="F22:F28">IF($F$39=0,"",ROUND(E22/$F$39*1000,3))</f>
      </c>
    </row>
    <row r="23" spans="1:6" ht="15" customHeight="1">
      <c r="A23" s="86" t="s">
        <v>108</v>
      </c>
      <c r="B23" s="189" t="s">
        <v>309</v>
      </c>
      <c r="C23" s="181">
        <f>IF('DebtSvs-Library'!C83&gt;0,'DebtSvs-Library'!C83,"")</f>
      </c>
      <c r="D23" s="428">
        <f>IF(('DebtSvs-Library'!$E$33)&lt;&gt;0,('DebtSvs-Library'!$E$33),"")</f>
      </c>
      <c r="E23" s="641">
        <f>IF(('DebtSvs-Library'!$E$40)&lt;&gt;0,('DebtSvs-Library'!$E$40),0)</f>
        <v>0</v>
      </c>
      <c r="F23" s="645">
        <f t="shared" si="0"/>
      </c>
    </row>
    <row r="24" spans="1:6" ht="15" customHeight="1">
      <c r="A24" s="109" t="str">
        <f>IF((inputPrYr!$B19&gt;"  "),(inputPrYr!$B19),"  ")</f>
        <v>Library</v>
      </c>
      <c r="B24" s="189" t="str">
        <f>IF((inputPrYr!$C19&gt;"  "),(inputPrYr!$C19),"  ")</f>
        <v>12-1220</v>
      </c>
      <c r="C24" s="181">
        <f>IF('DebtSvs-Library'!C83&gt;0,'DebtSvs-Library'!C83,"")</f>
      </c>
      <c r="D24" s="428">
        <f>IF(('DebtSvs-Library'!$E$73)&lt;&gt;0,('DebtSvs-Library'!$E$73),"")</f>
      </c>
      <c r="E24" s="641">
        <f>IF(('DebtSvs-Library'!$E$80)&lt;&gt;0,('DebtSvs-Library'!$E$80),0)</f>
        <v>0</v>
      </c>
      <c r="F24" s="645">
        <f t="shared" si="0"/>
      </c>
    </row>
    <row r="25" spans="1:6" ht="15" customHeight="1">
      <c r="A25" s="109" t="str">
        <f>IF((inputPrYr!$B21&gt;"  "),(inputPrYr!$B21),"  ")</f>
        <v>  </v>
      </c>
      <c r="B25" s="189" t="str">
        <f>IF((inputPrYr!$C21&gt;"  "),(inputPrYr!$C21),"  ")</f>
        <v>  </v>
      </c>
      <c r="C25" s="181" t="str">
        <f>IF('levy page9'!C83&gt;0,'levy page9'!C83," ")</f>
        <v> </v>
      </c>
      <c r="D25" s="428">
        <f>IF(('levy page9'!$E$33)&lt;&gt;0,('levy page9'!$E$33),"")</f>
      </c>
      <c r="E25" s="641">
        <f>IF(('levy page9'!$E$40)&lt;&gt;0,('levy page9'!$E$40),0)</f>
        <v>0</v>
      </c>
      <c r="F25" s="645">
        <f t="shared" si="0"/>
      </c>
    </row>
    <row r="26" spans="1:6" ht="15" customHeight="1">
      <c r="A26" s="109" t="str">
        <f>IF((inputPrYr!$B22&gt;"  "),(inputPrYr!$B22),"  ")</f>
        <v>  </v>
      </c>
      <c r="B26" s="189" t="str">
        <f>IF((inputPrYr!$C22&gt;"  "),(inputPrYr!$C22),"  ")</f>
        <v>  </v>
      </c>
      <c r="C26" s="181" t="str">
        <f>IF('levy page9'!C83&gt;0,'levy page9'!C83," ")</f>
        <v> </v>
      </c>
      <c r="D26" s="428">
        <f>IF(('levy page9'!$E$73)&lt;&gt;0,('levy page9'!$E$73),"")</f>
      </c>
      <c r="E26" s="641">
        <f>IF(('levy page9'!$E$80)&lt;&gt;0,('levy page9'!$E$80),0)</f>
        <v>0</v>
      </c>
      <c r="F26" s="645">
        <f t="shared" si="0"/>
      </c>
    </row>
    <row r="27" spans="1:6" ht="15" customHeight="1">
      <c r="A27" s="109" t="str">
        <f>IF((inputPrYr!$B23&gt;"  "),(inputPrYr!$B23),"  ")</f>
        <v>  </v>
      </c>
      <c r="B27" s="189" t="str">
        <f>IF((inputPrYr!$C23&gt;"  "),(inputPrYr!$C23),"  ")</f>
        <v>  </v>
      </c>
      <c r="C27" s="181" t="str">
        <f>IF('levy page10'!C83&gt;0,'levy page10'!C83," ")</f>
        <v> </v>
      </c>
      <c r="D27" s="428">
        <f>IF(('levy page10'!$E$33)&lt;&gt;0,('levy page10'!$E$33),"")</f>
      </c>
      <c r="E27" s="641">
        <f>IF(('levy page10'!$E$40)&lt;&gt;0,('levy page10'!$E$40),0)</f>
        <v>0</v>
      </c>
      <c r="F27" s="645">
        <f t="shared" si="0"/>
      </c>
    </row>
    <row r="28" spans="1:6" ht="15" customHeight="1">
      <c r="A28" s="109" t="str">
        <f>IF((inputPrYr!$B24&gt;"  "),(inputPrYr!$B24),"  ")</f>
        <v>  </v>
      </c>
      <c r="B28" s="189" t="str">
        <f>IF((inputPrYr!$C24&gt;"  "),(inputPrYr!$C24),"  ")</f>
        <v>  </v>
      </c>
      <c r="C28" s="181" t="str">
        <f>IF('levy page10'!C83&gt;0,'levy page10'!C83," ")</f>
        <v> </v>
      </c>
      <c r="D28" s="428">
        <f>IF(('levy page10'!$E$73)&lt;&gt;0,('levy page10'!$E$73),"")</f>
      </c>
      <c r="E28" s="641">
        <f>IF(('levy page10'!$E$80)&lt;&gt;0,('levy page10'!$E$80),0)</f>
        <v>0</v>
      </c>
      <c r="F28" s="645">
        <f t="shared" si="0"/>
      </c>
    </row>
    <row r="29" spans="1:6" ht="15" customHeight="1">
      <c r="A29" s="191" t="str">
        <f>IF((inputPrYr!$B28&gt;"  "),(inputPrYr!$B28),"  ")</f>
        <v>Special Highway</v>
      </c>
      <c r="B29" s="117"/>
      <c r="C29" s="184">
        <f>IF('SpecHwy-Water'!C64&gt;0,'SpecHwy-Water'!C64," ")</f>
        <v>8</v>
      </c>
      <c r="D29" s="428">
        <f>IF(('SpecHwy-Water'!$E$25)&lt;&gt;0,('SpecHwy-Water'!$E$25),"")</f>
        <v>6701</v>
      </c>
      <c r="E29" s="238"/>
      <c r="F29" s="188"/>
    </row>
    <row r="30" spans="1:6" ht="15" customHeight="1">
      <c r="A30" s="191" t="str">
        <f>IF((inputPrYr!$B29&gt;"  "),(inputPrYr!$B29),"  ")</f>
        <v>Water</v>
      </c>
      <c r="B30" s="117"/>
      <c r="C30" s="184">
        <f>IF('SpecHwy-Water'!C64&gt;0,'SpecHwy-Water'!C64," ")</f>
        <v>8</v>
      </c>
      <c r="D30" s="428">
        <f>IF(('SpecHwy-Water'!$E$58)&lt;&gt;0,('SpecHwy-Water'!$E$58),"")</f>
        <v>105582</v>
      </c>
      <c r="E30" s="238"/>
      <c r="F30" s="188"/>
    </row>
    <row r="31" spans="1:6" ht="15" customHeight="1">
      <c r="A31" s="192" t="str">
        <f>IF((inputPrYr!$B30&gt;"  "),(inputPrYr!$B30),"  ")</f>
        <v>Sewer</v>
      </c>
      <c r="B31" s="117"/>
      <c r="C31" s="184">
        <f>IF(Sewer!C59&gt;0,Sewer!C59," ")</f>
        <v>9</v>
      </c>
      <c r="D31" s="428">
        <f>IF((Sewer!$E$30)&lt;&gt;0,(Sewer!$E$30),"")</f>
        <v>98148</v>
      </c>
      <c r="E31" s="238"/>
      <c r="F31" s="188"/>
    </row>
    <row r="32" spans="1:6" ht="15" customHeight="1">
      <c r="A32" s="192" t="str">
        <f>IF((inputPrYr!$B31&gt;"  "),(inputPrYr!$B31),"  ")</f>
        <v>  </v>
      </c>
      <c r="B32" s="117"/>
      <c r="C32" s="184">
        <f>IF(Sewer!C59&gt;0,Sewer!C59," ")</f>
        <v>9</v>
      </c>
      <c r="D32" s="428">
        <f>IF((Sewer!$E$53)&lt;&gt;0,(Sewer!$E$53),"")</f>
      </c>
      <c r="E32" s="238"/>
      <c r="F32" s="188"/>
    </row>
    <row r="33" spans="1:6" ht="15" customHeight="1">
      <c r="A33" s="192" t="str">
        <f>IF((inputPrYr!$B32&gt;"  "),(inputPrYr!$B32),"  ")</f>
        <v>  </v>
      </c>
      <c r="B33" s="117"/>
      <c r="C33" s="184" t="str">
        <f>IF('no levy page13'!C68&gt;0,'no levy page13'!C68," ")</f>
        <v> </v>
      </c>
      <c r="D33" s="428">
        <f>IF(('no levy page13'!$E$30)&lt;&gt;0,('no levy page13'!$E$30),"")</f>
      </c>
      <c r="E33" s="238"/>
      <c r="F33" s="188"/>
    </row>
    <row r="34" spans="1:6" ht="15" customHeight="1">
      <c r="A34" s="193" t="str">
        <f>IF((inputPrYr!$B33&gt;"  "),(inputPrYr!$B33),"  ")</f>
        <v>  </v>
      </c>
      <c r="B34" s="117"/>
      <c r="C34" s="184" t="str">
        <f>IF('no levy page13'!C68&gt;0,'no levy page13'!C68," ")</f>
        <v> </v>
      </c>
      <c r="D34" s="428">
        <f>IF(('no levy page13'!$E$62)&lt;&gt;0,('no levy page13'!$E$62),"")</f>
      </c>
      <c r="E34" s="238"/>
      <c r="F34" s="188"/>
    </row>
    <row r="35" spans="1:6" ht="15" customHeight="1">
      <c r="A35" s="192" t="str">
        <f>IF((inputPrYr!$B35&gt;"  "),(inputPrYr!$B35),"  ")</f>
        <v>  </v>
      </c>
      <c r="B35" s="117"/>
      <c r="C35" s="184" t="str">
        <f>IF(Sinnolevy14!C57&gt;0,Sinnolevy14!C57," ")</f>
        <v> </v>
      </c>
      <c r="D35" s="428">
        <f>IF((Sinnolevy14!$E$51)&lt;&gt;0,(Sinnolevy14!$E$51),"")</f>
      </c>
      <c r="E35" s="238"/>
      <c r="F35" s="188"/>
    </row>
    <row r="36" spans="1:6" ht="15" customHeight="1" thickBot="1">
      <c r="A36" s="191" t="str">
        <f>IF((inputPrYr!$B38&gt;"  "),(Reserves!$A3),"  ")</f>
        <v>Non-Budgeted Funds</v>
      </c>
      <c r="B36" s="117"/>
      <c r="C36" s="184">
        <f>IF(Reserves!F33&gt;0,Reserves!F33," ")</f>
        <v>10</v>
      </c>
      <c r="D36" s="642"/>
      <c r="E36" s="643"/>
      <c r="F36" s="576"/>
    </row>
    <row r="37" spans="1:6" ht="16.5" customHeight="1">
      <c r="A37" s="289" t="s">
        <v>754</v>
      </c>
      <c r="B37" s="116"/>
      <c r="C37" s="431" t="s">
        <v>153</v>
      </c>
      <c r="D37" s="644">
        <f>SUM(D22:D35)</f>
        <v>329883</v>
      </c>
      <c r="E37" s="644">
        <f>SUM(E22:E35)</f>
        <v>43509</v>
      </c>
      <c r="F37" s="575">
        <f>IF(SUM(F22:F36)=0,"",SUM(F22:F36))</f>
      </c>
    </row>
    <row r="38" spans="1:6" ht="16.5" customHeight="1">
      <c r="A38" s="438" t="s">
        <v>36</v>
      </c>
      <c r="B38" s="437"/>
      <c r="C38" s="436"/>
      <c r="D38" s="435"/>
      <c r="E38" s="434" t="str">
        <f>IF(E37&gt;computation!J40,"Yes","No")</f>
        <v>No</v>
      </c>
      <c r="F38" s="430" t="s">
        <v>289</v>
      </c>
    </row>
    <row r="39" spans="1:6" ht="15" customHeight="1">
      <c r="A39" s="174" t="s">
        <v>25</v>
      </c>
      <c r="B39" s="183"/>
      <c r="C39" s="176">
        <f>summ!D40</f>
        <v>11</v>
      </c>
      <c r="D39" s="195"/>
      <c r="E39" s="65"/>
      <c r="F39" s="433"/>
    </row>
    <row r="40" spans="1:6" ht="15" customHeight="1">
      <c r="A40" s="86" t="s">
        <v>122</v>
      </c>
      <c r="B40" s="87"/>
      <c r="C40" s="181">
        <f>IF(Nhood!C32&gt;0,Nhood!C32,"")</f>
      </c>
      <c r="D40" s="195"/>
      <c r="E40" s="65"/>
      <c r="F40" s="762" t="str">
        <f>CONCATENATE("Nov 1, ",F1-1," Total Assessed Valuation")</f>
        <v>Nov 1, 2013 Total Assessed Valuation</v>
      </c>
    </row>
    <row r="41" spans="1:6" ht="15" customHeight="1">
      <c r="A41" s="466"/>
      <c r="B41" s="464"/>
      <c r="C41" s="467"/>
      <c r="D41" s="468"/>
      <c r="E41" s="469"/>
      <c r="F41" s="763"/>
    </row>
    <row r="42" spans="1:6" ht="15" customHeight="1">
      <c r="A42" s="70" t="s">
        <v>154</v>
      </c>
      <c r="B42" s="97"/>
      <c r="C42" s="196"/>
      <c r="D42" s="97"/>
      <c r="E42" s="65"/>
      <c r="F42" s="65"/>
    </row>
    <row r="43" spans="1:6" ht="15" customHeight="1">
      <c r="A43" s="372" t="s">
        <v>983</v>
      </c>
      <c r="B43" s="65"/>
      <c r="C43" s="65"/>
      <c r="D43" s="464"/>
      <c r="E43" s="465"/>
      <c r="F43" s="65"/>
    </row>
    <row r="44" spans="1:6" ht="15" customHeight="1">
      <c r="A44" s="197"/>
      <c r="B44" s="65"/>
      <c r="C44" s="480" t="s">
        <v>831</v>
      </c>
      <c r="D44" s="97"/>
      <c r="E44" s="480"/>
      <c r="F44" s="480"/>
    </row>
    <row r="45" spans="1:6" ht="15" customHeight="1">
      <c r="A45" s="65" t="s">
        <v>307</v>
      </c>
      <c r="B45" s="97"/>
      <c r="C45" s="97"/>
      <c r="D45" s="97"/>
      <c r="E45" s="97"/>
      <c r="F45" s="97"/>
    </row>
    <row r="46" spans="1:6" ht="15" customHeight="1">
      <c r="A46" s="372" t="s">
        <v>984</v>
      </c>
      <c r="B46" s="371"/>
      <c r="C46" s="480" t="s">
        <v>831</v>
      </c>
      <c r="D46" s="97"/>
      <c r="E46" s="97"/>
      <c r="F46" s="97"/>
    </row>
    <row r="47" spans="1:6" ht="15" customHeight="1">
      <c r="A47" s="197" t="s">
        <v>985</v>
      </c>
      <c r="B47" s="97"/>
      <c r="C47" s="100"/>
      <c r="D47" s="97"/>
      <c r="E47" s="97"/>
      <c r="F47" s="97"/>
    </row>
    <row r="48" spans="1:6" ht="15" customHeight="1">
      <c r="A48" s="97" t="s">
        <v>960</v>
      </c>
      <c r="B48" s="65"/>
      <c r="C48" s="480" t="s">
        <v>831</v>
      </c>
      <c r="D48" s="97"/>
      <c r="E48" s="646"/>
      <c r="F48" s="646"/>
    </row>
    <row r="49" spans="1:6" ht="15" customHeight="1">
      <c r="A49" s="372" t="s">
        <v>986</v>
      </c>
      <c r="B49" s="70"/>
      <c r="C49" s="97"/>
      <c r="D49" s="97"/>
      <c r="E49" s="646"/>
      <c r="F49" s="646"/>
    </row>
    <row r="50" spans="1:6" ht="15" customHeight="1">
      <c r="A50" s="371"/>
      <c r="B50" s="65"/>
      <c r="C50" s="480" t="s">
        <v>831</v>
      </c>
      <c r="D50" s="97"/>
      <c r="E50" s="646"/>
      <c r="F50" s="646"/>
    </row>
    <row r="51" spans="1:6" ht="15" customHeight="1">
      <c r="A51" s="65"/>
      <c r="B51" s="65"/>
      <c r="C51" s="97"/>
      <c r="D51" s="97"/>
      <c r="E51" s="646"/>
      <c r="F51" s="646"/>
    </row>
    <row r="52" spans="1:6" ht="15" customHeight="1">
      <c r="A52" s="71" t="s">
        <v>24</v>
      </c>
      <c r="B52" s="198">
        <f>inputPrYr!$C$5-1</f>
        <v>2013</v>
      </c>
      <c r="C52" s="480" t="s">
        <v>831</v>
      </c>
      <c r="D52" s="97"/>
      <c r="E52" s="646"/>
      <c r="F52" s="646"/>
    </row>
    <row r="53" spans="1:6" ht="15" customHeight="1">
      <c r="A53" s="65"/>
      <c r="B53" s="65"/>
      <c r="C53" s="646"/>
      <c r="D53" s="646"/>
      <c r="E53" s="647"/>
      <c r="F53" s="648"/>
    </row>
    <row r="54" spans="1:6" ht="15" customHeight="1">
      <c r="A54" s="581"/>
      <c r="B54" s="65"/>
      <c r="C54" s="480" t="s">
        <v>831</v>
      </c>
      <c r="D54" s="97"/>
      <c r="E54" s="646"/>
      <c r="F54" s="646"/>
    </row>
    <row r="55" spans="1:6" ht="15" customHeight="1">
      <c r="A55" s="84" t="s">
        <v>156</v>
      </c>
      <c r="B55" s="65"/>
      <c r="C55" s="760" t="s">
        <v>155</v>
      </c>
      <c r="D55" s="761"/>
      <c r="E55" s="761"/>
      <c r="F55" s="761"/>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Beattie</v>
      </c>
      <c r="D1" s="65"/>
      <c r="E1" s="65"/>
      <c r="F1" s="65"/>
      <c r="G1" s="65"/>
      <c r="H1" s="65"/>
      <c r="I1" s="65"/>
      <c r="J1" s="162">
        <f>inputPrYr!$C$5</f>
        <v>2014</v>
      </c>
    </row>
    <row r="2" spans="1:10" ht="15.75" customHeight="1">
      <c r="A2" s="65"/>
      <c r="B2" s="65"/>
      <c r="C2" s="65"/>
      <c r="D2" s="65"/>
      <c r="E2" s="65"/>
      <c r="F2" s="65"/>
      <c r="G2" s="65"/>
      <c r="H2" s="65"/>
      <c r="I2" s="65"/>
      <c r="J2" s="65"/>
    </row>
    <row r="3" spans="1:10" ht="15.75">
      <c r="A3" s="766" t="str">
        <f>CONCATENATE("Computation to Determine Limit for ",J1)</f>
        <v>Computation to Determine Limit for 2014</v>
      </c>
      <c r="B3" s="767"/>
      <c r="C3" s="767"/>
      <c r="D3" s="767"/>
      <c r="E3" s="767"/>
      <c r="F3" s="767"/>
      <c r="G3" s="767"/>
      <c r="H3" s="767"/>
      <c r="I3" s="767"/>
      <c r="J3" s="767"/>
    </row>
    <row r="4" spans="1:10" ht="15.75">
      <c r="A4" s="65"/>
      <c r="B4" s="65"/>
      <c r="C4" s="65"/>
      <c r="D4" s="65"/>
      <c r="E4" s="767"/>
      <c r="F4" s="767"/>
      <c r="G4" s="767"/>
      <c r="H4" s="203"/>
      <c r="I4" s="65"/>
      <c r="J4" s="204" t="s">
        <v>230</v>
      </c>
    </row>
    <row r="5" spans="1:10" ht="15.75">
      <c r="A5" s="205" t="s">
        <v>231</v>
      </c>
      <c r="B5" s="65" t="str">
        <f>CONCATENATE("Total Tax Levy Amount in ",J1-1," Budget")</f>
        <v>Total Tax Levy Amount in 2013 Budget</v>
      </c>
      <c r="C5" s="65"/>
      <c r="D5" s="65"/>
      <c r="E5" s="89"/>
      <c r="F5" s="89"/>
      <c r="G5" s="89"/>
      <c r="H5" s="206" t="s">
        <v>232</v>
      </c>
      <c r="I5" s="89" t="s">
        <v>233</v>
      </c>
      <c r="J5" s="207">
        <f>inputPrYr!E25</f>
        <v>47467</v>
      </c>
    </row>
    <row r="6" spans="1:10" ht="15.75">
      <c r="A6" s="205" t="s">
        <v>234</v>
      </c>
      <c r="B6" s="65" t="str">
        <f>CONCATENATE("Debt Service Levy in ",J1-1," Budget")</f>
        <v>Debt Service Levy in 2013 Budget</v>
      </c>
      <c r="C6" s="65"/>
      <c r="D6" s="65"/>
      <c r="E6" s="89"/>
      <c r="F6" s="89"/>
      <c r="G6" s="89"/>
      <c r="H6" s="206" t="s">
        <v>235</v>
      </c>
      <c r="I6" s="89" t="s">
        <v>233</v>
      </c>
      <c r="J6" s="208">
        <f>inputPrYr!$E$18</f>
        <v>0</v>
      </c>
    </row>
    <row r="7" spans="1:10" ht="15.75">
      <c r="A7" s="205" t="s">
        <v>257</v>
      </c>
      <c r="B7" s="82" t="s">
        <v>261</v>
      </c>
      <c r="C7" s="65"/>
      <c r="D7" s="65"/>
      <c r="E7" s="89"/>
      <c r="F7" s="89"/>
      <c r="G7" s="89"/>
      <c r="H7" s="89"/>
      <c r="I7" s="89" t="s">
        <v>233</v>
      </c>
      <c r="J7" s="94">
        <f>J5-J6</f>
        <v>47467</v>
      </c>
    </row>
    <row r="8" spans="1:10" ht="15.75">
      <c r="A8" s="65"/>
      <c r="B8" s="65"/>
      <c r="C8" s="65"/>
      <c r="D8" s="65"/>
      <c r="E8" s="89"/>
      <c r="F8" s="89"/>
      <c r="G8" s="89"/>
      <c r="H8" s="89"/>
      <c r="I8" s="89"/>
      <c r="J8" s="89"/>
    </row>
    <row r="9" spans="1:10" ht="15.75">
      <c r="A9" s="65"/>
      <c r="B9" s="82" t="str">
        <f>CONCATENATE(J1-1," Valuation Information for Valuation Adjustments:")</f>
        <v>2013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236</v>
      </c>
      <c r="B11" s="82" t="str">
        <f>CONCATENATE("New Improvements for ",J1-1," :")</f>
        <v>New Improvements for 2013 :</v>
      </c>
      <c r="C11" s="65"/>
      <c r="D11" s="65"/>
      <c r="E11" s="206"/>
      <c r="F11" s="206" t="s">
        <v>232</v>
      </c>
      <c r="G11" s="207">
        <f>inputOth!E8</f>
        <v>202</v>
      </c>
      <c r="H11" s="209"/>
      <c r="I11" s="89"/>
      <c r="J11" s="89"/>
    </row>
    <row r="12" spans="1:10" ht="15.75">
      <c r="A12" s="205"/>
      <c r="B12" s="210"/>
      <c r="C12" s="65"/>
      <c r="D12" s="65"/>
      <c r="E12" s="206"/>
      <c r="F12" s="206"/>
      <c r="G12" s="209"/>
      <c r="H12" s="209"/>
      <c r="I12" s="89"/>
      <c r="J12" s="89"/>
    </row>
    <row r="13" spans="1:10" ht="15.75">
      <c r="A13" s="205" t="s">
        <v>237</v>
      </c>
      <c r="B13" s="82" t="str">
        <f>CONCATENATE("Increase in Personal Property for ",J1-1," :")</f>
        <v>Increase in Personal Property for 2013 :</v>
      </c>
      <c r="C13" s="65"/>
      <c r="D13" s="65"/>
      <c r="E13" s="206"/>
      <c r="F13" s="206"/>
      <c r="G13" s="209"/>
      <c r="H13" s="209"/>
      <c r="I13" s="89"/>
      <c r="J13" s="89"/>
    </row>
    <row r="14" spans="1:10" ht="15.75">
      <c r="A14" s="211"/>
      <c r="B14" s="65" t="s">
        <v>238</v>
      </c>
      <c r="C14" s="65" t="str">
        <f>CONCATENATE("Personal Property ",J1-1)</f>
        <v>Personal Property 2013</v>
      </c>
      <c r="D14" s="210" t="s">
        <v>232</v>
      </c>
      <c r="E14" s="207">
        <f>inputOth!E9</f>
        <v>49619</v>
      </c>
      <c r="F14" s="206"/>
      <c r="G14" s="89"/>
      <c r="H14" s="89"/>
      <c r="I14" s="209"/>
      <c r="J14" s="89"/>
    </row>
    <row r="15" spans="1:10" ht="15.75">
      <c r="A15" s="210"/>
      <c r="B15" s="65" t="s">
        <v>239</v>
      </c>
      <c r="C15" s="65" t="str">
        <f>CONCATENATE("Personal Property ",J1-2)</f>
        <v>Personal Property 2012</v>
      </c>
      <c r="D15" s="210" t="s">
        <v>235</v>
      </c>
      <c r="E15" s="94">
        <f>inputOth!E15</f>
        <v>54579</v>
      </c>
      <c r="F15" s="206"/>
      <c r="G15" s="209"/>
      <c r="H15" s="209"/>
      <c r="I15" s="89"/>
      <c r="J15" s="89"/>
    </row>
    <row r="16" spans="1:10" ht="15.75">
      <c r="A16" s="210"/>
      <c r="B16" s="65" t="s">
        <v>240</v>
      </c>
      <c r="C16" s="65" t="s">
        <v>262</v>
      </c>
      <c r="D16" s="65"/>
      <c r="E16" s="89"/>
      <c r="F16" s="89" t="s">
        <v>232</v>
      </c>
      <c r="G16" s="207">
        <f>IF(E14&gt;E15,E14-E15,0)</f>
        <v>0</v>
      </c>
      <c r="H16" s="209"/>
      <c r="I16" s="89"/>
      <c r="J16" s="89"/>
    </row>
    <row r="17" spans="1:10" ht="15.75">
      <c r="A17" s="210"/>
      <c r="B17" s="210"/>
      <c r="C17" s="65"/>
      <c r="D17" s="65"/>
      <c r="E17" s="89"/>
      <c r="F17" s="89"/>
      <c r="G17" s="209" t="s">
        <v>253</v>
      </c>
      <c r="H17" s="209"/>
      <c r="I17" s="89"/>
      <c r="J17" s="89"/>
    </row>
    <row r="18" spans="1:10" ht="15.75">
      <c r="A18" s="210" t="s">
        <v>241</v>
      </c>
      <c r="B18" s="82" t="str">
        <f>CONCATENATE("Valuation of annexed territory for ",J1-1," :")</f>
        <v>Valuation of annexed territory for 2013 :</v>
      </c>
      <c r="C18" s="65"/>
      <c r="D18" s="65"/>
      <c r="E18" s="209"/>
      <c r="F18" s="89"/>
      <c r="G18" s="89"/>
      <c r="H18" s="89"/>
      <c r="I18" s="89"/>
      <c r="J18" s="89"/>
    </row>
    <row r="19" spans="1:10" ht="15.75">
      <c r="A19" s="210"/>
      <c r="B19" s="65" t="s">
        <v>242</v>
      </c>
      <c r="C19" s="65" t="s">
        <v>263</v>
      </c>
      <c r="D19" s="210" t="s">
        <v>232</v>
      </c>
      <c r="E19" s="207">
        <f>inputOth!E11</f>
        <v>0</v>
      </c>
      <c r="F19" s="89"/>
      <c r="G19" s="89"/>
      <c r="H19" s="89"/>
      <c r="I19" s="89"/>
      <c r="J19" s="89"/>
    </row>
    <row r="20" spans="1:10" ht="15.75">
      <c r="A20" s="210"/>
      <c r="B20" s="65" t="s">
        <v>243</v>
      </c>
      <c r="C20" s="65" t="s">
        <v>264</v>
      </c>
      <c r="D20" s="210" t="s">
        <v>232</v>
      </c>
      <c r="E20" s="94">
        <f>inputOth!E12</f>
        <v>0</v>
      </c>
      <c r="F20" s="89"/>
      <c r="G20" s="209"/>
      <c r="H20" s="209"/>
      <c r="I20" s="89"/>
      <c r="J20" s="89"/>
    </row>
    <row r="21" spans="1:10" ht="15.75">
      <c r="A21" s="210"/>
      <c r="B21" s="65" t="s">
        <v>244</v>
      </c>
      <c r="C21" s="65" t="s">
        <v>265</v>
      </c>
      <c r="D21" s="210" t="s">
        <v>235</v>
      </c>
      <c r="E21" s="94">
        <f>inputOth!E13</f>
        <v>0</v>
      </c>
      <c r="F21" s="89"/>
      <c r="G21" s="209"/>
      <c r="H21" s="209"/>
      <c r="I21" s="89"/>
      <c r="J21" s="89"/>
    </row>
    <row r="22" spans="1:10" ht="15.75">
      <c r="A22" s="210"/>
      <c r="B22" s="65" t="s">
        <v>245</v>
      </c>
      <c r="C22" s="65" t="s">
        <v>266</v>
      </c>
      <c r="D22" s="210"/>
      <c r="E22" s="209"/>
      <c r="F22" s="89" t="s">
        <v>232</v>
      </c>
      <c r="G22" s="207">
        <f>E19+E20-E21</f>
        <v>0</v>
      </c>
      <c r="H22" s="209"/>
      <c r="I22" s="89"/>
      <c r="J22" s="89"/>
    </row>
    <row r="23" spans="1:10" ht="15.75">
      <c r="A23" s="210"/>
      <c r="B23" s="210"/>
      <c r="C23" s="65"/>
      <c r="D23" s="210"/>
      <c r="E23" s="209"/>
      <c r="F23" s="89"/>
      <c r="G23" s="209"/>
      <c r="H23" s="209"/>
      <c r="I23" s="89"/>
      <c r="J23" s="89"/>
    </row>
    <row r="24" spans="1:10" ht="15.75">
      <c r="A24" s="210" t="s">
        <v>246</v>
      </c>
      <c r="B24" s="82" t="str">
        <f>CONCATENATE("Valuation of Property that has Changed in Use during ",J1-1," :")</f>
        <v>Valuation of Property that has Changed in Use during 2013 :</v>
      </c>
      <c r="C24" s="65"/>
      <c r="D24" s="65"/>
      <c r="E24" s="89"/>
      <c r="F24" s="206" t="s">
        <v>232</v>
      </c>
      <c r="G24" s="207">
        <f>inputOth!E14</f>
        <v>582</v>
      </c>
      <c r="H24" s="89"/>
      <c r="I24" s="89"/>
      <c r="J24" s="89"/>
    </row>
    <row r="25" spans="1:10" ht="15.75">
      <c r="A25" s="65" t="s">
        <v>141</v>
      </c>
      <c r="B25" s="65"/>
      <c r="C25" s="65"/>
      <c r="D25" s="210"/>
      <c r="E25" s="209"/>
      <c r="F25" s="89"/>
      <c r="G25" s="89"/>
      <c r="H25" s="89"/>
      <c r="I25" s="89"/>
      <c r="J25" s="89"/>
    </row>
    <row r="26" spans="1:10" ht="15.75">
      <c r="A26" s="210" t="s">
        <v>247</v>
      </c>
      <c r="B26" s="82" t="s">
        <v>267</v>
      </c>
      <c r="C26" s="65"/>
      <c r="D26" s="65"/>
      <c r="E26" s="89"/>
      <c r="F26" s="89"/>
      <c r="G26" s="207">
        <f>G11+G16+G22+G24</f>
        <v>784</v>
      </c>
      <c r="H26" s="209"/>
      <c r="I26" s="89"/>
      <c r="J26" s="89"/>
    </row>
    <row r="27" spans="1:10" ht="15.75">
      <c r="A27" s="210"/>
      <c r="B27" s="210"/>
      <c r="C27" s="82"/>
      <c r="D27" s="65"/>
      <c r="E27" s="89"/>
      <c r="F27" s="89"/>
      <c r="G27" s="209"/>
      <c r="H27" s="209"/>
      <c r="I27" s="89"/>
      <c r="J27" s="89"/>
    </row>
    <row r="28" spans="1:10" ht="15.75">
      <c r="A28" s="210" t="s">
        <v>248</v>
      </c>
      <c r="B28" s="65" t="str">
        <f>CONCATENATE("Total Estimated Valuation July 1, ",J1-1)</f>
        <v>Total Estimated Valuation July 1, 2013</v>
      </c>
      <c r="C28" s="65"/>
      <c r="D28" s="65"/>
      <c r="E28" s="207">
        <f>inputOth!E7</f>
        <v>895803</v>
      </c>
      <c r="F28" s="89"/>
      <c r="G28" s="89"/>
      <c r="H28" s="89"/>
      <c r="I28" s="206"/>
      <c r="J28" s="89"/>
    </row>
    <row r="29" spans="1:10" ht="15.75">
      <c r="A29" s="210"/>
      <c r="B29" s="210"/>
      <c r="C29" s="65"/>
      <c r="D29" s="65"/>
      <c r="E29" s="209"/>
      <c r="F29" s="89"/>
      <c r="G29" s="89"/>
      <c r="H29" s="89"/>
      <c r="I29" s="206"/>
      <c r="J29" s="89"/>
    </row>
    <row r="30" spans="1:10" ht="15.75">
      <c r="A30" s="210" t="s">
        <v>249</v>
      </c>
      <c r="B30" s="82" t="s">
        <v>268</v>
      </c>
      <c r="C30" s="65"/>
      <c r="D30" s="65"/>
      <c r="E30" s="89"/>
      <c r="F30" s="89"/>
      <c r="G30" s="207">
        <f>E28-G26</f>
        <v>895019</v>
      </c>
      <c r="H30" s="209"/>
      <c r="I30" s="206"/>
      <c r="J30" s="89"/>
    </row>
    <row r="31" spans="1:10" ht="15.75">
      <c r="A31" s="210"/>
      <c r="B31" s="210"/>
      <c r="C31" s="82"/>
      <c r="D31" s="65"/>
      <c r="E31" s="89"/>
      <c r="F31" s="89"/>
      <c r="G31" s="212"/>
      <c r="H31" s="209"/>
      <c r="I31" s="206"/>
      <c r="J31" s="89"/>
    </row>
    <row r="32" spans="1:10" ht="15.75">
      <c r="A32" s="210" t="s">
        <v>250</v>
      </c>
      <c r="B32" s="65" t="s">
        <v>269</v>
      </c>
      <c r="C32" s="65"/>
      <c r="D32" s="65"/>
      <c r="E32" s="65"/>
      <c r="F32" s="65"/>
      <c r="G32" s="213">
        <f>IF(G26&gt;0,G26/G30,0)</f>
        <v>0.0008759590578524031</v>
      </c>
      <c r="H32" s="97"/>
      <c r="I32" s="65"/>
      <c r="J32" s="65"/>
    </row>
    <row r="33" spans="1:10" ht="15.75">
      <c r="A33" s="210"/>
      <c r="B33" s="210"/>
      <c r="C33" s="65"/>
      <c r="D33" s="65"/>
      <c r="E33" s="65"/>
      <c r="F33" s="65"/>
      <c r="G33" s="97"/>
      <c r="H33" s="97"/>
      <c r="I33" s="65"/>
      <c r="J33" s="65"/>
    </row>
    <row r="34" spans="1:10" ht="15.75">
      <c r="A34" s="210" t="s">
        <v>251</v>
      </c>
      <c r="B34" s="65" t="s">
        <v>270</v>
      </c>
      <c r="C34" s="65"/>
      <c r="D34" s="65"/>
      <c r="E34" s="65"/>
      <c r="F34" s="65"/>
      <c r="G34" s="97"/>
      <c r="H34" s="214" t="s">
        <v>232</v>
      </c>
      <c r="I34" s="65" t="s">
        <v>233</v>
      </c>
      <c r="J34" s="207">
        <f>ROUND(G32*J7,0)</f>
        <v>42</v>
      </c>
    </row>
    <row r="35" spans="1:10" ht="15.75">
      <c r="A35" s="210"/>
      <c r="B35" s="210"/>
      <c r="C35" s="65"/>
      <c r="D35" s="65"/>
      <c r="E35" s="65"/>
      <c r="F35" s="65"/>
      <c r="G35" s="97"/>
      <c r="H35" s="214"/>
      <c r="I35" s="65"/>
      <c r="J35" s="209"/>
    </row>
    <row r="36" spans="1:10" ht="16.5" thickBot="1">
      <c r="A36" s="210" t="s">
        <v>252</v>
      </c>
      <c r="B36" s="82" t="s">
        <v>276</v>
      </c>
      <c r="C36" s="65"/>
      <c r="D36" s="65"/>
      <c r="E36" s="65"/>
      <c r="F36" s="65"/>
      <c r="G36" s="65"/>
      <c r="H36" s="65"/>
      <c r="I36" s="65" t="s">
        <v>233</v>
      </c>
      <c r="J36" s="215">
        <f>J7+J34</f>
        <v>47509</v>
      </c>
    </row>
    <row r="37" spans="1:10" ht="16.5" thickTop="1">
      <c r="A37" s="65"/>
      <c r="B37" s="65"/>
      <c r="C37" s="65"/>
      <c r="D37" s="65"/>
      <c r="E37" s="65"/>
      <c r="F37" s="65"/>
      <c r="G37" s="65"/>
      <c r="H37" s="65"/>
      <c r="I37" s="65"/>
      <c r="J37" s="209"/>
    </row>
    <row r="38" spans="1:10" ht="15.75">
      <c r="A38" s="210" t="s">
        <v>274</v>
      </c>
      <c r="B38" s="82" t="str">
        <f>CONCATENATE("Debt Service Levy in this ",J1," Budget")</f>
        <v>Debt Service Levy in this 2014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275</v>
      </c>
      <c r="B40" s="82" t="s">
        <v>277</v>
      </c>
      <c r="C40" s="65"/>
      <c r="D40" s="65"/>
      <c r="E40" s="65"/>
      <c r="F40" s="65"/>
      <c r="G40" s="65"/>
      <c r="H40" s="65"/>
      <c r="I40" s="65"/>
      <c r="J40" s="215">
        <f>J36+J38</f>
        <v>47509</v>
      </c>
    </row>
    <row r="41" spans="1:10" ht="19.5" thickTop="1">
      <c r="A41" s="765"/>
      <c r="B41" s="765"/>
      <c r="C41" s="765"/>
      <c r="D41" s="765"/>
      <c r="E41" s="765"/>
      <c r="F41" s="765"/>
      <c r="G41" s="765"/>
      <c r="H41" s="765"/>
      <c r="I41" s="765"/>
      <c r="J41" s="765"/>
    </row>
    <row r="42" spans="1:10" s="217" customFormat="1" ht="18.75">
      <c r="A42" s="765" t="str">
        <f>CONCATENATE("If the ",J1," budget includes tax levies exceeding the total on line 15, you must")</f>
        <v>If the 2014 budget includes tax levies exceeding the total on line 15, you must</v>
      </c>
      <c r="B42" s="765"/>
      <c r="C42" s="765"/>
      <c r="D42" s="765"/>
      <c r="E42" s="765"/>
      <c r="F42" s="765"/>
      <c r="G42" s="765"/>
      <c r="H42" s="765"/>
      <c r="I42" s="765"/>
      <c r="J42" s="765"/>
    </row>
    <row r="43" spans="1:10" s="217" customFormat="1" ht="18.75">
      <c r="A43" s="765" t="s">
        <v>3</v>
      </c>
      <c r="B43" s="765"/>
      <c r="C43" s="765"/>
      <c r="D43" s="765"/>
      <c r="E43" s="765"/>
      <c r="F43" s="765"/>
      <c r="G43" s="765"/>
      <c r="H43" s="765"/>
      <c r="I43" s="765"/>
      <c r="J43" s="765"/>
    </row>
    <row r="44" spans="1:10" ht="15.75" customHeight="1">
      <c r="A44" s="764" t="s">
        <v>4</v>
      </c>
      <c r="B44" s="764"/>
      <c r="C44" s="764"/>
      <c r="D44" s="764"/>
      <c r="E44" s="764"/>
      <c r="F44" s="764"/>
      <c r="G44" s="764"/>
      <c r="H44" s="764"/>
      <c r="I44" s="764"/>
      <c r="J44" s="76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Beattie</v>
      </c>
      <c r="C2" s="65"/>
      <c r="D2" s="65"/>
      <c r="E2" s="65"/>
      <c r="F2" s="219"/>
      <c r="G2" s="162"/>
    </row>
    <row r="3" spans="1:7" ht="15" customHeight="1">
      <c r="A3" s="65"/>
      <c r="B3" s="65"/>
      <c r="C3" s="65"/>
      <c r="D3" s="65"/>
      <c r="E3" s="65"/>
      <c r="F3" s="65"/>
      <c r="G3" s="162">
        <f>inputPrYr!$C$5</f>
        <v>2014</v>
      </c>
    </row>
    <row r="4" spans="1:7" ht="20.25" customHeight="1">
      <c r="A4" s="65"/>
      <c r="B4" s="766" t="s">
        <v>822</v>
      </c>
      <c r="C4" s="766"/>
      <c r="D4" s="766"/>
      <c r="E4" s="766"/>
      <c r="F4" s="766"/>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823</v>
      </c>
      <c r="C7" s="175" t="s">
        <v>824</v>
      </c>
      <c r="D7" s="768" t="str">
        <f>CONCATENATE("Allocation for Proposed Year ",G3,"")</f>
        <v>Allocation for Proposed Year 2014</v>
      </c>
      <c r="E7" s="769"/>
      <c r="F7" s="770"/>
      <c r="G7" s="65"/>
    </row>
    <row r="8" spans="1:7" ht="23.25" customHeight="1">
      <c r="A8" s="65"/>
      <c r="B8" s="221" t="str">
        <f>CONCATENATE("for ",G3-1,"")</f>
        <v>for 2013</v>
      </c>
      <c r="C8" s="221" t="str">
        <f>CONCATENATE("Amount for ",G3-2,"")</f>
        <v>Amount for 2012</v>
      </c>
      <c r="D8" s="178" t="s">
        <v>229</v>
      </c>
      <c r="E8" s="178" t="s">
        <v>228</v>
      </c>
      <c r="F8" s="181" t="s">
        <v>227</v>
      </c>
      <c r="G8" s="635"/>
    </row>
    <row r="9" spans="1:7" ht="15" customHeight="1">
      <c r="A9" s="65"/>
      <c r="B9" s="86" t="s">
        <v>131</v>
      </c>
      <c r="C9" s="222">
        <f>IF((inputPrYr!E17)&gt;0,(inputPrYr!E17),"  ")</f>
        <v>47467</v>
      </c>
      <c r="D9" s="222">
        <f>IF(inputPrYr!E17&gt;0,D18-SUM(D10:D15),0)</f>
        <v>13173</v>
      </c>
      <c r="E9" s="222">
        <f>IF(inputPrYr!E17=0,0,E20-SUM(E10:E15))</f>
        <v>184</v>
      </c>
      <c r="F9" s="222">
        <f>IF(inputPrYr!E17=0,0,F22-SUM(F10:F15))</f>
        <v>667</v>
      </c>
      <c r="G9" s="63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3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3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3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3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3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36"/>
    </row>
    <row r="16" spans="1:7" ht="16.5" customHeight="1" thickBot="1">
      <c r="A16" s="65"/>
      <c r="B16" s="87" t="s">
        <v>159</v>
      </c>
      <c r="C16" s="223">
        <f>SUM(C9:C15)</f>
        <v>47467</v>
      </c>
      <c r="D16" s="223">
        <f>SUM(D9:D15)</f>
        <v>13173</v>
      </c>
      <c r="E16" s="223">
        <f>SUM(E9:E15)</f>
        <v>184</v>
      </c>
      <c r="F16" s="223">
        <f>SUM(F9:F15)</f>
        <v>667</v>
      </c>
      <c r="G16" s="636"/>
    </row>
    <row r="17" spans="1:7" ht="15" customHeight="1" thickTop="1">
      <c r="A17" s="65"/>
      <c r="B17" s="65"/>
      <c r="C17" s="65"/>
      <c r="D17" s="65"/>
      <c r="E17" s="65"/>
      <c r="F17" s="65"/>
      <c r="G17" s="65"/>
    </row>
    <row r="18" spans="1:7" ht="15" customHeight="1">
      <c r="A18" s="65"/>
      <c r="B18" s="70" t="s">
        <v>160</v>
      </c>
      <c r="C18" s="224"/>
      <c r="D18" s="207">
        <f>(inputOth!E33)</f>
        <v>13173</v>
      </c>
      <c r="E18" s="224"/>
      <c r="F18" s="65"/>
      <c r="G18" s="65"/>
    </row>
    <row r="19" spans="1:7" ht="15" customHeight="1">
      <c r="A19" s="65"/>
      <c r="B19" s="65"/>
      <c r="C19" s="65"/>
      <c r="D19" s="65"/>
      <c r="E19" s="65"/>
      <c r="F19" s="65"/>
      <c r="G19" s="65"/>
    </row>
    <row r="20" spans="1:7" ht="15" customHeight="1">
      <c r="A20" s="65"/>
      <c r="B20" s="70" t="s">
        <v>161</v>
      </c>
      <c r="C20" s="65"/>
      <c r="D20" s="65"/>
      <c r="E20" s="207">
        <f>(inputOth!E34)</f>
        <v>184</v>
      </c>
      <c r="F20" s="65"/>
      <c r="G20" s="65"/>
    </row>
    <row r="21" spans="1:7" ht="15" customHeight="1">
      <c r="A21" s="65"/>
      <c r="B21" s="65"/>
      <c r="C21" s="65"/>
      <c r="D21" s="65"/>
      <c r="E21" s="65"/>
      <c r="F21" s="65"/>
      <c r="G21" s="65"/>
    </row>
    <row r="22" spans="1:7" ht="15" customHeight="1">
      <c r="A22" s="65"/>
      <c r="B22" s="70" t="s">
        <v>226</v>
      </c>
      <c r="C22" s="65"/>
      <c r="D22" s="65"/>
      <c r="E22" s="65"/>
      <c r="F22" s="207">
        <f>inputOth!E35</f>
        <v>667</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0.2775191185455158</v>
      </c>
      <c r="E26" s="65"/>
      <c r="F26" s="65"/>
      <c r="G26" s="65"/>
    </row>
    <row r="27" spans="1:7" ht="15" customHeight="1">
      <c r="A27" s="65"/>
      <c r="B27" s="65"/>
      <c r="C27" s="65"/>
      <c r="D27" s="65"/>
      <c r="E27" s="65"/>
      <c r="F27" s="65"/>
      <c r="G27" s="65"/>
    </row>
    <row r="28" spans="1:7" ht="15" customHeight="1">
      <c r="A28" s="65"/>
      <c r="B28" s="70"/>
      <c r="C28" s="70" t="s">
        <v>163</v>
      </c>
      <c r="D28" s="65"/>
      <c r="E28" s="213">
        <f>IF(C16=0,0,E20/C16)</f>
        <v>0.0038763772726315123</v>
      </c>
      <c r="F28" s="65"/>
      <c r="G28" s="65"/>
    </row>
    <row r="29" spans="1:7" ht="15" customHeight="1">
      <c r="A29" s="65"/>
      <c r="B29" s="65"/>
      <c r="C29" s="65"/>
      <c r="D29" s="65"/>
      <c r="E29" s="65"/>
      <c r="F29" s="65"/>
      <c r="G29" s="65"/>
    </row>
    <row r="30" spans="1:7" ht="15" customHeight="1">
      <c r="A30" s="65"/>
      <c r="B30" s="65"/>
      <c r="C30" s="65"/>
      <c r="D30" s="65" t="s">
        <v>225</v>
      </c>
      <c r="E30" s="65"/>
      <c r="F30" s="213">
        <f>IF(C16=0,0,F22/C16)</f>
        <v>0.014051867613289233</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0" sqref="A10"/>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Beattie</v>
      </c>
      <c r="B1" s="65"/>
      <c r="C1" s="65"/>
      <c r="D1" s="65"/>
      <c r="E1" s="65"/>
      <c r="F1" s="65">
        <f>inputPrYr!C5</f>
        <v>2014</v>
      </c>
    </row>
    <row r="2" spans="1:6" ht="15.75">
      <c r="A2" s="65"/>
      <c r="B2" s="65"/>
      <c r="C2" s="65"/>
      <c r="D2" s="65"/>
      <c r="E2" s="65"/>
      <c r="F2" s="65"/>
    </row>
    <row r="3" spans="1:6" ht="15.75">
      <c r="A3" s="767" t="s">
        <v>284</v>
      </c>
      <c r="B3" s="767"/>
      <c r="C3" s="767"/>
      <c r="D3" s="767"/>
      <c r="E3" s="767"/>
      <c r="F3" s="767"/>
    </row>
    <row r="4" spans="1:6" ht="15.75">
      <c r="A4" s="226"/>
      <c r="B4" s="226"/>
      <c r="C4" s="226"/>
      <c r="D4" s="226"/>
      <c r="E4" s="226"/>
      <c r="F4" s="226"/>
    </row>
    <row r="5" spans="1:6" ht="15.75">
      <c r="A5" s="227" t="s">
        <v>636</v>
      </c>
      <c r="B5" s="227" t="s">
        <v>638</v>
      </c>
      <c r="C5" s="227" t="s">
        <v>178</v>
      </c>
      <c r="D5" s="227" t="s">
        <v>303</v>
      </c>
      <c r="E5" s="227" t="s">
        <v>304</v>
      </c>
      <c r="F5" s="227" t="s">
        <v>316</v>
      </c>
    </row>
    <row r="6" spans="1:6" ht="15.75">
      <c r="A6" s="228" t="s">
        <v>635</v>
      </c>
      <c r="B6" s="228" t="s">
        <v>637</v>
      </c>
      <c r="C6" s="228" t="s">
        <v>315</v>
      </c>
      <c r="D6" s="228" t="s">
        <v>315</v>
      </c>
      <c r="E6" s="228" t="s">
        <v>315</v>
      </c>
      <c r="F6" s="228" t="s">
        <v>305</v>
      </c>
    </row>
    <row r="7" spans="1:6" ht="15.75">
      <c r="A7" s="229" t="s">
        <v>313</v>
      </c>
      <c r="B7" s="229" t="s">
        <v>314</v>
      </c>
      <c r="C7" s="230">
        <f>F1-2</f>
        <v>2012</v>
      </c>
      <c r="D7" s="230">
        <f>F1-1</f>
        <v>2013</v>
      </c>
      <c r="E7" s="230">
        <f>F1</f>
        <v>2014</v>
      </c>
      <c r="F7" s="229" t="s">
        <v>306</v>
      </c>
    </row>
    <row r="8" spans="1:6" ht="15.75">
      <c r="A8" s="231"/>
      <c r="B8" s="231"/>
      <c r="C8" s="232"/>
      <c r="D8" s="232"/>
      <c r="E8" s="232"/>
      <c r="F8" s="231"/>
    </row>
    <row r="9" spans="1:6" ht="15.75">
      <c r="A9" s="233" t="s">
        <v>993</v>
      </c>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634</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4" t="s">
        <v>639</v>
      </c>
      <c r="B18" s="403" t="str">
        <f>CONCATENATE("Adjustments are required only if the transfer is being made in ",D7," and/or ",E7," from a non-budgeted fund.")</f>
        <v>Adjustments are required only if the transfer is being made in 2013 and/or 2014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0" zoomScaleNormal="70" zoomScalePageLayoutView="0" workbookViewId="0" topLeftCell="E12">
      <selection activeCell="E31" sqref="E31"/>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Beattie</v>
      </c>
      <c r="C1" s="65"/>
      <c r="D1" s="65"/>
      <c r="E1" s="65"/>
      <c r="F1" s="65"/>
      <c r="G1" s="65"/>
      <c r="H1" s="65"/>
      <c r="I1" s="65"/>
      <c r="J1" s="65"/>
      <c r="K1" s="65"/>
      <c r="L1" s="65"/>
      <c r="M1" s="162">
        <f>inputPrYr!$C$5</f>
        <v>2014</v>
      </c>
    </row>
    <row r="2" spans="2:13" ht="15.75">
      <c r="B2" s="202"/>
      <c r="C2" s="65"/>
      <c r="D2" s="65"/>
      <c r="E2" s="65"/>
      <c r="F2" s="65"/>
      <c r="G2" s="65"/>
      <c r="H2" s="65"/>
      <c r="I2" s="65"/>
      <c r="J2" s="65"/>
      <c r="K2" s="65"/>
      <c r="L2" s="65"/>
      <c r="M2" s="219"/>
    </row>
    <row r="3" spans="2:13" ht="15.75">
      <c r="B3" s="240" t="s">
        <v>223</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194</v>
      </c>
      <c r="D5" s="220" t="s">
        <v>194</v>
      </c>
      <c r="E5" s="220" t="s">
        <v>208</v>
      </c>
      <c r="F5" s="220"/>
      <c r="G5" s="220" t="s">
        <v>649</v>
      </c>
      <c r="H5" s="65"/>
      <c r="I5" s="65"/>
      <c r="J5" s="242" t="s">
        <v>195</v>
      </c>
      <c r="K5" s="243"/>
      <c r="L5" s="242" t="s">
        <v>195</v>
      </c>
      <c r="M5" s="243"/>
    </row>
    <row r="6" spans="2:13" ht="15.75">
      <c r="B6" s="244" t="s">
        <v>915</v>
      </c>
      <c r="C6" s="244" t="s">
        <v>196</v>
      </c>
      <c r="D6" s="244" t="s">
        <v>317</v>
      </c>
      <c r="E6" s="244" t="s">
        <v>197</v>
      </c>
      <c r="F6" s="244" t="s">
        <v>157</v>
      </c>
      <c r="G6" s="244" t="s">
        <v>285</v>
      </c>
      <c r="H6" s="771" t="s">
        <v>198</v>
      </c>
      <c r="I6" s="772"/>
      <c r="J6" s="771">
        <f>inputPrYr!$C$5-1</f>
        <v>2013</v>
      </c>
      <c r="K6" s="774"/>
      <c r="L6" s="773">
        <f>inputPrYr!$C$5</f>
        <v>2014</v>
      </c>
      <c r="M6" s="774"/>
    </row>
    <row r="7" spans="2:13" ht="15.75">
      <c r="B7" s="247" t="s">
        <v>914</v>
      </c>
      <c r="C7" s="247" t="s">
        <v>199</v>
      </c>
      <c r="D7" s="247" t="s">
        <v>318</v>
      </c>
      <c r="E7" s="247" t="s">
        <v>176</v>
      </c>
      <c r="F7" s="247" t="s">
        <v>200</v>
      </c>
      <c r="G7" s="245" t="str">
        <f>CONCATENATE("Jan 1,",M1-1,"")</f>
        <v>Jan 1,2013</v>
      </c>
      <c r="H7" s="188" t="s">
        <v>208</v>
      </c>
      <c r="I7" s="188" t="s">
        <v>210</v>
      </c>
      <c r="J7" s="188" t="s">
        <v>208</v>
      </c>
      <c r="K7" s="188" t="s">
        <v>210</v>
      </c>
      <c r="L7" s="188" t="s">
        <v>208</v>
      </c>
      <c r="M7" s="188" t="s">
        <v>210</v>
      </c>
    </row>
    <row r="8" spans="2:13" ht="15.75">
      <c r="B8" s="246" t="s">
        <v>201</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202</v>
      </c>
      <c r="C15" s="254"/>
      <c r="D15" s="254"/>
      <c r="E15" s="255"/>
      <c r="F15" s="256"/>
      <c r="G15" s="257">
        <f>SUM(G9:G14)</f>
        <v>0</v>
      </c>
      <c r="H15" s="258"/>
      <c r="I15" s="258"/>
      <c r="J15" s="257">
        <f>SUM(J9:J14)</f>
        <v>0</v>
      </c>
      <c r="K15" s="257">
        <f>SUM(K9:K14)</f>
        <v>0</v>
      </c>
      <c r="L15" s="257">
        <f>SUM(L9:L14)</f>
        <v>0</v>
      </c>
      <c r="M15" s="257">
        <f>SUM(M9:M14)</f>
        <v>0</v>
      </c>
    </row>
    <row r="16" spans="2:13" ht="15.75">
      <c r="B16" s="188" t="s">
        <v>203</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204</v>
      </c>
      <c r="C22" s="254"/>
      <c r="D22" s="254"/>
      <c r="E22" s="262"/>
      <c r="F22" s="256"/>
      <c r="G22" s="263">
        <f>SUM(G17:G21)</f>
        <v>0</v>
      </c>
      <c r="H22" s="258"/>
      <c r="I22" s="258"/>
      <c r="J22" s="263">
        <f>SUM(J17:J21)</f>
        <v>0</v>
      </c>
      <c r="K22" s="263">
        <f>SUM(K17:K21)</f>
        <v>0</v>
      </c>
      <c r="L22" s="257">
        <f>SUM(L17:L21)</f>
        <v>0</v>
      </c>
      <c r="M22" s="263">
        <f>SUM(M17:M21)</f>
        <v>0</v>
      </c>
    </row>
    <row r="23" spans="2:13" ht="15.75">
      <c r="B23" s="188" t="s">
        <v>205</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t="s">
        <v>991</v>
      </c>
      <c r="C25" s="405">
        <v>39790</v>
      </c>
      <c r="D25" s="272"/>
      <c r="E25" s="250">
        <v>2.4</v>
      </c>
      <c r="F25" s="251">
        <v>215763</v>
      </c>
      <c r="G25" s="252">
        <f>177656-8099-8315+1</f>
        <v>161243</v>
      </c>
      <c r="H25" s="253" t="s">
        <v>810</v>
      </c>
      <c r="I25" s="253" t="s">
        <v>810</v>
      </c>
      <c r="J25" s="252">
        <v>2137</v>
      </c>
      <c r="K25" s="252">
        <v>4240</v>
      </c>
      <c r="L25" s="252">
        <f>1832+191</f>
        <v>2023</v>
      </c>
      <c r="M25" s="252">
        <v>4353</v>
      </c>
    </row>
    <row r="26" spans="2:13" ht="15.75">
      <c r="B26" s="249"/>
      <c r="C26" s="272"/>
      <c r="D26" s="272"/>
      <c r="E26" s="250"/>
      <c r="F26" s="251"/>
      <c r="G26" s="252"/>
      <c r="H26" s="253" t="s">
        <v>992</v>
      </c>
      <c r="I26" s="253" t="s">
        <v>992</v>
      </c>
      <c r="J26" s="252">
        <v>2080</v>
      </c>
      <c r="K26" s="252">
        <v>4296</v>
      </c>
      <c r="L26" s="252">
        <f>1780+185</f>
        <v>1965</v>
      </c>
      <c r="M26" s="252">
        <v>4411</v>
      </c>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292</v>
      </c>
      <c r="C30" s="235"/>
      <c r="D30" s="235"/>
      <c r="E30" s="262"/>
      <c r="F30" s="256"/>
      <c r="G30" s="263">
        <f>SUM(G24:G29)</f>
        <v>161243</v>
      </c>
      <c r="H30" s="256"/>
      <c r="I30" s="256"/>
      <c r="J30" s="263">
        <f>SUM(J24:J29)</f>
        <v>4217</v>
      </c>
      <c r="K30" s="263">
        <f>SUM(K24:K29)</f>
        <v>8536</v>
      </c>
      <c r="L30" s="263">
        <f>SUM(L24:L29)</f>
        <v>3988</v>
      </c>
      <c r="M30" s="263">
        <f>SUM(M24:M29)</f>
        <v>8764</v>
      </c>
    </row>
    <row r="31" spans="2:13" ht="15.75">
      <c r="B31" s="235" t="s">
        <v>206</v>
      </c>
      <c r="C31" s="235"/>
      <c r="D31" s="235"/>
      <c r="E31" s="235"/>
      <c r="F31" s="256"/>
      <c r="G31" s="263">
        <f>SUM(G15+G22+G30)</f>
        <v>161243</v>
      </c>
      <c r="H31" s="256"/>
      <c r="I31" s="256"/>
      <c r="J31" s="263">
        <f>SUM(J15+J22+J30)</f>
        <v>4217</v>
      </c>
      <c r="K31" s="263">
        <f>SUM(K15+K22+K30)</f>
        <v>8536</v>
      </c>
      <c r="L31" s="263">
        <f>SUM(L15+L22+L30)</f>
        <v>3988</v>
      </c>
      <c r="M31" s="263">
        <f>SUM(M15+M22+M30)</f>
        <v>8764</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 K Brock</cp:lastModifiedBy>
  <cp:lastPrinted>2013-07-08T15:21:45Z</cp:lastPrinted>
  <dcterms:created xsi:type="dcterms:W3CDTF">1998-12-22T16:13:18Z</dcterms:created>
  <dcterms:modified xsi:type="dcterms:W3CDTF">2013-07-08T15:27:11Z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