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workbookProtection lockStructure="1"/>
  <bookViews>
    <workbookView xWindow="-15" yWindow="45" windowWidth="9630" windowHeight="1125" tabRatio="908" activeTab="4"/>
  </bookViews>
  <sheets>
    <sheet name="Instructions" sheetId="1"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6" r:id="rId9"/>
    <sheet name="debt" sheetId="22" r:id="rId10"/>
    <sheet name="lpform" sheetId="23" r:id="rId11"/>
    <sheet name="Library Grant " sheetId="58" r:id="rId12"/>
    <sheet name="general" sheetId="7" r:id="rId13"/>
    <sheet name="GenDetail " sheetId="9" r:id="rId14"/>
    <sheet name="DebtSvs" sheetId="34" r:id="rId15"/>
    <sheet name="Library" sheetId="66" r:id="rId16"/>
    <sheet name="Aquatic Sales Co Infra" sheetId="15" r:id="rId17"/>
    <sheet name="Con Tour Drug Alcohol" sheetId="16" r:id="rId18"/>
    <sheet name="ED EMS Capital" sheetId="17" r:id="rId19"/>
    <sheet name="EMS Library Sales" sheetId="18" r:id="rId20"/>
    <sheet name="Park Ded Rec Programs" sheetId="19" r:id="rId21"/>
    <sheet name="Risk Mgmt Sen Ctr" sheetId="54" r:id="rId22"/>
    <sheet name="Sidewalk Soccer" sheetId="64" r:id="rId23"/>
    <sheet name="Spec Parks Streets" sheetId="63" r:id="rId24"/>
    <sheet name="Ball Pool" sheetId="62" r:id="rId25"/>
    <sheet name="Tiblow TIF Develop" sheetId="61" r:id="rId26"/>
    <sheet name="TIF Increment CID Develop" sheetId="60" r:id="rId27"/>
    <sheet name="Center CID Ctr City Contrib" sheetId="65" r:id="rId28"/>
    <sheet name="Solid Waste Storm" sheetId="35" r:id="rId29"/>
    <sheet name="Waste Water" sheetId="36" r:id="rId30"/>
    <sheet name="Water" sheetId="38" r:id="rId31"/>
    <sheet name="NonBudA" sheetId="39" r:id="rId32"/>
    <sheet name="NonBudFunds" sheetId="45" r:id="rId33"/>
    <sheet name="summ" sheetId="21" r:id="rId34"/>
    <sheet name="nhood" sheetId="44" r:id="rId35"/>
    <sheet name="ordinance" sheetId="33" r:id="rId36"/>
    <sheet name="Tab A" sheetId="47" r:id="rId37"/>
    <sheet name="Tab B" sheetId="48" r:id="rId38"/>
    <sheet name="Tab C" sheetId="49" r:id="rId39"/>
    <sheet name="Tab D" sheetId="53" r:id="rId40"/>
    <sheet name="Tab E" sheetId="51" r:id="rId41"/>
    <sheet name="Mill Rate Computation" sheetId="56" r:id="rId42"/>
    <sheet name="Helpful Links" sheetId="57" r:id="rId43"/>
    <sheet name="legend" sheetId="25" r:id="rId44"/>
  </sheets>
  <definedNames>
    <definedName name="_xlnm.Print_Area" localSheetId="14">DebtSvs!$B$1:$E$91</definedName>
    <definedName name="_xlnm.Print_Area" localSheetId="13">'GenDetail '!$A$1:$D$125</definedName>
    <definedName name="_xlnm.Print_Area" localSheetId="12">general!$B$1:$E$88</definedName>
    <definedName name="_xlnm.Print_Area" localSheetId="1">inputPrYr!$A$1:$E$125</definedName>
    <definedName name="_xlnm.Print_Area" localSheetId="11">'Library Grant '!$A$1:$J$40</definedName>
    <definedName name="_xlnm.Print_Area" localSheetId="10">lpform!$B$1:$I$38</definedName>
    <definedName name="_xlnm.Print_Area" localSheetId="41">'Mill Rate Computation'!$B$4:$K$144</definedName>
    <definedName name="_xlnm.Print_Area" localSheetId="33">summ!$A$1:$H$65</definedName>
  </definedNames>
  <calcPr calcId="125725"/>
</workbook>
</file>

<file path=xl/calcChain.xml><?xml version="1.0" encoding="utf-8"?>
<calcChain xmlns="http://schemas.openxmlformats.org/spreadsheetml/2006/main">
  <c r="D24" i="2"/>
  <c r="B44" i="21" l="1"/>
  <c r="D38" i="32"/>
  <c r="E38"/>
  <c r="C38"/>
  <c r="D10" i="9" l="1"/>
  <c r="C118"/>
  <c r="D118"/>
  <c r="E70" i="7" s="1"/>
  <c r="B118" i="9"/>
  <c r="D77" i="7"/>
  <c r="E77"/>
  <c r="C77"/>
  <c r="D70"/>
  <c r="C70"/>
  <c r="C121" i="9"/>
  <c r="B121"/>
  <c r="C120"/>
  <c r="D120"/>
  <c r="B120"/>
  <c r="E13" i="32"/>
  <c r="D13"/>
  <c r="C13"/>
  <c r="D48" i="3" l="1"/>
  <c r="D47"/>
  <c r="D46"/>
  <c r="D45"/>
  <c r="D44"/>
  <c r="D43"/>
  <c r="D42"/>
  <c r="D41"/>
  <c r="D40"/>
  <c r="D39"/>
  <c r="D38"/>
  <c r="D37"/>
  <c r="D36"/>
  <c r="D35"/>
  <c r="D34"/>
  <c r="D33"/>
  <c r="D32"/>
  <c r="D31"/>
  <c r="D30"/>
  <c r="D29"/>
  <c r="D28"/>
  <c r="D27"/>
  <c r="D26"/>
  <c r="D25"/>
  <c r="D52" i="21"/>
  <c r="B52"/>
  <c r="F19"/>
  <c r="D19"/>
  <c r="B19"/>
  <c r="F18"/>
  <c r="D18"/>
  <c r="B18"/>
  <c r="F43"/>
  <c r="D43"/>
  <c r="B43"/>
  <c r="F42"/>
  <c r="D42"/>
  <c r="B42"/>
  <c r="F41"/>
  <c r="D41"/>
  <c r="B41"/>
  <c r="F40"/>
  <c r="D40"/>
  <c r="B40"/>
  <c r="F39"/>
  <c r="D39"/>
  <c r="B39"/>
  <c r="F38"/>
  <c r="D38"/>
  <c r="B38"/>
  <c r="F37"/>
  <c r="D37"/>
  <c r="B37"/>
  <c r="F36"/>
  <c r="D36"/>
  <c r="B36"/>
  <c r="D34"/>
  <c r="B34"/>
  <c r="D33"/>
  <c r="B33"/>
  <c r="F32"/>
  <c r="D32"/>
  <c r="B32"/>
  <c r="F31"/>
  <c r="D31"/>
  <c r="B31"/>
  <c r="F30"/>
  <c r="D30"/>
  <c r="B30"/>
  <c r="F29"/>
  <c r="D29"/>
  <c r="B29"/>
  <c r="F28"/>
  <c r="D28"/>
  <c r="B28"/>
  <c r="F27"/>
  <c r="D27"/>
  <c r="B27"/>
  <c r="F26"/>
  <c r="D26"/>
  <c r="B26"/>
  <c r="F25"/>
  <c r="D25"/>
  <c r="B25"/>
  <c r="F24"/>
  <c r="D24"/>
  <c r="B24"/>
  <c r="F23"/>
  <c r="D23"/>
  <c r="B23"/>
  <c r="F22"/>
  <c r="D22"/>
  <c r="B22"/>
  <c r="F21"/>
  <c r="D21"/>
  <c r="B21"/>
  <c r="F20"/>
  <c r="D20"/>
  <c r="B20"/>
  <c r="F17"/>
  <c r="D17"/>
  <c r="B17"/>
  <c r="F16"/>
  <c r="D16"/>
  <c r="B16"/>
  <c r="A3"/>
  <c r="B15" l="1"/>
  <c r="D24" i="3"/>
  <c r="D23"/>
  <c r="D22"/>
  <c r="D21"/>
  <c r="D20"/>
  <c r="D19"/>
  <c r="D18"/>
  <c r="E29"/>
  <c r="E33"/>
  <c r="E35"/>
  <c r="E34"/>
  <c r="E47"/>
  <c r="E41"/>
  <c r="F26"/>
  <c r="F27"/>
  <c r="F28"/>
  <c r="F29"/>
  <c r="F30"/>
  <c r="F31"/>
  <c r="F32"/>
  <c r="F33"/>
  <c r="F34"/>
  <c r="F35"/>
  <c r="F36"/>
  <c r="F40"/>
  <c r="F41"/>
  <c r="F42"/>
  <c r="F43"/>
  <c r="F45"/>
  <c r="F25"/>
  <c r="F24"/>
  <c r="F23"/>
  <c r="F44"/>
  <c r="F46"/>
  <c r="F47"/>
  <c r="F22"/>
  <c r="F20"/>
  <c r="E18" i="32"/>
  <c r="D18"/>
  <c r="C19"/>
  <c r="C39" s="1"/>
  <c r="E17"/>
  <c r="D17"/>
  <c r="D19" l="1"/>
  <c r="D39" s="1"/>
  <c r="E19"/>
  <c r="E39"/>
  <c r="D65" i="60" l="1"/>
  <c r="C65"/>
  <c r="D37" i="38" l="1"/>
  <c r="C37"/>
  <c r="D39" i="36"/>
  <c r="C39"/>
  <c r="D57" i="35"/>
  <c r="C57"/>
  <c r="D28"/>
  <c r="C28"/>
  <c r="D65" i="65"/>
  <c r="C65"/>
  <c r="D32"/>
  <c r="C32"/>
  <c r="D32" i="60"/>
  <c r="C32"/>
  <c r="D66" i="61"/>
  <c r="C66"/>
  <c r="D33"/>
  <c r="C33"/>
  <c r="D32" i="64"/>
  <c r="C32"/>
  <c r="D65" i="54"/>
  <c r="C65"/>
  <c r="D32"/>
  <c r="C32"/>
  <c r="D65" i="18"/>
  <c r="C65"/>
  <c r="D32"/>
  <c r="C32"/>
  <c r="D65" i="17"/>
  <c r="C65"/>
  <c r="D32"/>
  <c r="C32"/>
  <c r="D65" i="16"/>
  <c r="C65"/>
  <c r="D32"/>
  <c r="C32"/>
  <c r="D65" i="15"/>
  <c r="C65"/>
  <c r="D32"/>
  <c r="C32"/>
  <c r="D41" i="66"/>
  <c r="D37"/>
  <c r="C37"/>
  <c r="D35"/>
  <c r="C35"/>
  <c r="C93" s="1"/>
  <c r="J69"/>
  <c r="J68"/>
  <c r="J67"/>
  <c r="C22"/>
  <c r="C21" s="1"/>
  <c r="D22"/>
  <c r="D21" s="1"/>
  <c r="B6"/>
  <c r="C91"/>
  <c r="J29"/>
  <c r="J28"/>
  <c r="J27"/>
  <c r="E1"/>
  <c r="H79" s="1"/>
  <c r="B1"/>
  <c r="H35" l="1"/>
  <c r="D34"/>
  <c r="D15" i="21"/>
  <c r="E19" i="3"/>
  <c r="G38" i="66"/>
  <c r="G78"/>
  <c r="C23"/>
  <c r="C36" s="1"/>
  <c r="D7" s="1"/>
  <c r="D23" s="1"/>
  <c r="D36" s="1"/>
  <c r="G33" s="1"/>
  <c r="C34"/>
  <c r="F36"/>
  <c r="D92"/>
  <c r="C94"/>
  <c r="H39"/>
  <c r="G28"/>
  <c r="G31"/>
  <c r="H33"/>
  <c r="H34"/>
  <c r="G68"/>
  <c r="G71"/>
  <c r="H73"/>
  <c r="H74"/>
  <c r="C42"/>
  <c r="H83"/>
  <c r="H85"/>
  <c r="H36"/>
  <c r="H44"/>
  <c r="H45"/>
  <c r="B37"/>
  <c r="H75"/>
  <c r="H76"/>
  <c r="D91"/>
  <c r="D93"/>
  <c r="B39" s="1"/>
  <c r="G24"/>
  <c r="G64"/>
  <c r="H84"/>
  <c r="H86"/>
  <c r="C92"/>
  <c r="H38"/>
  <c r="H43"/>
  <c r="H46"/>
  <c r="H78"/>
  <c r="C26" i="19"/>
  <c r="D26"/>
  <c r="D60" i="62"/>
  <c r="C60"/>
  <c r="D59" i="64"/>
  <c r="C59"/>
  <c r="D25" i="62"/>
  <c r="C25"/>
  <c r="D59" i="19"/>
  <c r="C59"/>
  <c r="D53" i="63"/>
  <c r="C53"/>
  <c r="D24"/>
  <c r="C24"/>
  <c r="B5" i="38"/>
  <c r="B5" i="36"/>
  <c r="B33" i="35"/>
  <c r="E55"/>
  <c r="E54" s="1"/>
  <c r="D55"/>
  <c r="D54" s="1"/>
  <c r="C55"/>
  <c r="C54" s="1"/>
  <c r="E43"/>
  <c r="E42" s="1"/>
  <c r="D43"/>
  <c r="D42" s="1"/>
  <c r="C43"/>
  <c r="C42" s="1"/>
  <c r="B5"/>
  <c r="B38" i="65"/>
  <c r="B5"/>
  <c r="D66"/>
  <c r="E63"/>
  <c r="D63"/>
  <c r="D62" s="1"/>
  <c r="C63"/>
  <c r="E62"/>
  <c r="E49"/>
  <c r="E48" s="1"/>
  <c r="D49"/>
  <c r="D48" s="1"/>
  <c r="C49"/>
  <c r="C50" s="1"/>
  <c r="C64" s="1"/>
  <c r="E30"/>
  <c r="E29" s="1"/>
  <c r="D30"/>
  <c r="D29" s="1"/>
  <c r="C30"/>
  <c r="C33" s="1"/>
  <c r="E16"/>
  <c r="E15" s="1"/>
  <c r="D16"/>
  <c r="D15" s="1"/>
  <c r="C16"/>
  <c r="C15" s="1"/>
  <c r="E1"/>
  <c r="B65" s="1"/>
  <c r="B1"/>
  <c r="B38" i="60"/>
  <c r="B5"/>
  <c r="B39" i="61"/>
  <c r="B5"/>
  <c r="B28" i="62"/>
  <c r="B5"/>
  <c r="B30" i="63"/>
  <c r="B5"/>
  <c r="B38" i="64"/>
  <c r="B5"/>
  <c r="B38" i="54"/>
  <c r="B5"/>
  <c r="E63" i="60"/>
  <c r="E62" s="1"/>
  <c r="D63"/>
  <c r="D62" s="1"/>
  <c r="C63"/>
  <c r="E49"/>
  <c r="E48" s="1"/>
  <c r="D49"/>
  <c r="D48" s="1"/>
  <c r="C49"/>
  <c r="C50" s="1"/>
  <c r="E30"/>
  <c r="E29" s="1"/>
  <c r="D30"/>
  <c r="D29" s="1"/>
  <c r="C30"/>
  <c r="C33" s="1"/>
  <c r="E16"/>
  <c r="E15" s="1"/>
  <c r="D16"/>
  <c r="D15" s="1"/>
  <c r="C16"/>
  <c r="C17" s="1"/>
  <c r="C31" s="1"/>
  <c r="E1"/>
  <c r="B65" s="1"/>
  <c r="B1"/>
  <c r="E64" i="61"/>
  <c r="D64"/>
  <c r="D67" s="1"/>
  <c r="C64"/>
  <c r="B35" i="21" s="1"/>
  <c r="E50" i="61"/>
  <c r="E49" s="1"/>
  <c r="D50"/>
  <c r="D49" s="1"/>
  <c r="C50"/>
  <c r="C51" s="1"/>
  <c r="C65" s="1"/>
  <c r="E31"/>
  <c r="D31"/>
  <c r="D30" s="1"/>
  <c r="C31"/>
  <c r="C34" s="1"/>
  <c r="E17"/>
  <c r="E16" s="1"/>
  <c r="D17"/>
  <c r="D16" s="1"/>
  <c r="C17"/>
  <c r="C16" s="1"/>
  <c r="D5"/>
  <c r="D39" s="1"/>
  <c r="E1"/>
  <c r="B66" s="1"/>
  <c r="B1"/>
  <c r="E58" i="62"/>
  <c r="D58"/>
  <c r="D57" s="1"/>
  <c r="C58"/>
  <c r="E49"/>
  <c r="E48" s="1"/>
  <c r="D49"/>
  <c r="D48" s="1"/>
  <c r="C49"/>
  <c r="C50" s="1"/>
  <c r="C59" s="1"/>
  <c r="E23"/>
  <c r="D23"/>
  <c r="D22" s="1"/>
  <c r="C23"/>
  <c r="E22"/>
  <c r="E14"/>
  <c r="E13" s="1"/>
  <c r="D14"/>
  <c r="D13" s="1"/>
  <c r="C14"/>
  <c r="C15" s="1"/>
  <c r="E1"/>
  <c r="B60" s="1"/>
  <c r="B1"/>
  <c r="E51" i="63"/>
  <c r="E50" s="1"/>
  <c r="D51"/>
  <c r="D50" s="1"/>
  <c r="C51"/>
  <c r="E41"/>
  <c r="E40" s="1"/>
  <c r="D41"/>
  <c r="D40" s="1"/>
  <c r="C41"/>
  <c r="C42" s="1"/>
  <c r="E22"/>
  <c r="E21" s="1"/>
  <c r="D22"/>
  <c r="D21" s="1"/>
  <c r="C22"/>
  <c r="E14"/>
  <c r="E13" s="1"/>
  <c r="D14"/>
  <c r="D13" s="1"/>
  <c r="C14"/>
  <c r="C15" s="1"/>
  <c r="D5"/>
  <c r="D30" s="1"/>
  <c r="E1"/>
  <c r="B53" s="1"/>
  <c r="B1"/>
  <c r="E57" i="64"/>
  <c r="E56" s="1"/>
  <c r="D57"/>
  <c r="D56" s="1"/>
  <c r="C57"/>
  <c r="E46"/>
  <c r="E45" s="1"/>
  <c r="D46"/>
  <c r="D45" s="1"/>
  <c r="C46"/>
  <c r="C47" s="1"/>
  <c r="E30"/>
  <c r="E29" s="1"/>
  <c r="D30"/>
  <c r="D29" s="1"/>
  <c r="C30"/>
  <c r="E16"/>
  <c r="E15" s="1"/>
  <c r="D16"/>
  <c r="D15" s="1"/>
  <c r="C16"/>
  <c r="C17" s="1"/>
  <c r="E1"/>
  <c r="B59" s="1"/>
  <c r="B1"/>
  <c r="B32" i="19"/>
  <c r="B5"/>
  <c r="B38" i="18"/>
  <c r="B5"/>
  <c r="B38" i="17"/>
  <c r="B5"/>
  <c r="B38" i="16"/>
  <c r="B5"/>
  <c r="B38" i="15"/>
  <c r="B5"/>
  <c r="B61" i="7"/>
  <c r="B70"/>
  <c r="D5" i="60" l="1"/>
  <c r="D38" s="1"/>
  <c r="D5" i="65"/>
  <c r="D38" s="1"/>
  <c r="C5" i="60"/>
  <c r="C38" s="1"/>
  <c r="C5" i="65"/>
  <c r="C38" s="1"/>
  <c r="E57" i="62"/>
  <c r="F33" i="21"/>
  <c r="F37" i="3"/>
  <c r="E30" i="61"/>
  <c r="F34" i="21"/>
  <c r="F38" i="3"/>
  <c r="F35" i="21"/>
  <c r="F39" i="3"/>
  <c r="E63" i="61"/>
  <c r="D63"/>
  <c r="D35" i="21"/>
  <c r="D34" i="61"/>
  <c r="C5"/>
  <c r="C39" s="1"/>
  <c r="C5" i="63"/>
  <c r="C30" s="1"/>
  <c r="C31" i="64"/>
  <c r="C64" i="60"/>
  <c r="D66"/>
  <c r="D33" i="65"/>
  <c r="D33" i="60"/>
  <c r="D94" i="66"/>
  <c r="B40" s="1"/>
  <c r="E7"/>
  <c r="G73"/>
  <c r="C67" i="61"/>
  <c r="C66" i="60"/>
  <c r="C66" i="65"/>
  <c r="C24" i="62"/>
  <c r="D6" s="1"/>
  <c r="D15" s="1"/>
  <c r="D24" s="1"/>
  <c r="C61"/>
  <c r="C58" i="64"/>
  <c r="D39" s="1"/>
  <c r="D47" s="1"/>
  <c r="D58" s="1"/>
  <c r="D5"/>
  <c r="D38" s="1"/>
  <c r="C33"/>
  <c r="D33"/>
  <c r="D60"/>
  <c r="C5"/>
  <c r="C38" s="1"/>
  <c r="C60"/>
  <c r="C5" i="62"/>
  <c r="C28" s="1"/>
  <c r="D61"/>
  <c r="D5"/>
  <c r="D28" s="1"/>
  <c r="C54" i="63"/>
  <c r="C23"/>
  <c r="D6" s="1"/>
  <c r="D15" s="1"/>
  <c r="D23" s="1"/>
  <c r="C52"/>
  <c r="D31" s="1"/>
  <c r="D42" s="1"/>
  <c r="D52" s="1"/>
  <c r="D54"/>
  <c r="C25"/>
  <c r="D25"/>
  <c r="C44" i="35"/>
  <c r="C56" s="1"/>
  <c r="D34" s="1"/>
  <c r="D44" s="1"/>
  <c r="D56" s="1"/>
  <c r="E34" s="1"/>
  <c r="E44" s="1"/>
  <c r="E56" s="1"/>
  <c r="E57" s="1"/>
  <c r="C67" i="65"/>
  <c r="D39"/>
  <c r="D50" s="1"/>
  <c r="D64" s="1"/>
  <c r="C48"/>
  <c r="E5"/>
  <c r="E38" s="1"/>
  <c r="C29"/>
  <c r="C62"/>
  <c r="C17"/>
  <c r="C31" s="1"/>
  <c r="B32"/>
  <c r="D39" i="60"/>
  <c r="D50" s="1"/>
  <c r="D64" s="1"/>
  <c r="C67"/>
  <c r="D6"/>
  <c r="D17" s="1"/>
  <c r="D31" s="1"/>
  <c r="C34"/>
  <c r="C15"/>
  <c r="C48"/>
  <c r="E5"/>
  <c r="E38" s="1"/>
  <c r="C29"/>
  <c r="C62"/>
  <c r="B32"/>
  <c r="D40" i="61"/>
  <c r="D51" s="1"/>
  <c r="D65" s="1"/>
  <c r="C68"/>
  <c r="C49"/>
  <c r="E5"/>
  <c r="E39" s="1"/>
  <c r="C30"/>
  <c r="C63"/>
  <c r="C18"/>
  <c r="C32" s="1"/>
  <c r="B33"/>
  <c r="D29" i="62"/>
  <c r="D50" s="1"/>
  <c r="D59" s="1"/>
  <c r="C62"/>
  <c r="C13"/>
  <c r="C48"/>
  <c r="E5"/>
  <c r="E28" s="1"/>
  <c r="C22"/>
  <c r="C57"/>
  <c r="B25"/>
  <c r="C13" i="63"/>
  <c r="C40"/>
  <c r="E5"/>
  <c r="E30" s="1"/>
  <c r="C21"/>
  <c r="C50"/>
  <c r="B24"/>
  <c r="D6" i="64"/>
  <c r="D17" s="1"/>
  <c r="D31" s="1"/>
  <c r="C34"/>
  <c r="C15"/>
  <c r="C45"/>
  <c r="E5"/>
  <c r="E38" s="1"/>
  <c r="C29"/>
  <c r="C56"/>
  <c r="B32"/>
  <c r="D58" i="9"/>
  <c r="E61" i="7" s="1"/>
  <c r="C58" i="9"/>
  <c r="D61" i="7" s="1"/>
  <c r="B58" i="9"/>
  <c r="C61" i="7" s="1"/>
  <c r="C61" i="64" l="1"/>
  <c r="C26" i="63"/>
  <c r="C55"/>
  <c r="D6" i="65"/>
  <c r="D17" s="1"/>
  <c r="D31" s="1"/>
  <c r="C34"/>
  <c r="E39"/>
  <c r="E50" s="1"/>
  <c r="E65" s="1"/>
  <c r="D67"/>
  <c r="D34" i="60"/>
  <c r="E6"/>
  <c r="E17" s="1"/>
  <c r="E31" s="1"/>
  <c r="E32" s="1"/>
  <c r="E39"/>
  <c r="E50" s="1"/>
  <c r="E64" s="1"/>
  <c r="E65" s="1"/>
  <c r="D67"/>
  <c r="D6" i="61"/>
  <c r="D18" s="1"/>
  <c r="D32" s="1"/>
  <c r="C35"/>
  <c r="E40"/>
  <c r="E51" s="1"/>
  <c r="E65" s="1"/>
  <c r="E66" s="1"/>
  <c r="D68"/>
  <c r="E6" i="62"/>
  <c r="E15" s="1"/>
  <c r="E24" s="1"/>
  <c r="E25" s="1"/>
  <c r="E29"/>
  <c r="E50" s="1"/>
  <c r="E59" s="1"/>
  <c r="E60" s="1"/>
  <c r="D62"/>
  <c r="E6" i="63"/>
  <c r="E15" s="1"/>
  <c r="E23" s="1"/>
  <c r="E24" s="1"/>
  <c r="D26"/>
  <c r="E31"/>
  <c r="E42" s="1"/>
  <c r="E52" s="1"/>
  <c r="E53" s="1"/>
  <c r="D55"/>
  <c r="D34" i="64"/>
  <c r="E6"/>
  <c r="E17" s="1"/>
  <c r="E31" s="1"/>
  <c r="E32" s="1"/>
  <c r="E39"/>
  <c r="E47" s="1"/>
  <c r="E58" s="1"/>
  <c r="E59" s="1"/>
  <c r="D61"/>
  <c r="B36" i="3"/>
  <c r="B37"/>
  <c r="B38"/>
  <c r="B39"/>
  <c r="B40"/>
  <c r="B41"/>
  <c r="B42"/>
  <c r="B43"/>
  <c r="B44"/>
  <c r="B45"/>
  <c r="B46"/>
  <c r="B47"/>
  <c r="B48"/>
  <c r="B21"/>
  <c r="B22"/>
  <c r="B23"/>
  <c r="B24"/>
  <c r="B25"/>
  <c r="B26"/>
  <c r="B27"/>
  <c r="B28"/>
  <c r="B29"/>
  <c r="B30"/>
  <c r="B31"/>
  <c r="B32"/>
  <c r="B33"/>
  <c r="B34"/>
  <c r="B35"/>
  <c r="A100" i="43"/>
  <c r="A101"/>
  <c r="A102"/>
  <c r="A103"/>
  <c r="A104"/>
  <c r="A92"/>
  <c r="A93"/>
  <c r="A94"/>
  <c r="A95"/>
  <c r="A96"/>
  <c r="A97"/>
  <c r="A98"/>
  <c r="A99"/>
  <c r="A76"/>
  <c r="A77"/>
  <c r="A78"/>
  <c r="A79"/>
  <c r="A80"/>
  <c r="A81"/>
  <c r="A82"/>
  <c r="A83"/>
  <c r="A84"/>
  <c r="A85"/>
  <c r="A86"/>
  <c r="A87"/>
  <c r="A88"/>
  <c r="A89"/>
  <c r="A90"/>
  <c r="A91"/>
  <c r="E6" i="65" l="1"/>
  <c r="E17" s="1"/>
  <c r="E31" s="1"/>
  <c r="E32" s="1"/>
  <c r="D34"/>
  <c r="D35" i="61"/>
  <c r="E6"/>
  <c r="E18" s="1"/>
  <c r="E32" s="1"/>
  <c r="E33" s="1"/>
  <c r="D34" i="43"/>
  <c r="A38"/>
  <c r="A39"/>
  <c r="A40"/>
  <c r="A41"/>
  <c r="A42" i="21" l="1"/>
  <c r="A43"/>
  <c r="A44"/>
  <c r="A35"/>
  <c r="A36"/>
  <c r="A37"/>
  <c r="A38"/>
  <c r="A39"/>
  <c r="A40"/>
  <c r="A41"/>
  <c r="A17"/>
  <c r="A18"/>
  <c r="A19"/>
  <c r="A20"/>
  <c r="A21"/>
  <c r="A22"/>
  <c r="A23"/>
  <c r="A24"/>
  <c r="A25"/>
  <c r="A26"/>
  <c r="A27"/>
  <c r="A28"/>
  <c r="A29"/>
  <c r="A30"/>
  <c r="A31"/>
  <c r="A32"/>
  <c r="A33"/>
  <c r="A34"/>
  <c r="D64" i="2"/>
  <c r="D29" i="34" l="1"/>
  <c r="D28" s="1"/>
  <c r="D41" i="7"/>
  <c r="D40" s="1"/>
  <c r="J38" i="34"/>
  <c r="J37"/>
  <c r="B19" i="58"/>
  <c r="B18"/>
  <c r="B17"/>
  <c r="B16"/>
  <c r="B15"/>
  <c r="G24" i="2"/>
  <c r="G22"/>
  <c r="G23"/>
  <c r="B15" i="3"/>
  <c r="D15"/>
  <c r="J148" i="56"/>
  <c r="H134"/>
  <c r="C137" s="1"/>
  <c r="J137" s="1"/>
  <c r="C123"/>
  <c r="H120"/>
  <c r="H114"/>
  <c r="F117"/>
  <c r="H117" s="1"/>
  <c r="F123" s="1"/>
  <c r="H100"/>
  <c r="C103"/>
  <c r="H94"/>
  <c r="F97" s="1"/>
  <c r="H97" s="1"/>
  <c r="F103" s="1"/>
  <c r="C83"/>
  <c r="H80"/>
  <c r="H74"/>
  <c r="F77"/>
  <c r="H77" s="1"/>
  <c r="F83" s="1"/>
  <c r="F50"/>
  <c r="J50"/>
  <c r="H48"/>
  <c r="H41"/>
  <c r="B28"/>
  <c r="H28"/>
  <c r="H25"/>
  <c r="C25"/>
  <c r="A60" i="21"/>
  <c r="A61"/>
  <c r="A5"/>
  <c r="G20" i="52"/>
  <c r="G21" s="1"/>
  <c r="G19" s="1"/>
  <c r="A57" i="43"/>
  <c r="A15" i="21"/>
  <c r="B18" i="44"/>
  <c r="B17"/>
  <c r="B16"/>
  <c r="B15"/>
  <c r="B14"/>
  <c r="B13"/>
  <c r="B12"/>
  <c r="B11"/>
  <c r="B10"/>
  <c r="B9"/>
  <c r="B8"/>
  <c r="D44" i="7"/>
  <c r="D17" i="3" s="1"/>
  <c r="C10" i="5"/>
  <c r="B10"/>
  <c r="A75" i="43"/>
  <c r="A31"/>
  <c r="B95" i="2"/>
  <c r="B19" i="3"/>
  <c r="C19"/>
  <c r="E19" i="58"/>
  <c r="E18"/>
  <c r="E17"/>
  <c r="E16"/>
  <c r="G19"/>
  <c r="G14"/>
  <c r="B78" s="1"/>
  <c r="E14"/>
  <c r="B89" s="1"/>
  <c r="B8"/>
  <c r="B7"/>
  <c r="B5"/>
  <c r="D64" i="9"/>
  <c r="C64"/>
  <c r="B64"/>
  <c r="D56" i="21"/>
  <c r="B56"/>
  <c r="D55"/>
  <c r="B55"/>
  <c r="D54"/>
  <c r="B54"/>
  <c r="D53"/>
  <c r="B53"/>
  <c r="B50"/>
  <c r="B48"/>
  <c r="C19" i="44"/>
  <c r="E26" i="2"/>
  <c r="D48" i="21" s="1"/>
  <c r="C74" i="3"/>
  <c r="D48" i="34"/>
  <c r="C44"/>
  <c r="D44"/>
  <c r="D85" i="7"/>
  <c r="C81"/>
  <c r="D81"/>
  <c r="C57" i="3"/>
  <c r="H17" s="1"/>
  <c r="D97" i="2"/>
  <c r="E63" i="54"/>
  <c r="D63"/>
  <c r="C63"/>
  <c r="C66" s="1"/>
  <c r="E49"/>
  <c r="E48" s="1"/>
  <c r="D49"/>
  <c r="D48" s="1"/>
  <c r="C49"/>
  <c r="C50" s="1"/>
  <c r="E30"/>
  <c r="D30"/>
  <c r="C30"/>
  <c r="E16"/>
  <c r="E15" s="1"/>
  <c r="D16"/>
  <c r="D15" s="1"/>
  <c r="C16"/>
  <c r="C17" s="1"/>
  <c r="E1"/>
  <c r="D5" s="1"/>
  <c r="D38" s="1"/>
  <c r="B1"/>
  <c r="A34" i="48"/>
  <c r="A77" i="47"/>
  <c r="A74"/>
  <c r="A33"/>
  <c r="A28"/>
  <c r="A25"/>
  <c r="A16"/>
  <c r="A6"/>
  <c r="A33" i="48"/>
  <c r="A6"/>
  <c r="A38" i="49"/>
  <c r="A33"/>
  <c r="A19"/>
  <c r="A6"/>
  <c r="A46" i="53"/>
  <c r="A41"/>
  <c r="A6"/>
  <c r="A8" i="51"/>
  <c r="B69" i="7"/>
  <c r="B68"/>
  <c r="B67"/>
  <c r="B66"/>
  <c r="B65"/>
  <c r="B64"/>
  <c r="B63"/>
  <c r="B62"/>
  <c r="B72" i="9"/>
  <c r="C72"/>
  <c r="D72"/>
  <c r="B78"/>
  <c r="C63" i="7" s="1"/>
  <c r="C78" i="9"/>
  <c r="D63" i="7" s="1"/>
  <c r="D78" i="9"/>
  <c r="E63" i="7" s="1"/>
  <c r="B84" i="9"/>
  <c r="C64" i="7" s="1"/>
  <c r="C84" i="9"/>
  <c r="D64" i="7" s="1"/>
  <c r="D84" i="9"/>
  <c r="B90"/>
  <c r="C65" i="7" s="1"/>
  <c r="C90" i="9"/>
  <c r="D65" i="7" s="1"/>
  <c r="D90" i="9"/>
  <c r="E65" i="7" s="1"/>
  <c r="B96" i="9"/>
  <c r="C66" i="7" s="1"/>
  <c r="C96" i="9"/>
  <c r="D66" i="7" s="1"/>
  <c r="D96" i="9"/>
  <c r="E66" i="7" s="1"/>
  <c r="B102" i="9"/>
  <c r="C67" i="7" s="1"/>
  <c r="C102" i="9"/>
  <c r="D67" i="7" s="1"/>
  <c r="D102" i="9"/>
  <c r="E67" i="7" s="1"/>
  <c r="B108" i="9"/>
  <c r="C68" i="7" s="1"/>
  <c r="C108" i="9"/>
  <c r="D68" i="7" s="1"/>
  <c r="D108" i="9"/>
  <c r="E68" i="7" s="1"/>
  <c r="B114" i="9"/>
  <c r="C69" i="7" s="1"/>
  <c r="C114" i="9"/>
  <c r="D69" i="7" s="1"/>
  <c r="D114" i="9"/>
  <c r="E69" i="7" s="1"/>
  <c r="C9" i="5"/>
  <c r="C8"/>
  <c r="J6" i="24"/>
  <c r="A100" i="2"/>
  <c r="A99"/>
  <c r="D91"/>
  <c r="D42" i="43"/>
  <c r="D50" i="21" s="1"/>
  <c r="E27" i="58" s="1"/>
  <c r="D16" i="9"/>
  <c r="E54" i="7" s="1"/>
  <c r="D22" i="9"/>
  <c r="E55" i="7" s="1"/>
  <c r="D28" i="9"/>
  <c r="E56" i="7" s="1"/>
  <c r="D34" i="9"/>
  <c r="E57" i="7" s="1"/>
  <c r="D40" i="9"/>
  <c r="E58" i="7" s="1"/>
  <c r="D46" i="9"/>
  <c r="E59" i="7" s="1"/>
  <c r="D52" i="9"/>
  <c r="E60" i="7" s="1"/>
  <c r="C10" i="9"/>
  <c r="C16"/>
  <c r="D54" i="7" s="1"/>
  <c r="C22" i="9"/>
  <c r="D55" i="7" s="1"/>
  <c r="C28" i="9"/>
  <c r="D56" i="7" s="1"/>
  <c r="C34" i="9"/>
  <c r="D57" i="7" s="1"/>
  <c r="C40" i="9"/>
  <c r="D58" i="7" s="1"/>
  <c r="C46" i="9"/>
  <c r="D59" i="7" s="1"/>
  <c r="C52" i="9"/>
  <c r="D60" i="7" s="1"/>
  <c r="B10" i="9"/>
  <c r="B16"/>
  <c r="C54" i="7" s="1"/>
  <c r="B22" i="9"/>
  <c r="C55" i="7" s="1"/>
  <c r="B28" i="9"/>
  <c r="C56" i="7" s="1"/>
  <c r="B34" i="9"/>
  <c r="C57" i="7" s="1"/>
  <c r="B40" i="9"/>
  <c r="C58" i="7" s="1"/>
  <c r="B46" i="9"/>
  <c r="C59" i="7" s="1"/>
  <c r="B52" i="9"/>
  <c r="C60" i="7" s="1"/>
  <c r="B60"/>
  <c r="B59"/>
  <c r="B58"/>
  <c r="B57"/>
  <c r="B56"/>
  <c r="B55"/>
  <c r="B54"/>
  <c r="B53"/>
  <c r="B18" i="3"/>
  <c r="B5" i="34"/>
  <c r="C29"/>
  <c r="C30" s="1"/>
  <c r="C42"/>
  <c r="G47" s="1"/>
  <c r="D42"/>
  <c r="D41" s="1"/>
  <c r="E1"/>
  <c r="G37" s="1"/>
  <c r="C41" i="7"/>
  <c r="C42" s="1"/>
  <c r="C51" s="1"/>
  <c r="E1"/>
  <c r="H90" s="1"/>
  <c r="C35" i="38"/>
  <c r="C34" s="1"/>
  <c r="C19"/>
  <c r="C20" s="1"/>
  <c r="D35"/>
  <c r="E35"/>
  <c r="E34" s="1"/>
  <c r="E1"/>
  <c r="E5" s="1"/>
  <c r="C37" i="36"/>
  <c r="C19"/>
  <c r="C20" s="1"/>
  <c r="D19"/>
  <c r="D18" s="1"/>
  <c r="D37"/>
  <c r="D36" s="1"/>
  <c r="E37"/>
  <c r="E1"/>
  <c r="E5" s="1"/>
  <c r="C26" i="35"/>
  <c r="C25" s="1"/>
  <c r="C15"/>
  <c r="C16" s="1"/>
  <c r="D15"/>
  <c r="D14" s="1"/>
  <c r="D26"/>
  <c r="E15"/>
  <c r="E14" s="1"/>
  <c r="E26"/>
  <c r="E25" s="1"/>
  <c r="E1"/>
  <c r="D5" s="1"/>
  <c r="C57" i="19"/>
  <c r="D57"/>
  <c r="E57"/>
  <c r="E1"/>
  <c r="E5" s="1"/>
  <c r="E32" s="1"/>
  <c r="C24"/>
  <c r="C23" s="1"/>
  <c r="D24"/>
  <c r="E24"/>
  <c r="C27"/>
  <c r="C63" i="18"/>
  <c r="D63"/>
  <c r="E63"/>
  <c r="C30"/>
  <c r="C29" s="1"/>
  <c r="D30"/>
  <c r="E30"/>
  <c r="E1"/>
  <c r="D5" s="1"/>
  <c r="D38" s="1"/>
  <c r="C63" i="17"/>
  <c r="C62" s="1"/>
  <c r="D63"/>
  <c r="E63"/>
  <c r="E1"/>
  <c r="E5" s="1"/>
  <c r="E38" s="1"/>
  <c r="C30"/>
  <c r="C29" s="1"/>
  <c r="D30"/>
  <c r="E30"/>
  <c r="E29" s="1"/>
  <c r="C63" i="16"/>
  <c r="D63"/>
  <c r="E63"/>
  <c r="E1"/>
  <c r="D5" s="1"/>
  <c r="D38" s="1"/>
  <c r="C30"/>
  <c r="C33" s="1"/>
  <c r="D30"/>
  <c r="E30"/>
  <c r="E1" i="15"/>
  <c r="E5" s="1"/>
  <c r="E38" s="1"/>
  <c r="E63"/>
  <c r="C63"/>
  <c r="D63"/>
  <c r="D62" s="1"/>
  <c r="E30"/>
  <c r="C30"/>
  <c r="D30"/>
  <c r="C66"/>
  <c r="A64" i="2"/>
  <c r="D20"/>
  <c r="E20"/>
  <c r="G21" s="1"/>
  <c r="F1" i="44"/>
  <c r="A22" s="1"/>
  <c r="C15" i="21"/>
  <c r="J17" i="39"/>
  <c r="J18"/>
  <c r="J28"/>
  <c r="H17"/>
  <c r="H18"/>
  <c r="H29"/>
  <c r="H30" s="1"/>
  <c r="H28"/>
  <c r="F17"/>
  <c r="F18" s="1"/>
  <c r="F28"/>
  <c r="D17"/>
  <c r="D18" s="1"/>
  <c r="D28"/>
  <c r="B28"/>
  <c r="B17"/>
  <c r="B18" s="1"/>
  <c r="K1"/>
  <c r="F2" s="1"/>
  <c r="J34" i="21"/>
  <c r="E1" i="43"/>
  <c r="A36" s="1"/>
  <c r="D52" i="3"/>
  <c r="J1" i="24"/>
  <c r="B18" s="1"/>
  <c r="C51" i="43"/>
  <c r="D13" i="5" s="1"/>
  <c r="D51" i="43"/>
  <c r="E15" i="5" s="1"/>
  <c r="E51" i="43"/>
  <c r="F17" i="5" s="1"/>
  <c r="A4" i="33"/>
  <c r="A7"/>
  <c r="A13"/>
  <c r="A15"/>
  <c r="A21"/>
  <c r="A27"/>
  <c r="A1" i="44"/>
  <c r="B6"/>
  <c r="B7"/>
  <c r="B14" i="43"/>
  <c r="E28" i="24" s="1"/>
  <c r="D6" i="44"/>
  <c r="D26"/>
  <c r="D28" s="1"/>
  <c r="A13" i="21"/>
  <c r="C13"/>
  <c r="E13"/>
  <c r="G89" i="7" s="1"/>
  <c r="A14" i="21"/>
  <c r="B14"/>
  <c r="C14"/>
  <c r="D14"/>
  <c r="E14"/>
  <c r="G53" i="34" s="1"/>
  <c r="E15" i="21"/>
  <c r="A16"/>
  <c r="C41" i="32"/>
  <c r="B46" i="21" s="1"/>
  <c r="D41" i="32"/>
  <c r="D46" i="21" s="1"/>
  <c r="E41" i="32"/>
  <c r="F46" i="21" s="1"/>
  <c r="G20" i="22"/>
  <c r="F53" i="21" s="1"/>
  <c r="G32" i="22"/>
  <c r="F54" i="21"/>
  <c r="G42" i="22"/>
  <c r="F55" i="21" s="1"/>
  <c r="G28" i="23"/>
  <c r="F56" i="21" s="1"/>
  <c r="A1" i="39"/>
  <c r="G5"/>
  <c r="I5"/>
  <c r="K7"/>
  <c r="B1" i="38"/>
  <c r="D19"/>
  <c r="D18" s="1"/>
  <c r="E19"/>
  <c r="E18" s="1"/>
  <c r="B1" i="36"/>
  <c r="E19"/>
  <c r="E18" s="1"/>
  <c r="E36"/>
  <c r="B1" i="35"/>
  <c r="B1" i="19"/>
  <c r="C14"/>
  <c r="C15" s="1"/>
  <c r="C25" s="1"/>
  <c r="D14"/>
  <c r="D13" s="1"/>
  <c r="E14"/>
  <c r="E13" s="1"/>
  <c r="E23"/>
  <c r="C43"/>
  <c r="C44" s="1"/>
  <c r="D43"/>
  <c r="D42" s="1"/>
  <c r="E43"/>
  <c r="E42" s="1"/>
  <c r="B1" i="18"/>
  <c r="C16"/>
  <c r="C17" s="1"/>
  <c r="D16"/>
  <c r="D15" s="1"/>
  <c r="E16"/>
  <c r="E15" s="1"/>
  <c r="D29"/>
  <c r="E29"/>
  <c r="C49"/>
  <c r="C48" s="1"/>
  <c r="C50"/>
  <c r="C64" s="1"/>
  <c r="D49"/>
  <c r="D48" s="1"/>
  <c r="E49"/>
  <c r="E48" s="1"/>
  <c r="C62"/>
  <c r="D62"/>
  <c r="E62"/>
  <c r="B65"/>
  <c r="B1" i="17"/>
  <c r="C16"/>
  <c r="C17" s="1"/>
  <c r="C31" s="1"/>
  <c r="D6" s="1"/>
  <c r="D16"/>
  <c r="D15" s="1"/>
  <c r="E16"/>
  <c r="E15" s="1"/>
  <c r="D29"/>
  <c r="C49"/>
  <c r="C50" s="1"/>
  <c r="C64" s="1"/>
  <c r="D49"/>
  <c r="D48" s="1"/>
  <c r="E49"/>
  <c r="E48" s="1"/>
  <c r="D62"/>
  <c r="B1" i="16"/>
  <c r="C16"/>
  <c r="C17" s="1"/>
  <c r="D16"/>
  <c r="D15" s="1"/>
  <c r="E16"/>
  <c r="E15" s="1"/>
  <c r="D29"/>
  <c r="E29"/>
  <c r="C49"/>
  <c r="C50" s="1"/>
  <c r="D49"/>
  <c r="D48" s="1"/>
  <c r="E49"/>
  <c r="E48" s="1"/>
  <c r="C62"/>
  <c r="D62"/>
  <c r="E62"/>
  <c r="B1" i="15"/>
  <c r="C16"/>
  <c r="C17" s="1"/>
  <c r="C31" s="1"/>
  <c r="D6" s="1"/>
  <c r="D16"/>
  <c r="D15" s="1"/>
  <c r="E16"/>
  <c r="E15" s="1"/>
  <c r="C29"/>
  <c r="D29"/>
  <c r="E29"/>
  <c r="C49"/>
  <c r="C50" s="1"/>
  <c r="C64" s="1"/>
  <c r="D49"/>
  <c r="D48"/>
  <c r="E49"/>
  <c r="E48" s="1"/>
  <c r="C62"/>
  <c r="E62"/>
  <c r="B1" i="34"/>
  <c r="C41"/>
  <c r="A1" i="9"/>
  <c r="A63" s="1"/>
  <c r="D1"/>
  <c r="C3" s="1"/>
  <c r="C65" s="1"/>
  <c r="B1" i="7"/>
  <c r="B4"/>
  <c r="B46"/>
  <c r="B50"/>
  <c r="B1" i="23"/>
  <c r="I1"/>
  <c r="G9" s="1"/>
  <c r="H28"/>
  <c r="I28"/>
  <c r="B1" i="22"/>
  <c r="M1"/>
  <c r="L6" s="1"/>
  <c r="J20"/>
  <c r="K20"/>
  <c r="L20"/>
  <c r="M20"/>
  <c r="J32"/>
  <c r="K32"/>
  <c r="L32"/>
  <c r="M32"/>
  <c r="J42"/>
  <c r="K42"/>
  <c r="L42"/>
  <c r="M42"/>
  <c r="A1" i="32"/>
  <c r="F1"/>
  <c r="C5" s="1"/>
  <c r="B1" i="5"/>
  <c r="G1"/>
  <c r="C7" s="1"/>
  <c r="B8"/>
  <c r="B9"/>
  <c r="C1" i="24"/>
  <c r="A3"/>
  <c r="B5"/>
  <c r="B6"/>
  <c r="B9"/>
  <c r="B11"/>
  <c r="C14" i="43"/>
  <c r="G11" i="24" s="1"/>
  <c r="B13"/>
  <c r="C14"/>
  <c r="D14" i="43"/>
  <c r="E14" i="24" s="1"/>
  <c r="C15"/>
  <c r="F14" i="43"/>
  <c r="E15" i="24" s="1"/>
  <c r="E14" i="43"/>
  <c r="G24" i="24" s="1"/>
  <c r="B28"/>
  <c r="B38"/>
  <c r="A42"/>
  <c r="H1" i="3"/>
  <c r="C58" s="1"/>
  <c r="C17"/>
  <c r="C18"/>
  <c r="B20"/>
  <c r="F21"/>
  <c r="D51"/>
  <c r="B54"/>
  <c r="B55"/>
  <c r="B56"/>
  <c r="A1" i="43"/>
  <c r="A10"/>
  <c r="A11"/>
  <c r="A12"/>
  <c r="A13"/>
  <c r="A16"/>
  <c r="A18"/>
  <c r="A19"/>
  <c r="A20"/>
  <c r="A21"/>
  <c r="B22"/>
  <c r="E19" i="24" s="1"/>
  <c r="C22" i="43"/>
  <c r="E20" i="24" s="1"/>
  <c r="D22" i="43"/>
  <c r="E21" i="24" s="1"/>
  <c r="A46" i="43"/>
  <c r="A47"/>
  <c r="A48"/>
  <c r="A49"/>
  <c r="A50"/>
  <c r="A62"/>
  <c r="B70"/>
  <c r="A73"/>
  <c r="A74"/>
  <c r="A18" i="2"/>
  <c r="A26"/>
  <c r="A92"/>
  <c r="D92"/>
  <c r="B93"/>
  <c r="B94"/>
  <c r="A102"/>
  <c r="D103"/>
  <c r="E103"/>
  <c r="E5" i="44"/>
  <c r="B24" i="24"/>
  <c r="B32" i="16"/>
  <c r="B39" i="36"/>
  <c r="B37" i="38"/>
  <c r="G7" i="22"/>
  <c r="C48" i="15"/>
  <c r="C15" i="18"/>
  <c r="C42" i="19"/>
  <c r="J5" i="24"/>
  <c r="J7" s="1"/>
  <c r="B3" i="44"/>
  <c r="B65" i="15"/>
  <c r="D6" i="5"/>
  <c r="I9" i="23"/>
  <c r="B32" i="17"/>
  <c r="D5" i="44"/>
  <c r="B5"/>
  <c r="C5"/>
  <c r="B26" i="19"/>
  <c r="D33" i="18"/>
  <c r="C40" i="36"/>
  <c r="C48" i="16"/>
  <c r="D33" i="17"/>
  <c r="C33"/>
  <c r="D66" i="18"/>
  <c r="C66"/>
  <c r="C60" i="19"/>
  <c r="D33" i="54"/>
  <c r="C15"/>
  <c r="B32"/>
  <c r="C48"/>
  <c r="B7" i="43"/>
  <c r="A69"/>
  <c r="A65"/>
  <c r="A24"/>
  <c r="E7"/>
  <c r="B44" i="34"/>
  <c r="J93" i="7"/>
  <c r="D33" i="16"/>
  <c r="C29" i="54"/>
  <c r="C62"/>
  <c r="D66"/>
  <c r="E62"/>
  <c r="D102" i="34"/>
  <c r="D100"/>
  <c r="E6" i="44"/>
  <c r="E76" i="7" s="1"/>
  <c r="D16" i="44"/>
  <c r="E16"/>
  <c r="D17"/>
  <c r="E17"/>
  <c r="D15"/>
  <c r="E15"/>
  <c r="D14"/>
  <c r="E14"/>
  <c r="D13"/>
  <c r="E13"/>
  <c r="D12"/>
  <c r="E12"/>
  <c r="D11"/>
  <c r="E11"/>
  <c r="D10"/>
  <c r="E10"/>
  <c r="D9"/>
  <c r="E9"/>
  <c r="D8"/>
  <c r="E8"/>
  <c r="D7"/>
  <c r="E7"/>
  <c r="E39" i="34" s="1"/>
  <c r="E42" s="1"/>
  <c r="E46" s="1"/>
  <c r="D18" i="44"/>
  <c r="E18"/>
  <c r="J31" i="21"/>
  <c r="F7" i="43"/>
  <c r="F50" i="21"/>
  <c r="D22" i="44"/>
  <c r="D24" s="1"/>
  <c r="J103" i="56"/>
  <c r="J83"/>
  <c r="J123"/>
  <c r="D88" i="7"/>
  <c r="B125" i="9"/>
  <c r="B59" i="19"/>
  <c r="D5" i="36"/>
  <c r="D5" i="38"/>
  <c r="C5" i="36"/>
  <c r="C5" i="38"/>
  <c r="B47" i="58"/>
  <c r="B84"/>
  <c r="B91"/>
  <c r="B46"/>
  <c r="B65" i="54"/>
  <c r="C5"/>
  <c r="C38" s="1"/>
  <c r="E5"/>
  <c r="E38" s="1"/>
  <c r="D5" i="19"/>
  <c r="D32" s="1"/>
  <c r="C5"/>
  <c r="C32" s="1"/>
  <c r="C5" i="18"/>
  <c r="C38" s="1"/>
  <c r="E5"/>
  <c r="E38" s="1"/>
  <c r="B32"/>
  <c r="D5" i="17"/>
  <c r="D38" s="1"/>
  <c r="B65"/>
  <c r="C5"/>
  <c r="C38" s="1"/>
  <c r="B65" i="16"/>
  <c r="C5"/>
  <c r="C38" s="1"/>
  <c r="E5"/>
  <c r="E38" s="1"/>
  <c r="B32" i="15"/>
  <c r="D5"/>
  <c r="D38" s="1"/>
  <c r="C5"/>
  <c r="C38" s="1"/>
  <c r="C5" i="34"/>
  <c r="H79" i="7"/>
  <c r="A32" i="44"/>
  <c r="H88" i="7"/>
  <c r="G40" i="34"/>
  <c r="H45"/>
  <c r="B57" i="21"/>
  <c r="D66" i="17"/>
  <c r="D27" i="19"/>
  <c r="D33" i="15"/>
  <c r="D66" i="16"/>
  <c r="B61" i="9"/>
  <c r="E15" i="58"/>
  <c r="E22" s="1"/>
  <c r="C33" i="15"/>
  <c r="C66" i="16"/>
  <c r="C38" i="38"/>
  <c r="C13" i="19"/>
  <c r="D19" i="44"/>
  <c r="J29" i="39"/>
  <c r="J30"/>
  <c r="B29"/>
  <c r="B30" s="1"/>
  <c r="C27" i="35"/>
  <c r="D6" s="1"/>
  <c r="D16" s="1"/>
  <c r="D27" s="1"/>
  <c r="D62" i="54"/>
  <c r="D29"/>
  <c r="C102" i="34"/>
  <c r="C100"/>
  <c r="J36"/>
  <c r="J74" i="7"/>
  <c r="J75"/>
  <c r="J73"/>
  <c r="G18" i="52"/>
  <c r="F85" i="34" l="1"/>
  <c r="E32" i="66"/>
  <c r="E35" s="1"/>
  <c r="C11" i="5"/>
  <c r="F6" i="3"/>
  <c r="F29" i="39"/>
  <c r="F30" s="1"/>
  <c r="K28"/>
  <c r="D29"/>
  <c r="D30" s="1"/>
  <c r="K18"/>
  <c r="K17"/>
  <c r="K30" s="1"/>
  <c r="E64" i="7"/>
  <c r="D121" i="9"/>
  <c r="G27" i="58"/>
  <c r="E28" s="1"/>
  <c r="G7" i="3"/>
  <c r="C64"/>
  <c r="D38" i="38"/>
  <c r="C36"/>
  <c r="D34"/>
  <c r="C18"/>
  <c r="C36" i="36"/>
  <c r="C38"/>
  <c r="C41" s="1"/>
  <c r="C18"/>
  <c r="C64" i="54"/>
  <c r="E29"/>
  <c r="C31"/>
  <c r="D6" s="1"/>
  <c r="D17" s="1"/>
  <c r="D31" s="1"/>
  <c r="D39" i="18"/>
  <c r="D50" s="1"/>
  <c r="D64" s="1"/>
  <c r="E39" s="1"/>
  <c r="E50" s="1"/>
  <c r="E64" s="1"/>
  <c r="E65" s="1"/>
  <c r="C67"/>
  <c r="D20" i="5"/>
  <c r="D10" s="1"/>
  <c r="E11" i="66" s="1"/>
  <c r="F22" i="5"/>
  <c r="F9" s="1"/>
  <c r="G16" i="58"/>
  <c r="C33" i="18"/>
  <c r="C31"/>
  <c r="D5" i="32"/>
  <c r="E5"/>
  <c r="E62" i="17"/>
  <c r="C66"/>
  <c r="C48"/>
  <c r="C67"/>
  <c r="D39"/>
  <c r="D50" s="1"/>
  <c r="D64" s="1"/>
  <c r="C15"/>
  <c r="D17"/>
  <c r="D31" s="1"/>
  <c r="D34" s="1"/>
  <c r="C34"/>
  <c r="C64" i="16"/>
  <c r="C29"/>
  <c r="C31"/>
  <c r="D6" s="1"/>
  <c r="D17" s="1"/>
  <c r="D31" s="1"/>
  <c r="C15"/>
  <c r="C34"/>
  <c r="D66" i="15"/>
  <c r="D17"/>
  <c r="D31" s="1"/>
  <c r="D34" s="1"/>
  <c r="C34"/>
  <c r="C15"/>
  <c r="C43" i="34"/>
  <c r="D6" s="1"/>
  <c r="D30"/>
  <c r="D43" s="1"/>
  <c r="E6" s="1"/>
  <c r="C101"/>
  <c r="H55"/>
  <c r="D5"/>
  <c r="C49"/>
  <c r="H43"/>
  <c r="H54"/>
  <c r="H47"/>
  <c r="H53"/>
  <c r="H44"/>
  <c r="B46"/>
  <c r="H42"/>
  <c r="E29" i="58"/>
  <c r="G84" i="66"/>
  <c r="G44"/>
  <c r="H48" i="34"/>
  <c r="G33"/>
  <c r="H52"/>
  <c r="C28"/>
  <c r="L43" i="22"/>
  <c r="M43"/>
  <c r="K43"/>
  <c r="J43"/>
  <c r="G43"/>
  <c r="C103" i="34"/>
  <c r="D23" i="19"/>
  <c r="D6"/>
  <c r="D15" s="1"/>
  <c r="D25" s="1"/>
  <c r="E6" s="1"/>
  <c r="E15" s="1"/>
  <c r="E25" s="1"/>
  <c r="E26" s="1"/>
  <c r="C28"/>
  <c r="D56"/>
  <c r="C56"/>
  <c r="E56"/>
  <c r="D60"/>
  <c r="C58"/>
  <c r="C61" s="1"/>
  <c r="D29" i="35"/>
  <c r="D25"/>
  <c r="B28"/>
  <c r="C29"/>
  <c r="C5"/>
  <c r="E5"/>
  <c r="C14"/>
  <c r="E62" i="7"/>
  <c r="D62"/>
  <c r="C62"/>
  <c r="H78"/>
  <c r="H89"/>
  <c r="E45" i="21"/>
  <c r="G55" i="34" s="1"/>
  <c r="H83" i="7"/>
  <c r="H81"/>
  <c r="E4"/>
  <c r="E50" s="1"/>
  <c r="C40"/>
  <c r="G74"/>
  <c r="H91"/>
  <c r="G76"/>
  <c r="H80"/>
  <c r="H84"/>
  <c r="G70"/>
  <c r="C4"/>
  <c r="C50" s="1"/>
  <c r="C86"/>
  <c r="B81"/>
  <c r="C45" i="21"/>
  <c r="C53" i="7"/>
  <c r="B60" i="9"/>
  <c r="D53" i="7"/>
  <c r="C60" i="9"/>
  <c r="C122" s="1"/>
  <c r="E53" i="7"/>
  <c r="D60" i="9"/>
  <c r="D122" s="1"/>
  <c r="D63"/>
  <c r="D3"/>
  <c r="D65" s="1"/>
  <c r="B3"/>
  <c r="B65" s="1"/>
  <c r="B122"/>
  <c r="B7" i="5"/>
  <c r="H19" i="3"/>
  <c r="H18"/>
  <c r="B10"/>
  <c r="C7" i="43"/>
  <c r="G23" i="52"/>
  <c r="G22"/>
  <c r="D7" s="1"/>
  <c r="E19" i="44"/>
  <c r="A44" i="43"/>
  <c r="C70"/>
  <c r="A27"/>
  <c r="A6"/>
  <c r="A63"/>
  <c r="D7"/>
  <c r="A64"/>
  <c r="G22" i="24"/>
  <c r="C33" i="54"/>
  <c r="F57" i="21"/>
  <c r="J27"/>
  <c r="J54"/>
  <c r="J45"/>
  <c r="J33"/>
  <c r="J53"/>
  <c r="J52"/>
  <c r="J46"/>
  <c r="J51"/>
  <c r="D57"/>
  <c r="E21" i="5"/>
  <c r="E9" s="1"/>
  <c r="E11" i="34" s="1"/>
  <c r="D40" i="36"/>
  <c r="D9" i="5"/>
  <c r="E10" i="34" s="1"/>
  <c r="F10" i="5"/>
  <c r="E12" i="34"/>
  <c r="H9" i="23"/>
  <c r="J6" i="22"/>
  <c r="E5" i="34"/>
  <c r="E6" i="15"/>
  <c r="E17" s="1"/>
  <c r="E31" s="1"/>
  <c r="E32" s="1"/>
  <c r="G16" i="24"/>
  <c r="G26" s="1"/>
  <c r="G30" s="1"/>
  <c r="G32" s="1"/>
  <c r="J34" s="1"/>
  <c r="J36" s="1"/>
  <c r="E6" i="35"/>
  <c r="E16" s="1"/>
  <c r="E27" s="1"/>
  <c r="E28" s="1"/>
  <c r="F18" i="3"/>
  <c r="F45" i="34"/>
  <c r="E41"/>
  <c r="F14" i="21"/>
  <c r="D39" i="15"/>
  <c r="D50" s="1"/>
  <c r="D64" s="1"/>
  <c r="C67"/>
  <c r="M29" i="21"/>
  <c r="M53"/>
  <c r="D4" i="7"/>
  <c r="D50" s="1"/>
  <c r="F15" i="21" l="1"/>
  <c r="F19" i="3"/>
  <c r="F76" i="66"/>
  <c r="E39"/>
  <c r="E34"/>
  <c r="K29" i="39"/>
  <c r="D101" i="34"/>
  <c r="C39" i="38"/>
  <c r="D6"/>
  <c r="D20" s="1"/>
  <c r="D36" s="1"/>
  <c r="B44" i="32"/>
  <c r="D6" i="36"/>
  <c r="D20" s="1"/>
  <c r="D38" s="1"/>
  <c r="E6" s="1"/>
  <c r="E20" s="1"/>
  <c r="E38" s="1"/>
  <c r="E39" s="1"/>
  <c r="C67" i="54"/>
  <c r="D39"/>
  <c r="D50" s="1"/>
  <c r="D64" s="1"/>
  <c r="C34"/>
  <c r="E6"/>
  <c r="E17" s="1"/>
  <c r="E31" s="1"/>
  <c r="E32" s="1"/>
  <c r="D34"/>
  <c r="D67" i="18"/>
  <c r="G18" i="58"/>
  <c r="E13" i="66"/>
  <c r="C34" i="18"/>
  <c r="D6"/>
  <c r="D17" s="1"/>
  <c r="D31" s="1"/>
  <c r="E39" i="17"/>
  <c r="E50" s="1"/>
  <c r="E64" s="1"/>
  <c r="E65" s="1"/>
  <c r="D67"/>
  <c r="E6"/>
  <c r="E17" s="1"/>
  <c r="E31" s="1"/>
  <c r="E32" s="1"/>
  <c r="C67" i="16"/>
  <c r="D39"/>
  <c r="D50" s="1"/>
  <c r="D64" s="1"/>
  <c r="E6"/>
  <c r="E17" s="1"/>
  <c r="E31" s="1"/>
  <c r="E32" s="1"/>
  <c r="D34"/>
  <c r="G42" i="34"/>
  <c r="B47"/>
  <c r="G86" i="66"/>
  <c r="G46"/>
  <c r="H49" i="3"/>
  <c r="D28" i="19"/>
  <c r="D33"/>
  <c r="D44" s="1"/>
  <c r="D58" s="1"/>
  <c r="D61" s="1"/>
  <c r="M33" i="21"/>
  <c r="M46" s="1"/>
  <c r="G91" i="7"/>
  <c r="E72"/>
  <c r="E79" s="1"/>
  <c r="C72"/>
  <c r="C79" s="1"/>
  <c r="D72"/>
  <c r="D79" s="1"/>
  <c r="B123" i="9"/>
  <c r="D123"/>
  <c r="C123"/>
  <c r="F8" i="5"/>
  <c r="F11" s="1"/>
  <c r="D8"/>
  <c r="D11" s="1"/>
  <c r="E10"/>
  <c r="D103" i="34"/>
  <c r="E29"/>
  <c r="G43" s="1"/>
  <c r="D67" i="15"/>
  <c r="E39"/>
  <c r="E50" s="1"/>
  <c r="E64" s="1"/>
  <c r="E65" s="1"/>
  <c r="E10" i="7" l="1"/>
  <c r="D39" i="38"/>
  <c r="E6"/>
  <c r="E20" s="1"/>
  <c r="E36" s="1"/>
  <c r="E37" s="1"/>
  <c r="D41" i="36"/>
  <c r="D67" i="54"/>
  <c r="E39"/>
  <c r="E50" s="1"/>
  <c r="E64" s="1"/>
  <c r="E65" s="1"/>
  <c r="G17" i="58"/>
  <c r="E12" i="66"/>
  <c r="E22" s="1"/>
  <c r="D34" i="18"/>
  <c r="E6"/>
  <c r="E17" s="1"/>
  <c r="E31" s="1"/>
  <c r="E32" s="1"/>
  <c r="D67" i="16"/>
  <c r="E39"/>
  <c r="E50" s="1"/>
  <c r="E64" s="1"/>
  <c r="E65" s="1"/>
  <c r="E33" i="19"/>
  <c r="E44" s="1"/>
  <c r="E58" s="1"/>
  <c r="E59" s="1"/>
  <c r="B13" i="21"/>
  <c r="B45" s="1"/>
  <c r="B47" s="1"/>
  <c r="C78" i="7"/>
  <c r="F82"/>
  <c r="F13" i="21"/>
  <c r="F45" s="1"/>
  <c r="F47" s="1"/>
  <c r="E78" i="7"/>
  <c r="F17" i="3"/>
  <c r="F49" s="1"/>
  <c r="E83" i="7"/>
  <c r="D114"/>
  <c r="D78"/>
  <c r="D13" i="21"/>
  <c r="D45" s="1"/>
  <c r="D47" s="1"/>
  <c r="C80" i="7"/>
  <c r="C114"/>
  <c r="G83"/>
  <c r="E8" i="5"/>
  <c r="E9" i="7" s="1"/>
  <c r="E8"/>
  <c r="E30" i="34"/>
  <c r="E47" s="1"/>
  <c r="E11" i="5" l="1"/>
  <c r="G34" i="66"/>
  <c r="G74"/>
  <c r="E23"/>
  <c r="E40" s="1"/>
  <c r="B83" i="7"/>
  <c r="C115"/>
  <c r="D5"/>
  <c r="D42" s="1"/>
  <c r="E41"/>
  <c r="G79" s="1"/>
  <c r="E48" i="34"/>
  <c r="G75" i="66" l="1"/>
  <c r="E41"/>
  <c r="E42" s="1"/>
  <c r="D80" i="7"/>
  <c r="D51"/>
  <c r="E49" i="34"/>
  <c r="G15" i="58"/>
  <c r="G22" s="1"/>
  <c r="D24" s="1"/>
  <c r="K84" i="34"/>
  <c r="E28" l="1"/>
  <c r="E21" i="66"/>
  <c r="G15" i="21"/>
  <c r="H15" s="1"/>
  <c r="G19" i="3"/>
  <c r="G35" i="66"/>
  <c r="K75"/>
  <c r="G76"/>
  <c r="G79" s="1"/>
  <c r="G14" i="21"/>
  <c r="H14" s="1"/>
  <c r="G18" i="3"/>
  <c r="J38" i="24"/>
  <c r="J40" s="1"/>
  <c r="D115" i="7"/>
  <c r="B84" s="1"/>
  <c r="G78"/>
  <c r="E5"/>
  <c r="E42" s="1"/>
  <c r="G44" i="34"/>
  <c r="E23" i="58"/>
  <c r="G43" i="66" l="1"/>
  <c r="G83"/>
  <c r="G29" i="58"/>
  <c r="E30" s="1"/>
  <c r="D31" s="1"/>
  <c r="F33" s="1"/>
  <c r="F80" i="66" s="1"/>
  <c r="K35"/>
  <c r="G36"/>
  <c r="G39" s="1"/>
  <c r="G52" i="34"/>
  <c r="E51" i="7"/>
  <c r="E84"/>
  <c r="E85" s="1"/>
  <c r="E86" s="1"/>
  <c r="G45" i="34"/>
  <c r="G48" s="1"/>
  <c r="K44"/>
  <c r="G17" i="3" l="1"/>
  <c r="G49" s="1"/>
  <c r="G50" s="1"/>
  <c r="I48" i="66" s="1"/>
  <c r="I88"/>
  <c r="G13" i="21"/>
  <c r="G45" s="1"/>
  <c r="M54" s="1"/>
  <c r="E40" i="7"/>
  <c r="G80"/>
  <c r="K80" s="1"/>
  <c r="I57" i="34"/>
  <c r="I93" i="7"/>
  <c r="H13" i="21" l="1"/>
  <c r="G81" i="7"/>
  <c r="G84" s="1"/>
  <c r="G88"/>
  <c r="M45" i="21"/>
  <c r="M47" s="1"/>
  <c r="M36" s="1"/>
  <c r="J36" s="1"/>
  <c r="M35" l="1"/>
  <c r="J35" s="1"/>
  <c r="H45"/>
  <c r="G90" i="7" l="1"/>
  <c r="G45" i="66"/>
  <c r="G85"/>
  <c r="G54" i="34"/>
  <c r="M51" i="21"/>
</calcChain>
</file>

<file path=xl/sharedStrings.xml><?xml version="1.0" encoding="utf-8"?>
<sst xmlns="http://schemas.openxmlformats.org/spreadsheetml/2006/main" count="2390" uniqueCount="1254">
  <si>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</si>
  <si>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</si>
  <si>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</si>
  <si>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</si>
  <si>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</si>
  <si>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</si>
  <si>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</si>
  <si>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</si>
  <si>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</si>
  <si>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</si>
  <si>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</si>
  <si>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</si>
  <si>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</si>
  <si>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</si>
  <si>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</si>
  <si>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</si>
  <si>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</si>
  <si>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</si>
  <si>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</si>
  <si>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</si>
  <si>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</si>
  <si>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</si>
  <si>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</si>
  <si>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</si>
  <si>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</si>
  <si>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</si>
  <si>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</si>
  <si>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</si>
  <si>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</si>
  <si>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</si>
  <si>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</si>
  <si>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</si>
  <si>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</si>
  <si>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</si>
  <si>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</si>
  <si>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</si>
  <si>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</si>
  <si>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</si>
  <si>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</si>
  <si>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</si>
  <si>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</si>
  <si>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</si>
  <si>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</si>
  <si>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</si>
  <si>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</si>
  <si>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</si>
  <si>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</si>
  <si>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</si>
  <si>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</si>
  <si>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</si>
  <si>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</si>
  <si>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</si>
  <si>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</si>
  <si>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</si>
  <si>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</si>
  <si>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</si>
  <si>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</si>
  <si>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</si>
  <si>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</si>
  <si>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</si>
  <si>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</si>
  <si>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</si>
  <si>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</si>
  <si>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</si>
  <si>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</si>
  <si>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</si>
  <si>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</si>
  <si>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</si>
  <si>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</si>
  <si>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</si>
  <si>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</si>
  <si>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</si>
  <si>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</si>
  <si>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</si>
  <si>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</si>
  <si>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</si>
  <si>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</si>
  <si>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</si>
  <si>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</si>
  <si>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</si>
  <si>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</si>
  <si>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</si>
  <si>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</si>
  <si>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</si>
  <si>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</si>
  <si>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</si>
  <si>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</si>
  <si>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</si>
  <si>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</si>
  <si>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LAVTR</t>
  </si>
  <si>
    <t>City and County Revenue Sharing</t>
  </si>
  <si>
    <t>Enter year being budgeted (YYYY)</t>
  </si>
  <si>
    <t>10-113</t>
  </si>
  <si>
    <t xml:space="preserve">  G.O. Bonds</t>
  </si>
  <si>
    <t xml:space="preserve">  Revenue Bonds</t>
  </si>
  <si>
    <t xml:space="preserve">  Other</t>
  </si>
  <si>
    <t xml:space="preserve">  Lease Purchase Principal</t>
  </si>
  <si>
    <t>Other (non-tax levy) fund names: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</si>
  <si>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</si>
  <si>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</si>
  <si>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</si>
  <si>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</si>
  <si>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</si>
  <si>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</si>
  <si>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</si>
  <si>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</si>
  <si>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</si>
  <si>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</si>
  <si>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</si>
  <si>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</si>
  <si>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</si>
  <si>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</si>
  <si>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</si>
  <si>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adopt an ordinance to exceed this limit, publish the ordinance, and</t>
  </si>
  <si>
    <t>attach a copy of the published ordinance to this budget.</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</si>
  <si>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</si>
  <si>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</si>
  <si>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</si>
  <si>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</si>
  <si>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</si>
  <si>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</si>
  <si>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</si>
  <si>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</si>
  <si>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</si>
  <si>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</si>
  <si>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</si>
  <si>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</si>
  <si>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</si>
  <si>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</si>
  <si>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</si>
  <si>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</si>
  <si>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</si>
  <si>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</si>
  <si>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</si>
  <si>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</si>
  <si>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</si>
  <si>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</si>
  <si>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</si>
  <si>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</si>
  <si>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</si>
  <si>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</si>
  <si>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</si>
  <si>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</si>
  <si>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</si>
  <si>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</si>
  <si>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</si>
  <si>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</si>
  <si>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</si>
  <si>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</si>
  <si>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</si>
  <si>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</si>
  <si>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</si>
  <si>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</si>
  <si>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</si>
  <si>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</si>
  <si>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</si>
  <si>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</si>
  <si>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</si>
  <si>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</si>
  <si>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</si>
  <si>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Enter City Name ( City of )</t>
  </si>
  <si>
    <t>1st</t>
  </si>
  <si>
    <t>2nd</t>
  </si>
  <si>
    <t>3rd</t>
  </si>
  <si>
    <t>Enter Other Counties' Name:</t>
  </si>
  <si>
    <t>Assessed Valuation:</t>
  </si>
  <si>
    <t>Total Assessed Valuation</t>
  </si>
  <si>
    <t>Attest:_____________________,</t>
  </si>
  <si>
    <t xml:space="preserve">  Real               Estate</t>
  </si>
  <si>
    <t>Recreational Vehicle</t>
  </si>
  <si>
    <t xml:space="preserve">16\20 M Vehicle </t>
  </si>
  <si>
    <t xml:space="preserve">Motor              Vehicle </t>
  </si>
  <si>
    <t>Total Vehicle Tax Estimates</t>
  </si>
  <si>
    <r>
      <t>**</t>
    </r>
    <r>
      <rPr>
        <b/>
        <u/>
        <sz val="12"/>
        <rFont val="Times New Roman"/>
        <family val="1"/>
      </rPr>
      <t>Note</t>
    </r>
    <r>
      <rPr>
        <sz val="12"/>
        <rFont val="Times New Roman"/>
        <family val="1"/>
      </rPr>
      <t>: The delinquency rate can be up to 5% more than the actual delinquency rate from the previous year.</t>
    </r>
  </si>
  <si>
    <t xml:space="preserve">Neighborhood Revitalization </t>
  </si>
  <si>
    <t>City4 Spreadsheet Instructions</t>
  </si>
  <si>
    <t xml:space="preserve">Cities can use the city.xls, city1.xls, city2, city3 or city4.xls files.   You must choose a form that meets the needs for the number of funds.  If you don't need all the funds, just leave the pages blank and number the completed pages sequentially. </t>
  </si>
  <si>
    <t>Input sheet for City4.XLS budget form</t>
  </si>
  <si>
    <t>Funds</t>
  </si>
  <si>
    <t xml:space="preserve">expenditure amounts should reflect the amended </t>
  </si>
  <si>
    <t>expenditure amounts.</t>
  </si>
  <si>
    <t>Neighborhood Revitalization Rebate</t>
  </si>
  <si>
    <t>Miscellaneous</t>
  </si>
  <si>
    <t>Does miscellaneous exceed 10% of Total Expenditure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</si>
  <si>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</si>
  <si>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</si>
  <si>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</si>
  <si>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37. Change Certificate page total for mil rates from 0 to blank.</t>
  </si>
  <si>
    <t>Enter Home County Name followed by "County"</t>
  </si>
  <si>
    <t>Cash Balance Jan 1</t>
  </si>
  <si>
    <t>39. Added 'excluding oil, gas, and mobile homes' on Clerks budget info on tab inputoth.</t>
  </si>
  <si>
    <t>***If you are merely leasing/renting with no intent to purchase, do not list--such transactions are not lease-purchases.</t>
  </si>
  <si>
    <t>21. Added four single no levy fund pages and 4 non-budgeted pages.</t>
  </si>
  <si>
    <t>22. Added question on Certificate page about the ordinance.</t>
  </si>
  <si>
    <t xml:space="preserve">Ad Valorem Tax </t>
  </si>
  <si>
    <t>23. Added note to the non-budgeted fund pages to ensure the amounts agree.</t>
  </si>
  <si>
    <t>24. Added to instructions about non-appropriated balances being limited to 5%.</t>
  </si>
  <si>
    <t>25. Added warning "Exceeds 5%" on all fund pages for the non-appropirated balance.</t>
  </si>
  <si>
    <t>26. Added three additional spaces for Counties information on the input pages.</t>
  </si>
  <si>
    <t>27. Added line on instruction page for the three additional Counties information.</t>
  </si>
  <si>
    <t>28. Added Neighborhood Revitalization table and added links to all tax levy fund pages.</t>
  </si>
  <si>
    <t>29. Added to the instructions about neighborhood revitalization and made new line for transfers.</t>
  </si>
  <si>
    <t xml:space="preserve">30. Added Slider to the Vehicle Allocation table and linked to the fund pages. </t>
  </si>
  <si>
    <t>31. Added to all budgeted fund pages the budget authority for the actual year, budget violation, and cash violation.</t>
  </si>
  <si>
    <t>32. Added instruction on the addition for item 32.</t>
  </si>
  <si>
    <t>38. Expanded on the preparation of budget note 11 for instructions for the Notice of Budget Hearing.</t>
  </si>
  <si>
    <t>The following were changed to this spreadsheet on 5/08/2008</t>
  </si>
  <si>
    <t>1. Instruction page #9a change from 'shown be shown' to read 'should be shown'.</t>
  </si>
  <si>
    <t>2. Change Transfers tab footer from 'Page No. 5' to read 'Page No. 4'.</t>
  </si>
  <si>
    <r>
      <t>3. Change all Non-Budgeted Funds forms from 'Only the actual budget year shown' to '</t>
    </r>
    <r>
      <rPr>
        <i/>
        <sz val="12"/>
        <rFont val="Times New Roman"/>
        <family val="1"/>
      </rPr>
      <t>Only the actual budget year for YYYY is to be shown</t>
    </r>
    <r>
      <rPr>
        <sz val="12"/>
        <rFont val="Times New Roman"/>
        <family val="1"/>
      </rPr>
      <t>'.</t>
    </r>
  </si>
  <si>
    <t>4. Change Budget Summary from 'Proposed Budget Expenditures' to read 'Proposed Budget YYYY Expenditures'.</t>
  </si>
  <si>
    <t>5. Change Legend #38 from 'note 10' to 'note 11'.</t>
  </si>
  <si>
    <t>6. All pages revision date was changed.</t>
  </si>
  <si>
    <t>The following were changed to this spreadsheet on 6/30/08</t>
  </si>
  <si>
    <t>1. Changed the link on Non-BudD to have the correct fund names picked up from inputpryr.</t>
  </si>
  <si>
    <t>The following were changed to this spreadsheet on 7/11/08</t>
  </si>
  <si>
    <t>1. Changed the formula on the 'summ tab' cell c20 to c29 to correct duplication on cell c20 and renumber c21-c29.</t>
  </si>
  <si>
    <t>Debt Service</t>
  </si>
  <si>
    <t xml:space="preserve">           General Fund - Detail Expend</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</si>
  <si>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</si>
  <si>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</si>
  <si>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</si>
  <si>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</si>
  <si>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</si>
  <si>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</si>
  <si>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</si>
  <si>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</si>
  <si>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</si>
  <si>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</si>
  <si>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</si>
  <si>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</si>
  <si>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</si>
  <si>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</si>
  <si>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</si>
  <si>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</si>
  <si>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</si>
  <si>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</si>
  <si>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</si>
  <si>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</si>
  <si>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</si>
  <si>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</si>
  <si>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</si>
  <si>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</si>
  <si>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</si>
  <si>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</si>
  <si>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4. Changed foot note to reflect the changes maded on 7/1/08 to the above tabs.</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</si>
  <si>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</si>
  <si>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</si>
  <si>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7. Added four single page for no tax levy fund page.</t>
  </si>
  <si>
    <t>11. Added Neighborhood Revitalization, LAVTR, City and County Revenue Sharing, and Slider to the input page and to the General Fund page. Also each tax levy fund pages has the NR.</t>
  </si>
  <si>
    <t>33.  Added miscellanous category to both receipt and expenditure and set warning on fund pages.</t>
  </si>
  <si>
    <t>34. Added instruction concerning the miscellaneous category and how to fix warning.</t>
  </si>
  <si>
    <t xml:space="preserve">35. Added page number for neighborhood revit on the Certificate page. </t>
  </si>
  <si>
    <t>36. Added three spaces for additional counties on the inputpryr, clerk's info, and certificate page.</t>
  </si>
  <si>
    <t xml:space="preserve">General Instructions </t>
  </si>
  <si>
    <t>Fund Names:</t>
  </si>
  <si>
    <t>Statute</t>
  </si>
  <si>
    <t>General</t>
  </si>
  <si>
    <t>Fund name for all funds with a tax levy:</t>
  </si>
  <si>
    <t>Total</t>
  </si>
  <si>
    <t xml:space="preserve"> </t>
  </si>
  <si>
    <t>County</t>
  </si>
  <si>
    <t>Page</t>
  </si>
  <si>
    <t>Clerk's</t>
  </si>
  <si>
    <t>Table of Contents:</t>
  </si>
  <si>
    <t>No.</t>
  </si>
  <si>
    <t>Use Only</t>
  </si>
  <si>
    <t>Statement of Indebtedness</t>
  </si>
  <si>
    <t>Statement of Lease-Purchases</t>
  </si>
  <si>
    <t>Fund</t>
  </si>
  <si>
    <t>K.S.A.</t>
  </si>
  <si>
    <t>Totals</t>
  </si>
  <si>
    <t>x</t>
  </si>
  <si>
    <t>Assisted by: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</si>
  <si>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</si>
  <si>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</si>
  <si>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</si>
  <si>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</si>
  <si>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</si>
  <si>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</si>
  <si>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</si>
  <si>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</si>
  <si>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</si>
  <si>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</si>
  <si>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</si>
  <si>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</si>
  <si>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</si>
  <si>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</si>
  <si>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</si>
  <si>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</si>
  <si>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</si>
  <si>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</si>
  <si>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</si>
  <si>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</si>
  <si>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</si>
  <si>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</si>
  <si>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</si>
  <si>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</si>
  <si>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</si>
  <si>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</si>
  <si>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</si>
  <si>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</si>
  <si>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</si>
  <si>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</si>
  <si>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</si>
  <si>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</si>
  <si>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</si>
  <si>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</si>
  <si>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</si>
  <si>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</si>
  <si>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</si>
  <si>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</si>
  <si>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</si>
  <si>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</si>
  <si>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</si>
  <si>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</si>
  <si>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</si>
  <si>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</si>
  <si>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</si>
  <si>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</si>
  <si>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</si>
  <si>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</si>
  <si>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</si>
  <si>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</si>
  <si>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</si>
  <si>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</si>
  <si>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</si>
  <si>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</si>
  <si>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</si>
  <si>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</si>
  <si>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</si>
  <si>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</si>
  <si>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</si>
  <si>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</si>
  <si>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</si>
  <si>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</si>
  <si>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</si>
  <si>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</si>
  <si>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</si>
  <si>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</si>
  <si>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</si>
  <si>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</si>
  <si>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</si>
  <si>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</si>
  <si>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77 change from Budget Summary to Budget Certificate.</t>
  </si>
  <si>
    <t>The following were changed to this spreadsheet on 6/16/09</t>
  </si>
  <si>
    <t>1. Mvalloc tab, 'Budget Tax Levy Amount for -1' links for amounts from 'inputPrYr' were changed to reflect column 'D' to column 'E'.</t>
  </si>
  <si>
    <t>forms in the appropriate locations. If any of the numbers are wrong, change them on this input sheet.</t>
  </si>
  <si>
    <t xml:space="preserve">Enter the following information from the sources shown.  This information will be entered on the budget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</si>
  <si>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</si>
  <si>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</si>
  <si>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Budget Tax Levy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</si>
  <si>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</si>
  <si>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</si>
  <si>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</si>
  <si>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</si>
  <si>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</si>
  <si>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</si>
  <si>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</si>
  <si>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</si>
  <si>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</si>
  <si>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</si>
  <si>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</si>
  <si>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</si>
  <si>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</si>
  <si>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</si>
  <si>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</si>
  <si>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</si>
  <si>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</si>
  <si>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</si>
  <si>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</si>
  <si>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</si>
  <si>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</si>
  <si>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</si>
  <si>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</si>
  <si>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</si>
  <si>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</si>
  <si>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</si>
  <si>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</si>
  <si>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</si>
  <si>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</si>
  <si>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</si>
  <si>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</si>
  <si>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</si>
  <si>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</si>
  <si>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</si>
  <si>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</si>
  <si>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</si>
  <si>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</si>
  <si>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</si>
  <si>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</si>
  <si>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</si>
  <si>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</si>
  <si>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</si>
  <si>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 xml:space="preserve">           General Fund - Detail Page 2</t>
  </si>
  <si>
    <t>Page 2 -Total</t>
  </si>
  <si>
    <t>Page 1 -Total</t>
  </si>
  <si>
    <t xml:space="preserve">Grand Total </t>
  </si>
  <si>
    <t>The following were changed to this spreadsheet on 10/6/09</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</si>
  <si>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</si>
  <si>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</si>
  <si>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</si>
  <si>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</si>
  <si>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</si>
  <si>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</si>
  <si>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</si>
  <si>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</si>
  <si>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Gen tab added eight additional detail lines and linked to the detail page</t>
  </si>
  <si>
    <t>10. Certificate tab moved the Assisted By: and added more lines for governing body signatures</t>
  </si>
  <si>
    <t>Date:</t>
  </si>
  <si>
    <t>Time:</t>
  </si>
  <si>
    <t>Location:</t>
  </si>
  <si>
    <t>City Hall</t>
  </si>
  <si>
    <t>Available at:</t>
  </si>
  <si>
    <t>Examples</t>
  </si>
  <si>
    <t>August 12, 2010</t>
  </si>
  <si>
    <t>7:00 PM or 7:00 AM</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</si>
  <si>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</si>
  <si>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</si>
  <si>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</si>
  <si>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</si>
  <si>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</si>
  <si>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</si>
  <si>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</si>
  <si>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</si>
  <si>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</si>
  <si>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</si>
  <si>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</si>
  <si>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</si>
  <si>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</si>
  <si>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</si>
  <si>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</si>
  <si>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</si>
  <si>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</si>
  <si>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</si>
  <si>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</si>
  <si>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</si>
  <si>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</si>
  <si>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</si>
  <si>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</si>
  <si>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</si>
  <si>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</si>
  <si>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</si>
  <si>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</si>
  <si>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</si>
  <si>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</si>
  <si>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</si>
  <si>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</si>
  <si>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</si>
  <si>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</si>
  <si>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</si>
  <si>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</si>
  <si>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</si>
  <si>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</si>
  <si>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</si>
  <si>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</si>
  <si>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</si>
  <si>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</si>
  <si>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</si>
  <si>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</si>
  <si>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</si>
  <si>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</si>
  <si>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</si>
  <si>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</si>
  <si>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</si>
  <si>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</si>
  <si>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</si>
  <si>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</si>
  <si>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</si>
  <si>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</si>
  <si>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</si>
  <si>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</si>
  <si>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</si>
  <si>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</si>
  <si>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</si>
  <si>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</si>
  <si>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</si>
  <si>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</si>
  <si>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</si>
  <si>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</si>
  <si>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</si>
  <si>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</si>
  <si>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</si>
  <si>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</si>
  <si>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</si>
  <si>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</si>
  <si>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</si>
  <si>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</si>
  <si>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</si>
  <si>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</si>
  <si>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</si>
  <si>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</si>
  <si>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</si>
  <si>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</si>
  <si>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</si>
  <si>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</si>
  <si>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</si>
  <si>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</si>
  <si>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</si>
  <si>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</si>
  <si>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</si>
  <si>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</si>
  <si>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</si>
  <si>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</si>
  <si>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</si>
  <si>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</si>
  <si>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</si>
  <si>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</si>
  <si>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</si>
  <si>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</si>
  <si>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</si>
  <si>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</si>
  <si>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</si>
  <si>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</si>
  <si>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</si>
  <si>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</si>
  <si>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</si>
  <si>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</si>
  <si>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</si>
  <si>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</si>
  <si>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</si>
  <si>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</si>
  <si>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</si>
  <si>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</si>
  <si>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</si>
  <si>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</si>
  <si>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</si>
  <si>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</si>
  <si>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</si>
  <si>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</si>
  <si>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</si>
  <si>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</si>
  <si>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</si>
  <si>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</si>
  <si>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</si>
  <si>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</si>
  <si>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</si>
  <si>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</si>
  <si>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</si>
  <si>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</si>
  <si>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</si>
  <si>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</si>
  <si>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</si>
  <si>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</si>
  <si>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</si>
  <si>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</si>
  <si>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</si>
  <si>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</si>
  <si>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</si>
  <si>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</si>
  <si>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</si>
  <si>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</si>
  <si>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</si>
  <si>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</si>
  <si>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</si>
  <si>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</si>
  <si>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</si>
  <si>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</si>
  <si>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</si>
  <si>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</si>
  <si>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</si>
  <si>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</si>
  <si>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</si>
  <si>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</si>
  <si>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</si>
  <si>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</si>
  <si>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</si>
  <si>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</si>
  <si>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</si>
  <si>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</si>
  <si>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</si>
  <si>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</si>
  <si>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</si>
  <si>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</si>
  <si>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</si>
  <si>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</si>
  <si>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</si>
  <si>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</si>
  <si>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</si>
  <si>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</si>
  <si>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</si>
  <si>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</si>
  <si>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</si>
  <si>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</si>
  <si>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</si>
  <si>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</si>
  <si>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</si>
  <si>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</si>
  <si>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</si>
  <si>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</si>
  <si>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</si>
  <si>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</si>
  <si>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</si>
  <si>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</si>
  <si>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</si>
  <si>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</si>
  <si>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</si>
  <si>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</si>
  <si>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</si>
  <si>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</si>
  <si>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</si>
  <si>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</si>
  <si>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</si>
  <si>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</si>
  <si>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</si>
  <si>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</si>
  <si>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</si>
  <si>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</si>
  <si>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</si>
  <si>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</si>
  <si>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</si>
  <si>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</si>
  <si>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</si>
  <si>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</si>
  <si>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</si>
  <si>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</si>
  <si>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</si>
  <si>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</si>
  <si>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</si>
  <si>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</si>
  <si>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</si>
  <si>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</si>
  <si>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</si>
  <si>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</si>
  <si>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</si>
  <si>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</si>
  <si>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</si>
  <si>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</si>
  <si>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</si>
  <si>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</si>
  <si>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</si>
  <si>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</si>
  <si>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</si>
  <si>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</si>
  <si>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</si>
  <si>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</si>
  <si>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</si>
  <si>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12a. At the bottom of the page is a green shaded area, enter the page number.</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</si>
  <si>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</si>
  <si>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</si>
  <si>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</si>
  <si>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</si>
  <si>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</si>
  <si>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</si>
  <si>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r>
      <t>Adjustments</t>
    </r>
    <r>
      <rPr>
        <b/>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</si>
  <si>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</si>
  <si>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</si>
  <si>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</si>
  <si>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</si>
  <si>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</si>
  <si>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</si>
  <si>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</si>
  <si>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</si>
  <si>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</si>
  <si>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</si>
  <si>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6/29/10</t>
  </si>
  <si>
    <t>1. Computation Tab - Item #9 Total Estimated Valuation July 1, -1 changed cell E28 ref from D48 to B13</t>
  </si>
  <si>
    <t>2. GenDetail Tab - changed print area to print both 7b and 7c pages versus 7b only</t>
  </si>
  <si>
    <t>Official Title:</t>
  </si>
  <si>
    <t>City Clerk, City Treasurer, Mayor</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</si>
  <si>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</si>
  <si>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</si>
  <si>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</si>
  <si>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</si>
  <si>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</si>
  <si>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</si>
  <si>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</si>
  <si>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</si>
  <si>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</si>
  <si>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</si>
  <si>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Non-Appropriated Balance</t>
  </si>
  <si>
    <t>Total Expenditure/Non-Appr Balance</t>
  </si>
  <si>
    <t>Delinquent Comp Rate:</t>
  </si>
  <si>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</si>
  <si>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</si>
  <si>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</si>
  <si>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</si>
  <si>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</si>
  <si>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</si>
  <si>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</si>
  <si>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</si>
  <si>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</si>
  <si>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</si>
  <si>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</si>
  <si>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</si>
  <si>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</si>
  <si>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</si>
  <si>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</si>
  <si>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</si>
  <si>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</si>
  <si>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</si>
  <si>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</si>
  <si>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</si>
  <si>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</si>
  <si>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</si>
  <si>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</si>
  <si>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</si>
  <si>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</si>
  <si>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</si>
  <si>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</si>
  <si>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</si>
  <si>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</si>
  <si>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</si>
  <si>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</si>
  <si>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</si>
  <si>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</si>
  <si>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</si>
  <si>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</si>
  <si>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</si>
  <si>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</si>
  <si>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</si>
  <si>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</si>
  <si>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</si>
  <si>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</si>
  <si>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</si>
  <si>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</si>
  <si>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</si>
  <si>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</si>
  <si>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</si>
  <si>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</si>
  <si>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</si>
  <si>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</si>
  <si>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</si>
  <si>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</si>
  <si>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</si>
  <si>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</si>
  <si>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</si>
  <si>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</si>
  <si>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</si>
  <si>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</si>
  <si>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</si>
  <si>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</si>
  <si>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</si>
  <si>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</si>
  <si>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</si>
  <si>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</si>
  <si>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</si>
  <si>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</si>
  <si>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</si>
  <si>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</si>
  <si>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</si>
  <si>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</si>
  <si>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</si>
  <si>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</si>
  <si>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</si>
  <si>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</si>
  <si>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</si>
  <si>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</si>
  <si>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</si>
  <si>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</si>
  <si>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</si>
  <si>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</si>
  <si>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</si>
  <si>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</si>
  <si>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</si>
  <si>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the actual year column of the current budget).  After the information has been entered, please verify the data is correct. </t>
  </si>
  <si>
    <t>4c. The Certificate page allows for up to four counties assessed valuation.</t>
  </si>
  <si>
    <t>1. All pages removed the revision date</t>
  </si>
  <si>
    <t>2. All tax levy fund pages reduced the columns and revised the bottom of pages for see tabs</t>
  </si>
  <si>
    <t>3. Instruction tab added lines 4d (cert-rec), 11b (fund-rec), 14(project carryover), 14a (Desired Carryover), and 15 (protection)</t>
  </si>
  <si>
    <t>The following were changed to this spreadsheet on 9/7/10</t>
  </si>
  <si>
    <t xml:space="preserve">Totals </t>
  </si>
  <si>
    <t>4. Inputpryr tab added lines 25 and 26 for 'Other Fund Not Considered' and Recreation fund</t>
  </si>
  <si>
    <t>5. Certificate tab change the 'Expenditure' heading by adding  'Budget Authority for Expenditures'</t>
  </si>
  <si>
    <t>6. Certificate tab change 'Total' to 'Totals for City' and added another line for 'Totals Includes Recreation'</t>
  </si>
  <si>
    <t>7. Certificate tab added line for 'Recreation', statute, expenditure, ad valorem, and levy</t>
  </si>
  <si>
    <t>8. Certificate tab created check to determine if levy for recreation is exceeded</t>
  </si>
  <si>
    <t xml:space="preserve">9. Certificate tab added additional lines for the governing body signatures </t>
  </si>
  <si>
    <t>10. Certificate tab add the year in the block for 'County Clerk Use Only'</t>
  </si>
  <si>
    <t>11. Certificate tab moved the 'County Clerk's Use Only' from center to right</t>
  </si>
  <si>
    <t>12. Debt tab expand the 'Date' columns and removed two lines from the 'Other Section'</t>
  </si>
  <si>
    <t>13. Gen tab added revenue line for 'Compensation Use'</t>
  </si>
  <si>
    <t>14. Gen tab added table for 'Projection of Cash Carryover'</t>
  </si>
  <si>
    <t>15. Gen tab added table for 'Desired Carryover'</t>
  </si>
  <si>
    <t>16. Gen tab redefine print que to not include tables</t>
  </si>
  <si>
    <t>17. Gen tab hid the comp for see tabs</t>
  </si>
  <si>
    <t>18. DebtService tab reduced the Debt Service fund page and added the Recreation fund</t>
  </si>
  <si>
    <t>19. DebtService tab added table for 'Projected Carryover'</t>
  </si>
  <si>
    <t>20. DebtService tab redefine print que and hid comp for see tabs</t>
  </si>
  <si>
    <t>21. Levy page9 to page13 tab hid comp for see tabs</t>
  </si>
  <si>
    <t>22. Summ tab added line after total for Recreation fund and put a check to determine if levy was exceeded</t>
  </si>
  <si>
    <t>23. Summ tab merged cells above the 'City Official Title' and center a name if used</t>
  </si>
  <si>
    <t>24. Summ tab link the City Official Title to inputBudSum tab</t>
  </si>
  <si>
    <t>25. Summ tab changed proposed year expenditure column to 'Budget Authority (Includes Carryover)</t>
  </si>
  <si>
    <t>26. Summ tab added four tables to the right of the form</t>
  </si>
  <si>
    <t>27. InputBudSum tab added line for City Official Title and provided an example</t>
  </si>
  <si>
    <t>28. Revised TransferStatutes and NonBudFunds tabs</t>
  </si>
  <si>
    <t>29. Added Mill Rate Computation tab</t>
  </si>
  <si>
    <t>30. Summ tab redefine print que</t>
  </si>
  <si>
    <t>31. Add Helpful Links tab</t>
  </si>
  <si>
    <t>32. Certificate page deleted state block</t>
  </si>
  <si>
    <t>33. Added four more no tax levy fund pages</t>
  </si>
  <si>
    <t>34.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</si>
  <si>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</si>
  <si>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</si>
  <si>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</si>
  <si>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</si>
  <si>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</si>
  <si>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</si>
  <si>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</si>
  <si>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</si>
  <si>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</si>
  <si>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3/21/11</t>
  </si>
  <si>
    <t>1. Debt Service tab corrected cell G34 from E21 to E20</t>
  </si>
  <si>
    <t>The following were changed to this spreadsheet on 4/19/11</t>
  </si>
  <si>
    <t>1. Summ tab changed proposed year expenditure column to 'Budget Authority for Expenditures'</t>
  </si>
  <si>
    <t xml:space="preserve">Prior Year </t>
  </si>
  <si>
    <t>Current Year</t>
  </si>
  <si>
    <t xml:space="preserve">Proposed Budget </t>
  </si>
  <si>
    <t xml:space="preserve">Current Year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</si>
  <si>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</si>
  <si>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</si>
  <si>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</si>
  <si>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</si>
  <si>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</si>
  <si>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</si>
  <si>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</si>
  <si>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</si>
  <si>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</si>
  <si>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</si>
  <si>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</si>
  <si>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</si>
  <si>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</si>
  <si>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</si>
  <si>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</si>
  <si>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</si>
  <si>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</si>
  <si>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</si>
  <si>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</si>
  <si>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</si>
  <si>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</si>
  <si>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</si>
  <si>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</si>
  <si>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</si>
  <si>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</si>
  <si>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</si>
  <si>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</si>
  <si>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</si>
  <si>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</si>
  <si>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</si>
  <si>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</si>
  <si>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</si>
  <si>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</si>
  <si>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</si>
  <si>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</si>
  <si>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</si>
  <si>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</si>
  <si>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</si>
  <si>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</si>
  <si>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</si>
  <si>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</si>
  <si>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</si>
  <si>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</si>
  <si>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</si>
  <si>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</si>
  <si>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</si>
  <si>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</si>
  <si>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</si>
  <si>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</si>
  <si>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</si>
  <si>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</si>
  <si>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Items</t>
  </si>
  <si>
    <t xml:space="preserve"> Purchased</t>
  </si>
  <si>
    <t xml:space="preserve">Type of </t>
  </si>
  <si>
    <t xml:space="preserve"> Debt</t>
  </si>
  <si>
    <t xml:space="preserve">Allocation of Motor, Recreational, 16/20M Vehicle Tax </t>
  </si>
  <si>
    <t>12-1220</t>
  </si>
  <si>
    <t>Library</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</si>
  <si>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</si>
  <si>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</si>
  <si>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</si>
  <si>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</si>
  <si>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</si>
  <si>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</si>
  <si>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</si>
  <si>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</si>
  <si>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</si>
  <si>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</si>
  <si>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</si>
  <si>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</si>
  <si>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</si>
  <si>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</si>
  <si>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</si>
  <si>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</si>
  <si>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</si>
  <si>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</si>
  <si>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</si>
  <si>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</si>
  <si>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</si>
  <si>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</si>
  <si>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Email:</t>
  </si>
  <si>
    <t>Expenditures Must Be Changed by:</t>
  </si>
  <si>
    <t>Mill Rate Comparison</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</si>
  <si>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</si>
  <si>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</si>
  <si>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</si>
  <si>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</si>
  <si>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</si>
  <si>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</si>
  <si>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</si>
  <si>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</si>
  <si>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</si>
  <si>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</si>
  <si>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</si>
  <si>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</si>
  <si>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</si>
  <si>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</si>
  <si>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</si>
  <si>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</si>
  <si>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</si>
  <si>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</si>
  <si>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</si>
  <si>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</si>
  <si>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</si>
  <si>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</si>
  <si>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</si>
  <si>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</si>
  <si>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</si>
  <si>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</si>
  <si>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</si>
  <si>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</si>
  <si>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</si>
  <si>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</si>
  <si>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</si>
  <si>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</si>
  <si>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</si>
  <si>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</si>
  <si>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</si>
  <si>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</si>
  <si>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</si>
  <si>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</si>
  <si>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was designed for a City having up to four counties providing budget information. The City4 spreadsheets has General Fund page (general), Debt Service and Library fund (DebtSvs-Library), 10 tax levy pages (levy page9 to levy page13), Special Highway page (Sp Hiway), 15 no levy fund pages (nolevypage15 to nolevypage21 with one under the Sp Hiway tab), 4 single no levy pages (SinNoLevy18-SinNolevy21), and 20 non-budgeted fund pages (NonBudA to NonBudD).</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</si>
  <si>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</si>
  <si>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</si>
  <si>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5. The information for the Computation to Determine Limit Page (computation) comes from data on the Input Page (inputOth) and Debt Service Page (DebtSvs-Library). If there is incorrect information on the Computation Page, please correct the source of the information from either the Input Page or Debt Service fund page. If you can not correct the error, please call us for assistance.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</si>
  <si>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</si>
  <si>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</si>
  <si>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(DebtSvs-Library), ten levy pages (levy page8 and levy page13), Special Highway Fund (SpecHwy), fifteen no levy fund pages (no levy page15 to no levy page21, and one fund below on Special Highway), four single no levy fund page (SinNoLevy18 to 21), and four non-budgeted fund pages (NonBudA thru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</si>
  <si>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</si>
  <si>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</si>
  <si>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</si>
  <si>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</si>
  <si>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</si>
  <si>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</si>
  <si>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</si>
  <si>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</si>
  <si>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</si>
  <si>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</si>
  <si>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</si>
  <si>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</si>
  <si>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</si>
  <si>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</si>
  <si>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</si>
  <si>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</si>
  <si>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</si>
  <si>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</si>
  <si>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</si>
  <si>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</si>
  <si>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</si>
  <si>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</si>
  <si>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</si>
  <si>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</si>
  <si>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</si>
  <si>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</si>
  <si>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</si>
  <si>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</si>
  <si>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</si>
  <si>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Allocation of MVT, RVT, 16/20M Vehicle Tax</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</si>
  <si>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</si>
  <si>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</si>
  <si>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#4d to show Certificate page new schedule for Library Grant</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</si>
  <si>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</si>
  <si>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</si>
  <si>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</si>
  <si>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</si>
  <si>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</si>
  <si>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</si>
  <si>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</si>
  <si>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</si>
  <si>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</si>
  <si>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</si>
  <si>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</si>
  <si>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</si>
  <si>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</si>
  <si>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Johnson</t>
  </si>
  <si>
    <t>Leavenworth</t>
  </si>
  <si>
    <t>City of Bonner Springs</t>
  </si>
  <si>
    <t>Wyandotte County</t>
  </si>
  <si>
    <t>Spec. Rev. Aquatic Park Facility Sales Tax</t>
  </si>
  <si>
    <t>Spec. Rev. County Infrastructure</t>
  </si>
  <si>
    <t>Spec. Rev. Convention &amp; Tourism</t>
  </si>
  <si>
    <t>Spec. Rev. Drug &amp; Alcohol</t>
  </si>
  <si>
    <t>Spec. Rev. Economic Development</t>
  </si>
  <si>
    <t>Spec. Rev. Emergency Services Capital</t>
  </si>
  <si>
    <t>Spec. Rev. Emergency Medical Services</t>
  </si>
  <si>
    <t>Spec. Rev. Library Sales Tax</t>
  </si>
  <si>
    <t>Spec. Rev. Park Dedication</t>
  </si>
  <si>
    <t>Spec. Rev. Recreation Programs</t>
  </si>
  <si>
    <t>Spec. Rev. Risk Management</t>
  </si>
  <si>
    <t>Spec. Rev. Senior Center</t>
  </si>
  <si>
    <t>Spec. Rev. Sidewalk Escrow</t>
  </si>
  <si>
    <t>Spec. Rev. Soccer</t>
  </si>
  <si>
    <t>Spec. Rev. Special Parks &amp; Recreation</t>
  </si>
  <si>
    <t>Spec. Rev. Street Projects</t>
  </si>
  <si>
    <t>Spec. Rev. Summer Ball</t>
  </si>
  <si>
    <t>Spec. Rev. Swimming Pool</t>
  </si>
  <si>
    <t>Spec. Rev. Tiblow Transit</t>
  </si>
  <si>
    <t>Spec. Rev. TIF Develop Funds</t>
  </si>
  <si>
    <t>Bonner Pointe TIF Increment</t>
  </si>
  <si>
    <t>CID Development Fees</t>
  </si>
  <si>
    <t>Bonner Springs Center CID</t>
  </si>
  <si>
    <t>Bonner Springs Ctr City Contribution</t>
  </si>
  <si>
    <t>Enterprise Fund - Solid Waste</t>
  </si>
  <si>
    <t>Enterprise Fund - Storm Water</t>
  </si>
  <si>
    <t>Enterprise Fund - Waste Water</t>
  </si>
  <si>
    <t>Enterprise Fund - Water</t>
  </si>
  <si>
    <t>Non Budgeted Funds</t>
  </si>
  <si>
    <t>Certified October 2012</t>
  </si>
  <si>
    <t>Certified</t>
  </si>
  <si>
    <t>August 12, 2013</t>
  </si>
  <si>
    <t>7:30 p.m.</t>
  </si>
  <si>
    <t>City Hall Council Chambers, 205 East Second Street</t>
  </si>
  <si>
    <t>City Clerk's Office at City Hall</t>
  </si>
  <si>
    <t>Bonner Beautiful</t>
  </si>
  <si>
    <t>Budget &amp; Finance</t>
  </si>
  <si>
    <t>Building Codes</t>
  </si>
  <si>
    <t>Cemetery</t>
  </si>
  <si>
    <t>City Band</t>
  </si>
  <si>
    <t>City Council</t>
  </si>
  <si>
    <t>City Manager</t>
  </si>
  <si>
    <t>Custodial</t>
  </si>
  <si>
    <t>Fire</t>
  </si>
  <si>
    <t>Municipal Court</t>
  </si>
  <si>
    <t>Parks &amp; Recreation</t>
  </si>
  <si>
    <t>Planning</t>
  </si>
  <si>
    <t>Police</t>
  </si>
  <si>
    <t>Property Maintenance Codes</t>
  </si>
  <si>
    <t>Public Works</t>
  </si>
  <si>
    <t>Transfers &amp; Contingencies</t>
  </si>
  <si>
    <t xml:space="preserve">  Miscellaneous Expense</t>
  </si>
  <si>
    <t xml:space="preserve">  Transfers</t>
  </si>
  <si>
    <t>General Fund</t>
  </si>
  <si>
    <t>Emergency Medical Services</t>
  </si>
  <si>
    <t>Senior Center</t>
  </si>
  <si>
    <t>Swim Pool</t>
  </si>
  <si>
    <t>Tiblow Transit</t>
  </si>
  <si>
    <t>Bonner Springs Center City Contribution</t>
  </si>
  <si>
    <t>Street Projects</t>
  </si>
  <si>
    <t>Waste Water</t>
  </si>
  <si>
    <t xml:space="preserve">   Total From General Fund</t>
  </si>
  <si>
    <t xml:space="preserve">  Retail Incentives Rebate </t>
  </si>
  <si>
    <t>2012/2013 Budget Authority Amount</t>
  </si>
  <si>
    <t>Actual for 2012</t>
  </si>
  <si>
    <t>Estimate for 2013</t>
  </si>
  <si>
    <t>Year for 2014</t>
  </si>
  <si>
    <t>2013 Budget</t>
  </si>
  <si>
    <t>Amendments</t>
  </si>
  <si>
    <t>Sale of Property</t>
  </si>
  <si>
    <t>Major Capital Items</t>
  </si>
  <si>
    <t>Liquor</t>
  </si>
  <si>
    <t>Transfer to Other Funds</t>
  </si>
  <si>
    <t>Miscellaneous Program Fees</t>
  </si>
  <si>
    <t>Personnel Services</t>
  </si>
  <si>
    <t>Commodity Items</t>
  </si>
  <si>
    <t>Capital Items</t>
  </si>
  <si>
    <t>Youth Volleyball Personnel Services</t>
  </si>
  <si>
    <t xml:space="preserve">Youth Volleyball  </t>
  </si>
  <si>
    <t>Ball Program Fees</t>
  </si>
  <si>
    <t>Sponsorship Fees</t>
  </si>
  <si>
    <t>Reimbursed Expense</t>
  </si>
  <si>
    <t>Concession Revenue</t>
  </si>
  <si>
    <t>Contractual Services</t>
  </si>
  <si>
    <t>Soccer Program Fees</t>
  </si>
  <si>
    <t>Cancellation Fees</t>
  </si>
  <si>
    <t>Transfer from Special Parks</t>
  </si>
  <si>
    <t xml:space="preserve">Major Capital Items </t>
  </si>
  <si>
    <t>Daily Admissions</t>
  </si>
  <si>
    <t>Season Passes</t>
  </si>
  <si>
    <t>Private Rentals</t>
  </si>
  <si>
    <t>Guard Start Program</t>
  </si>
  <si>
    <t>Aquatic Programs</t>
  </si>
  <si>
    <t>Swim Lessons</t>
  </si>
  <si>
    <t>Private Swim Lessons</t>
  </si>
  <si>
    <t>Swim Team Fees</t>
  </si>
  <si>
    <t>Lifeguard Reimbursements</t>
  </si>
  <si>
    <t>Merchandise Sales</t>
  </si>
  <si>
    <t xml:space="preserve">Concession Sales </t>
  </si>
  <si>
    <t>Transfer from Special Parks &amp; Recreation</t>
  </si>
  <si>
    <t xml:space="preserve">Transfer from General Fund </t>
  </si>
  <si>
    <t xml:space="preserve">Miscellaneous Revenue </t>
  </si>
  <si>
    <t>Impact Fees</t>
  </si>
  <si>
    <t>Special Parks &amp; Recreation</t>
  </si>
  <si>
    <t>Soccer Field Project</t>
  </si>
  <si>
    <t>Walking Trail</t>
  </si>
  <si>
    <t>Amended Dec 2012</t>
  </si>
  <si>
    <t xml:space="preserve">Page Number </t>
  </si>
  <si>
    <t>2004 G. O. Bonds</t>
  </si>
  <si>
    <t>2005 G. O. Bonds - Pool</t>
  </si>
  <si>
    <t>2006 G. O. Bonds - Library</t>
  </si>
  <si>
    <t>2007 G. O. Bonds</t>
  </si>
  <si>
    <t>2008 G. O. Bonds - Lake Forest</t>
  </si>
  <si>
    <t>2009 G. O. Bonds</t>
  </si>
  <si>
    <t>2011 G. O. Bonds</t>
  </si>
  <si>
    <t>Temporary Note 2012-1</t>
  </si>
  <si>
    <t>3.4-4.6</t>
  </si>
  <si>
    <t>Mar/Sept</t>
  </si>
  <si>
    <t>Fire Rescue Truck</t>
  </si>
  <si>
    <t>2013 Library Amended</t>
  </si>
  <si>
    <t>Amended</t>
  </si>
  <si>
    <t>Payment in Lieu of Tax</t>
  </si>
  <si>
    <t>Neighborhood Revitalization Rebates</t>
  </si>
  <si>
    <t>Special Assessments</t>
  </si>
  <si>
    <t>Accrued Interest</t>
  </si>
  <si>
    <t xml:space="preserve">                         Library Sales Tax</t>
  </si>
  <si>
    <t xml:space="preserve">                         Library Project</t>
  </si>
  <si>
    <t xml:space="preserve">                         2007-A Bond</t>
  </si>
  <si>
    <t xml:space="preserve">                         2009-A Bond</t>
  </si>
  <si>
    <t xml:space="preserve">                         Storm Sewer</t>
  </si>
  <si>
    <t xml:space="preserve">                         Emergency Services Sales Tax</t>
  </si>
  <si>
    <t xml:space="preserve">                         Aquatic Facility Sales Tax </t>
  </si>
  <si>
    <t>Transfer from:  Waste Water</t>
  </si>
  <si>
    <t xml:space="preserve">                         Water</t>
  </si>
  <si>
    <t xml:space="preserve">Principal </t>
  </si>
  <si>
    <t>Miscellaneous Cash Basis Reserve</t>
  </si>
  <si>
    <t>City Sales &amp; Use Tax</t>
  </si>
  <si>
    <t>Transfer to General Fund</t>
  </si>
  <si>
    <t>Transfer to Debt Service</t>
  </si>
  <si>
    <t>Ad Valorem Tax - Increment</t>
  </si>
  <si>
    <t xml:space="preserve">      City Administrative Fee</t>
  </si>
  <si>
    <t xml:space="preserve">      Developer Distribution</t>
  </si>
  <si>
    <t>Transfer from General Fund</t>
  </si>
  <si>
    <t>CID Sales Tax</t>
  </si>
  <si>
    <t xml:space="preserve">   City Administrative Fee</t>
  </si>
  <si>
    <t xml:space="preserve">   Developer Distribution</t>
  </si>
  <si>
    <t xml:space="preserve">   City Contribution</t>
  </si>
  <si>
    <t>Developer Fees</t>
  </si>
  <si>
    <t>Major Capital - 130/K-7 Signal</t>
  </si>
  <si>
    <t>Transient Guest Tax</t>
  </si>
  <si>
    <t>Miscellaneous Revenue</t>
  </si>
  <si>
    <t>Liquor Tax</t>
  </si>
  <si>
    <t xml:space="preserve">Contractual Services </t>
  </si>
  <si>
    <t>Transfer to DARE Festival</t>
  </si>
  <si>
    <t>Transfer to General Fund - DARE</t>
  </si>
  <si>
    <t>IRG Origination Fee</t>
  </si>
  <si>
    <t>TIF Application Fees</t>
  </si>
  <si>
    <t>City Sales/Use Tax</t>
  </si>
  <si>
    <t>Aquatic Facility Sales Tax</t>
  </si>
  <si>
    <t>County Infrastructure</t>
  </si>
  <si>
    <t xml:space="preserve">Waste Water </t>
  </si>
  <si>
    <t xml:space="preserve">Water </t>
  </si>
  <si>
    <t>Library Sales Tax</t>
  </si>
  <si>
    <t>Library Project</t>
  </si>
  <si>
    <t>Storm Sewer</t>
  </si>
  <si>
    <t>Emerg Services Sales Tax</t>
  </si>
  <si>
    <t xml:space="preserve">Drug &amp; Alcohol </t>
  </si>
  <si>
    <t>Ambulance Fees</t>
  </si>
  <si>
    <t>Reimbursed Expenses</t>
  </si>
  <si>
    <t>Undistributed Taxes by City</t>
  </si>
  <si>
    <t>Tax Distribution</t>
  </si>
  <si>
    <t>Transfer to Deb Service</t>
  </si>
  <si>
    <t>Wyandotte County Social Services</t>
  </si>
  <si>
    <t>Escrow Fees</t>
  </si>
  <si>
    <t>Major Capital Items - Sidewalks</t>
  </si>
  <si>
    <t>State Highway Tax</t>
  </si>
  <si>
    <t>County Highway Tax</t>
  </si>
  <si>
    <t>State Connecting Link</t>
  </si>
  <si>
    <t>Transfer from County Infrastructure</t>
  </si>
  <si>
    <t>Transfer to KLINK-Cedar/Gibbs</t>
  </si>
  <si>
    <t>Section 531l KDOT Transportation</t>
  </si>
  <si>
    <t>Donations-Fares</t>
  </si>
  <si>
    <t>Donations-Other</t>
  </si>
  <si>
    <t>Transfer from Senior Center Account</t>
  </si>
  <si>
    <t>Grants</t>
  </si>
  <si>
    <t>User Charges</t>
  </si>
  <si>
    <t>Penalties</t>
  </si>
  <si>
    <t>Miscellaneous Revenue - Recycle</t>
  </si>
  <si>
    <t>Major Capita Items</t>
  </si>
  <si>
    <t>Solid Waste</t>
  </si>
  <si>
    <t>Storm Water Fees</t>
  </si>
  <si>
    <t>Sewer Surcharges</t>
  </si>
  <si>
    <t>Sewer Impact Fees</t>
  </si>
  <si>
    <t>Transfer from General Fund-Development Fees</t>
  </si>
  <si>
    <t>Cancel Prior Year Encumbrance</t>
  </si>
  <si>
    <t xml:space="preserve">                  General Fund-Weed Program</t>
  </si>
  <si>
    <t xml:space="preserve">                  General Fund-Administrative</t>
  </si>
  <si>
    <t>Miscellaneous Permits</t>
  </si>
  <si>
    <t>Fees</t>
  </si>
  <si>
    <t>Water</t>
  </si>
  <si>
    <t xml:space="preserve">   Total to General Fund</t>
  </si>
  <si>
    <t xml:space="preserve">   Total Miscellaneous</t>
  </si>
  <si>
    <t>Ord. 2178</t>
  </si>
  <si>
    <t>12-825d</t>
  </si>
  <si>
    <t>12-197</t>
  </si>
  <si>
    <t xml:space="preserve">                   General Fund-Weed Program</t>
  </si>
  <si>
    <t xml:space="preserve">                   General Fund-Administrative</t>
  </si>
  <si>
    <t>The governing body of the City of Bonner Springs</t>
  </si>
  <si>
    <t xml:space="preserve">                         The hearing will include 2013 Budget Amendments shown in bold in the 2013 Expenditures Column.</t>
  </si>
  <si>
    <t>Prior Year Actual 2012</t>
  </si>
  <si>
    <t>Current Year Estimate 2013</t>
  </si>
  <si>
    <t>Proposed Budget for 2014</t>
  </si>
  <si>
    <t>Amount of 2013</t>
  </si>
  <si>
    <t>Proposed 2014 Budget Expenditures &amp; Amount of Current Year Estimate for 2013 Ad Valorem Tax establish the maximum limits of the 2014 Budget.</t>
  </si>
  <si>
    <t>Estimated Tax Rate is subject to change dependent on the final assessed valuation.</t>
  </si>
  <si>
    <t>This tab will put the date and time and location of the budget hearing on the Budget Summary page.  Also, provide the location where as the budget can be reviewed.  Please input information in the green areas.</t>
  </si>
  <si>
    <t>Transfer to Street Projects Fund</t>
  </si>
  <si>
    <t>Swim Team T-shirt Reimbursements</t>
  </si>
  <si>
    <t>Project Manager</t>
  </si>
  <si>
    <t>Total Transfers &amp; Contingencies</t>
  </si>
  <si>
    <t>Total Miscellaneous Expense</t>
  </si>
  <si>
    <t xml:space="preserve">County Sales &amp; Use Tax </t>
  </si>
  <si>
    <t>Casino Revenue</t>
  </si>
  <si>
    <t>Franchise Fees</t>
  </si>
  <si>
    <t>Fines</t>
  </si>
  <si>
    <t>Amusement Tax</t>
  </si>
  <si>
    <t>Loring Services - Streets</t>
  </si>
  <si>
    <t>Permits</t>
  </si>
  <si>
    <t>Loring Services - Police</t>
  </si>
  <si>
    <t>Court Fees</t>
  </si>
  <si>
    <t>Licenses</t>
  </si>
  <si>
    <t>Service Charges</t>
  </si>
  <si>
    <t>Recreation Fees</t>
  </si>
  <si>
    <t>Animal Fees</t>
  </si>
  <si>
    <t>Miscellaneous Fees</t>
  </si>
  <si>
    <t>Transfers From:   Water</t>
  </si>
  <si>
    <t xml:space="preserve">                             Waste Water</t>
  </si>
  <si>
    <t xml:space="preserve">                             Solid Waste</t>
  </si>
  <si>
    <t xml:space="preserve">                             Special Drug &amp; Alcohol</t>
  </si>
  <si>
    <t>Misc. Capital Projects</t>
  </si>
  <si>
    <t>Misc. Fid/Internal Service</t>
  </si>
  <si>
    <t>Misc. Capital Project</t>
  </si>
  <si>
    <t>Streets</t>
  </si>
  <si>
    <t>Misc. Spec. Rev. Funds</t>
  </si>
  <si>
    <t>Misc. Fiduciary/Int Service Funds</t>
  </si>
  <si>
    <t>Bond Proceeds</t>
  </si>
  <si>
    <t>Donations</t>
  </si>
  <si>
    <t>Transfer from Streets</t>
  </si>
  <si>
    <t>Transfer from Spec Parks</t>
  </si>
  <si>
    <t>Transfer from Co. Infra.</t>
  </si>
  <si>
    <t>Capital Outlay</t>
  </si>
  <si>
    <t xml:space="preserve">      Drug &amp; Alcohol</t>
  </si>
  <si>
    <t>Contractual</t>
  </si>
  <si>
    <t>answer objections of taxpayers that relate to the proposed use of all funds and the amount of ad valorem tax for the 2014 Budget.</t>
  </si>
  <si>
    <t>______________________</t>
  </si>
  <si>
    <t>Jeff Harrington, Mayor</t>
  </si>
  <si>
    <t xml:space="preserve">Attest:  </t>
  </si>
  <si>
    <t xml:space="preserve">Rita Hoag, City Clerk                        </t>
  </si>
  <si>
    <t xml:space="preserve">certify that: (1) the City Council held a public hearing per the attached publication; (2) after the Budget Hearing, the City Council </t>
  </si>
  <si>
    <t xml:space="preserve">adopted this budget, adopted the maximum expenditures for 2013 Budget Amendments and adopted the maximum expenditures </t>
  </si>
  <si>
    <t>_______________________________</t>
  </si>
  <si>
    <t>Seal</t>
  </si>
  <si>
    <t xml:space="preserve">                                       for various funds for the 2014 Budget and (3) the Amounts of the 2013 Ad Valorem Tax are within statutory limitations.</t>
  </si>
  <si>
    <t>NA</t>
  </si>
  <si>
    <t>To the Clerk of Wyandotte County, State of Kansas.  We, the undersigned, officers of the City of Bonner Springs</t>
  </si>
  <si>
    <t>Transfer from Special</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</si>
</sst>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0.000"/>
    <numFmt numFmtId="171" formatCode="#,##0.000_);\(#,##0.000\)"/>
    <numFmt numFmtId="172" formatCode="#,##0.000"/>
    <numFmt numFmtId="173" formatCode="[$-409]mmmm\ d\,\ yyyy;@"/>
    <numFmt numFmtId="174" formatCode="[$-409]h:mm\ AM/PM;@"/>
    <numFmt numFmtId="175" formatCode="&quot;$&quot;#,##0"/>
    <numFmt numFmtId="176" formatCode="&quot;$&quot;#,##0.00"/>
    <numFmt numFmtId="177" formatCode="#,###"/>
    <numFmt numFmtId="178" formatCode="#,##0.000_);[Red]\(#,##0.000\)"/>
    <numFmt numFmtId="179" formatCode="0.0%"/>
    <numFmt numFmtId="180" formatCode="0.0000%"/>
    <numFmt numFmtId="181" formatCode="0.0000"/>
  </numFmts>
  <fonts count="6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name val="Courier"/>
      <family val="3"/>
    </font>
    <font>
      <sz val="12"/>
      <color indexed="10"/>
      <name val="Courier"/>
      <family val="3"/>
    </font>
    <font>
      <i/>
      <sz val="12"/>
      <name val="Times New Roman"/>
      <family val="1"/>
    </font>
    <font>
      <b/>
      <sz val="14"/>
      <name val="Times New Roman"/>
      <family val="1"/>
    </font>
    <font>
      <sz val="12"/>
      <color indexed="8"/>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9"/>
      <name val="Courier"/>
      <family val="3"/>
    </font>
    <font>
      <sz val="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b/>
      <u/>
      <sz val="8"/>
      <name val="Times New Roman"/>
      <family val="1"/>
    </font>
    <font>
      <u/>
      <sz val="12"/>
      <color indexed="10"/>
      <name val="Times New Roman"/>
      <family val="1"/>
    </font>
    <font>
      <sz val="8"/>
      <color indexed="10"/>
      <name val="Times New Roman"/>
      <family val="1"/>
    </font>
    <font>
      <sz val="10"/>
      <name val="Courier"/>
      <family val="3"/>
    </font>
    <font>
      <sz val="10"/>
      <color indexed="10"/>
      <name val="Times New Roman"/>
      <family val="1"/>
    </font>
    <font>
      <u/>
      <sz val="12"/>
      <color indexed="12"/>
      <name val="Courier New"/>
      <family val="3"/>
    </font>
    <font>
      <sz val="11"/>
      <color theme="1"/>
      <name val="Calibri"/>
      <family val="2"/>
      <scheme val="minor"/>
    </font>
    <font>
      <u/>
      <sz val="12"/>
      <color rgb="FFFF0000"/>
      <name val="Times New Roman"/>
      <family val="1"/>
    </font>
    <font>
      <sz val="11"/>
      <color rgb="FF000000"/>
      <name val="Cambria"/>
      <family val="1"/>
    </font>
    <font>
      <b/>
      <sz val="11"/>
      <color theme="1"/>
      <name val="Cambria"/>
      <family val="1"/>
    </font>
    <font>
      <sz val="10"/>
      <color rgb="FFFF0000"/>
      <name val="Times New Roman"/>
      <family val="1"/>
    </font>
    <font>
      <b/>
      <sz val="12"/>
      <color rgb="FFFF0000"/>
      <name val="Times New Roman"/>
      <family val="1"/>
    </font>
    <font>
      <b/>
      <sz val="12"/>
      <color rgb="FF000000"/>
      <name val="Times New Roman"/>
      <family val="1"/>
    </font>
    <font>
      <sz val="12"/>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19">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34"/>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style="double">
        <color indexed="0"/>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medium">
        <color indexed="64"/>
      </top>
      <bottom style="double">
        <color indexed="64"/>
      </bottom>
      <diagonal/>
    </border>
  </borders>
  <cellStyleXfs count="421">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 fillId="0" borderId="0"/>
    <xf numFmtId="0" fontId="2"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cellStyleXfs>
  <cellXfs count="985">
    <xf numFmtId="0" fontId="0" fillId="0" borderId="0" xfId="0"/>
    <xf numFmtId="0" fontId="4" fillId="0" borderId="0" xfId="0" applyFont="1"/>
    <xf numFmtId="0" fontId="4" fillId="0" borderId="0" xfId="0" applyFont="1" applyAlignment="1">
      <alignment wrapText="1"/>
    </xf>
    <xf numFmtId="0" fontId="4" fillId="0" borderId="0" xfId="0" applyFont="1" applyProtection="1">
      <protection locked="0"/>
    </xf>
    <xf numFmtId="0" fontId="4" fillId="2" borderId="1" xfId="0" applyFont="1" applyFill="1" applyBorder="1" applyProtection="1">
      <protection locked="0"/>
    </xf>
    <xf numFmtId="37" fontId="4" fillId="0" borderId="0" xfId="0" applyNumberFormat="1" applyFont="1" applyProtection="1">
      <protection locked="0"/>
    </xf>
    <xf numFmtId="0" fontId="4" fillId="3" borderId="0" xfId="0" applyFont="1" applyFill="1" applyProtection="1"/>
    <xf numFmtId="0" fontId="4" fillId="3" borderId="0" xfId="0" applyFont="1" applyFill="1" applyAlignment="1" applyProtection="1">
      <alignment horizontal="right"/>
    </xf>
    <xf numFmtId="37" fontId="4" fillId="3" borderId="0" xfId="0" applyNumberFormat="1" applyFont="1" applyFill="1" applyAlignment="1" applyProtection="1">
      <alignment horizontal="right"/>
    </xf>
    <xf numFmtId="37" fontId="4" fillId="3" borderId="0" xfId="0" applyNumberFormat="1" applyFont="1" applyFill="1" applyAlignment="1" applyProtection="1">
      <alignment horizontal="left"/>
    </xf>
    <xf numFmtId="0" fontId="4" fillId="3" borderId="0" xfId="0" applyFont="1" applyFill="1" applyAlignment="1" applyProtection="1">
      <alignment horizontal="centerContinuous"/>
    </xf>
    <xf numFmtId="37" fontId="4" fillId="3" borderId="2" xfId="0" applyNumberFormat="1" applyFont="1" applyFill="1" applyBorder="1" applyAlignment="1" applyProtection="1">
      <alignment horizontal="left"/>
    </xf>
    <xf numFmtId="37" fontId="4" fillId="3" borderId="1" xfId="0" applyNumberFormat="1" applyFont="1" applyFill="1" applyBorder="1" applyProtection="1"/>
    <xf numFmtId="0" fontId="4" fillId="3" borderId="1" xfId="0" applyFont="1" applyFill="1" applyBorder="1" applyProtection="1"/>
    <xf numFmtId="37" fontId="4" fillId="3" borderId="0" xfId="0" applyNumberFormat="1" applyFont="1" applyFill="1" applyProtection="1"/>
    <xf numFmtId="0" fontId="3" fillId="3" borderId="0" xfId="420" applyFont="1" applyFill="1" applyAlignment="1" applyProtection="1">
      <alignment horizontal="centerContinuous"/>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Continuous"/>
    </xf>
    <xf numFmtId="0" fontId="4" fillId="3" borderId="5" xfId="0" applyFont="1" applyFill="1" applyBorder="1" applyAlignment="1" applyProtection="1">
      <alignment horizontal="centerContinuous"/>
    </xf>
    <xf numFmtId="0" fontId="4" fillId="3" borderId="6" xfId="0" applyFont="1" applyFill="1" applyBorder="1" applyAlignment="1" applyProtection="1">
      <alignment horizontal="center"/>
    </xf>
    <xf numFmtId="0" fontId="4" fillId="3" borderId="7" xfId="0" applyFont="1" applyFill="1" applyBorder="1" applyAlignment="1" applyProtection="1">
      <alignment horizontal="center"/>
    </xf>
    <xf numFmtId="0" fontId="4" fillId="3" borderId="1" xfId="0" applyFont="1" applyFill="1" applyBorder="1" applyAlignment="1" applyProtection="1">
      <alignment horizontal="center"/>
    </xf>
    <xf numFmtId="0" fontId="4" fillId="3" borderId="1" xfId="0" applyFont="1" applyFill="1" applyBorder="1" applyAlignment="1" applyProtection="1">
      <alignment horizontal="left"/>
    </xf>
    <xf numFmtId="2" fontId="4" fillId="3" borderId="1" xfId="0" applyNumberFormat="1" applyFont="1" applyFill="1" applyBorder="1" applyProtection="1"/>
    <xf numFmtId="3" fontId="4" fillId="3" borderId="1" xfId="0" applyNumberFormat="1" applyFont="1" applyFill="1" applyBorder="1" applyProtection="1"/>
    <xf numFmtId="0" fontId="3" fillId="3" borderId="1" xfId="0" applyFont="1" applyFill="1" applyBorder="1" applyAlignment="1" applyProtection="1">
      <alignment horizontal="left"/>
    </xf>
    <xf numFmtId="0" fontId="4" fillId="3" borderId="8" xfId="0" applyFont="1" applyFill="1" applyBorder="1" applyAlignment="1" applyProtection="1">
      <alignment horizontal="fill"/>
    </xf>
    <xf numFmtId="0" fontId="3" fillId="3" borderId="0" xfId="0" applyFont="1" applyFill="1" applyProtection="1"/>
    <xf numFmtId="0" fontId="4" fillId="4" borderId="0" xfId="0" applyFont="1" applyFill="1" applyAlignment="1" applyProtection="1">
      <alignment horizontal="left"/>
      <protection locked="0"/>
    </xf>
    <xf numFmtId="1" fontId="4" fillId="3" borderId="0" xfId="0" applyNumberFormat="1" applyFont="1" applyFill="1" applyBorder="1" applyAlignment="1" applyProtection="1">
      <alignment horizontal="right"/>
    </xf>
    <xf numFmtId="37" fontId="3" fillId="3" borderId="2" xfId="0" applyNumberFormat="1" applyFont="1" applyFill="1" applyBorder="1" applyAlignment="1" applyProtection="1">
      <alignment horizontal="left"/>
    </xf>
    <xf numFmtId="0" fontId="0" fillId="3" borderId="0" xfId="0" applyFill="1"/>
    <xf numFmtId="166" fontId="4" fillId="3" borderId="8" xfId="0" applyNumberFormat="1" applyFont="1" applyFill="1" applyBorder="1" applyProtection="1"/>
    <xf numFmtId="37" fontId="4" fillId="3" borderId="8" xfId="0" quotePrefix="1" applyNumberFormat="1" applyFont="1" applyFill="1" applyBorder="1" applyAlignment="1" applyProtection="1">
      <alignment horizontal="right"/>
    </xf>
    <xf numFmtId="1" fontId="4" fillId="3" borderId="9" xfId="0" applyNumberFormat="1" applyFont="1" applyFill="1" applyBorder="1" applyAlignment="1" applyProtection="1">
      <alignment horizontal="center"/>
    </xf>
    <xf numFmtId="0" fontId="4" fillId="0" borderId="0" xfId="0" applyFont="1" applyAlignment="1" applyProtection="1">
      <alignment horizontal="left"/>
      <protection locked="0"/>
    </xf>
    <xf numFmtId="0" fontId="3" fillId="3" borderId="1" xfId="0" applyFont="1" applyFill="1" applyBorder="1" applyAlignment="1" applyProtection="1">
      <alignment horizontal="center"/>
    </xf>
    <xf numFmtId="3" fontId="4" fillId="3" borderId="1" xfId="0" applyNumberFormat="1" applyFont="1" applyFill="1" applyBorder="1" applyAlignment="1" applyProtection="1">
      <alignment horizontal="center"/>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37" fontId="4" fillId="2" borderId="1" xfId="0" applyNumberFormat="1" applyFont="1" applyFill="1" applyBorder="1" applyAlignment="1" applyProtection="1">
      <alignment horizontal="center"/>
      <protection locked="0"/>
    </xf>
    <xf numFmtId="169" fontId="4" fillId="2" borderId="1" xfId="0" applyNumberFormat="1" applyFont="1" applyFill="1" applyBorder="1" applyAlignment="1" applyProtection="1">
      <alignment horizontal="center"/>
      <protection locked="0"/>
    </xf>
    <xf numFmtId="168" fontId="3" fillId="3" borderId="1" xfId="0" applyNumberFormat="1" applyFont="1" applyFill="1" applyBorder="1" applyAlignment="1" applyProtection="1">
      <alignment horizontal="center"/>
    </xf>
    <xf numFmtId="2" fontId="3" fillId="3" borderId="1" xfId="0" applyNumberFormat="1" applyFont="1" applyFill="1" applyBorder="1" applyAlignment="1" applyProtection="1">
      <alignment horizontal="center"/>
    </xf>
    <xf numFmtId="3" fontId="3" fillId="3" borderId="1" xfId="0" applyNumberFormat="1" applyFont="1" applyFill="1" applyBorder="1" applyAlignment="1" applyProtection="1">
      <alignment horizontal="center"/>
    </xf>
    <xf numFmtId="169" fontId="3" fillId="3" borderId="1" xfId="0" applyNumberFormat="1" applyFont="1" applyFill="1" applyBorder="1" applyAlignment="1" applyProtection="1">
      <alignment horizontal="center"/>
    </xf>
    <xf numFmtId="168" fontId="4" fillId="3" borderId="1" xfId="0" applyNumberFormat="1" applyFont="1" applyFill="1" applyBorder="1" applyAlignment="1" applyProtection="1">
      <alignment horizontal="center"/>
    </xf>
    <xf numFmtId="2" fontId="4" fillId="3" borderId="1" xfId="0" applyNumberFormat="1" applyFont="1" applyFill="1" applyBorder="1" applyAlignment="1" applyProtection="1">
      <alignment horizontal="center"/>
    </xf>
    <xf numFmtId="169" fontId="4" fillId="3" borderId="1" xfId="0" applyNumberFormat="1" applyFont="1" applyFill="1" applyBorder="1" applyAlignment="1" applyProtection="1">
      <alignment horizontal="center"/>
    </xf>
    <xf numFmtId="1" fontId="3" fillId="3" borderId="1" xfId="0"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4" fillId="5" borderId="1" xfId="0" applyNumberFormat="1" applyFont="1" applyFill="1" applyBorder="1" applyProtection="1"/>
    <xf numFmtId="3" fontId="3" fillId="5" borderId="1" xfId="0" applyNumberFormat="1" applyFont="1" applyFill="1" applyBorder="1" applyProtection="1"/>
    <xf numFmtId="37" fontId="3" fillId="5" borderId="1" xfId="0" applyNumberFormat="1" applyFont="1" applyFill="1" applyBorder="1" applyAlignment="1" applyProtection="1">
      <alignment horizontal="center"/>
    </xf>
    <xf numFmtId="3" fontId="3" fillId="5" borderId="1" xfId="0" applyNumberFormat="1" applyFont="1" applyFill="1" applyBorder="1" applyAlignment="1" applyProtection="1">
      <alignment horizontal="center"/>
    </xf>
    <xf numFmtId="0" fontId="4" fillId="2" borderId="2" xfId="0" applyFont="1" applyFill="1" applyBorder="1" applyProtection="1">
      <protection locked="0"/>
    </xf>
    <xf numFmtId="0" fontId="4" fillId="4" borderId="2" xfId="0" applyFont="1" applyFill="1" applyBorder="1" applyProtection="1">
      <protection locked="0"/>
    </xf>
    <xf numFmtId="37" fontId="4" fillId="3" borderId="9" xfId="0" applyNumberFormat="1" applyFont="1" applyFill="1" applyBorder="1" applyAlignment="1" applyProtection="1">
      <alignment horizontal="left"/>
    </xf>
    <xf numFmtId="3" fontId="4" fillId="2" borderId="10" xfId="0" applyNumberFormat="1" applyFont="1" applyFill="1" applyBorder="1" applyProtection="1">
      <protection locked="0"/>
    </xf>
    <xf numFmtId="0" fontId="4" fillId="3" borderId="2" xfId="0" applyFont="1" applyFill="1" applyBorder="1" applyProtection="1"/>
    <xf numFmtId="3" fontId="15" fillId="6" borderId="4" xfId="0" applyNumberFormat="1" applyFont="1" applyFill="1" applyBorder="1" applyAlignment="1" applyProtection="1">
      <alignment horizontal="center"/>
    </xf>
    <xf numFmtId="0" fontId="5" fillId="0" borderId="0" xfId="0" applyFont="1"/>
    <xf numFmtId="0" fontId="4" fillId="3" borderId="3" xfId="0" applyFont="1" applyFill="1" applyBorder="1" applyAlignment="1" applyProtection="1">
      <alignment horizontal="center" shrinkToFit="1"/>
    </xf>
    <xf numFmtId="0" fontId="4" fillId="3" borderId="6" xfId="0" applyFont="1" applyFill="1" applyBorder="1" applyAlignment="1" applyProtection="1">
      <alignment horizontal="center" shrinkToFi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4"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0" borderId="0" xfId="0" applyFont="1" applyFill="1" applyAlignment="1">
      <alignment vertical="center" wrapText="1"/>
    </xf>
    <xf numFmtId="0" fontId="4" fillId="7" borderId="0" xfId="0" applyFont="1" applyFill="1" applyAlignment="1">
      <alignment vertical="center" wrapText="1"/>
    </xf>
    <xf numFmtId="0" fontId="4" fillId="8"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12" fillId="3" borderId="0" xfId="0" applyNumberFormat="1" applyFont="1" applyFill="1" applyAlignment="1" applyProtection="1">
      <alignment horizontal="left" vertical="center"/>
    </xf>
    <xf numFmtId="0" fontId="0" fillId="3" borderId="0" xfId="0" applyFill="1" applyAlignment="1">
      <alignment horizontal="left" vertical="center"/>
    </xf>
    <xf numFmtId="37" fontId="3"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37"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vertical="center"/>
    </xf>
    <xf numFmtId="37" fontId="4" fillId="4" borderId="11" xfId="0" applyNumberFormat="1" applyFont="1" applyFill="1" applyBorder="1" applyAlignment="1" applyProtection="1">
      <alignment horizontal="left" vertical="center"/>
      <protection locked="0"/>
    </xf>
    <xf numFmtId="0" fontId="4" fillId="4" borderId="11" xfId="0" applyFont="1" applyFill="1" applyBorder="1" applyAlignment="1" applyProtection="1">
      <alignment vertical="center"/>
    </xf>
    <xf numFmtId="0" fontId="12" fillId="3" borderId="0" xfId="0" applyFont="1" applyFill="1" applyAlignment="1" applyProtection="1">
      <alignment vertical="center"/>
    </xf>
    <xf numFmtId="37" fontId="4" fillId="3" borderId="0" xfId="0" applyNumberFormat="1" applyFont="1" applyFill="1" applyBorder="1" applyAlignment="1" applyProtection="1">
      <alignment horizontal="left" vertical="center"/>
      <protection locked="0"/>
    </xf>
    <xf numFmtId="37" fontId="4" fillId="3" borderId="0" xfId="0" applyNumberFormat="1" applyFont="1" applyFill="1" applyAlignment="1" applyProtection="1">
      <alignment horizontal="left" vertical="center"/>
    </xf>
    <xf numFmtId="0" fontId="3" fillId="4" borderId="1"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0" fontId="3" fillId="9" borderId="0" xfId="0" applyFont="1" applyFill="1" applyAlignment="1" applyProtection="1">
      <alignment vertical="center"/>
    </xf>
    <xf numFmtId="0" fontId="4" fillId="9" borderId="0" xfId="0" applyFont="1" applyFill="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0" fontId="4" fillId="3" borderId="8" xfId="0" applyFont="1" applyFill="1" applyBorder="1" applyAlignment="1" applyProtection="1">
      <alignment vertical="center"/>
    </xf>
    <xf numFmtId="0" fontId="4" fillId="7" borderId="3" xfId="0" applyNumberFormat="1" applyFont="1" applyFill="1" applyBorder="1" applyAlignment="1" applyProtection="1">
      <alignment horizontal="center" vertical="center"/>
    </xf>
    <xf numFmtId="0" fontId="4" fillId="7" borderId="4" xfId="0" applyNumberFormat="1"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37" fontId="4" fillId="7" borderId="7"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37" fontId="4" fillId="3" borderId="11" xfId="0" applyNumberFormat="1" applyFont="1" applyFill="1" applyBorder="1" applyAlignment="1" applyProtection="1">
      <alignment vertical="center"/>
    </xf>
    <xf numFmtId="37" fontId="4" fillId="5" borderId="1"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4" fillId="4" borderId="1"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8" xfId="0" applyNumberFormat="1" applyFont="1" applyFill="1" applyBorder="1" applyAlignment="1" applyProtection="1">
      <alignment vertical="center"/>
      <protection locked="0"/>
    </xf>
    <xf numFmtId="3" fontId="4" fillId="5" borderId="1" xfId="0" applyNumberFormat="1" applyFont="1" applyFill="1" applyBorder="1" applyAlignment="1" applyProtection="1">
      <alignment vertical="center"/>
    </xf>
    <xf numFmtId="164" fontId="4" fillId="3" borderId="0"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9" borderId="0" xfId="0" applyNumberFormat="1" applyFont="1" applyFill="1" applyAlignment="1" applyProtection="1">
      <alignment horizontal="center" vertical="center"/>
    </xf>
    <xf numFmtId="0" fontId="4" fillId="9" borderId="8" xfId="0" applyFont="1" applyFill="1" applyBorder="1" applyAlignment="1">
      <alignment horizontal="center" vertical="center"/>
    </xf>
    <xf numFmtId="37" fontId="4" fillId="3" borderId="1" xfId="0" applyNumberFormat="1" applyFont="1" applyFill="1" applyBorder="1" applyAlignment="1" applyProtection="1">
      <alignment vertical="center"/>
    </xf>
    <xf numFmtId="0" fontId="4" fillId="3" borderId="12" xfId="0" applyFont="1" applyFill="1" applyBorder="1" applyAlignment="1" applyProtection="1">
      <alignment vertical="center"/>
    </xf>
    <xf numFmtId="164" fontId="4" fillId="5" borderId="1" xfId="0" applyNumberFormat="1" applyFont="1" applyFill="1" applyBorder="1" applyAlignment="1" applyProtection="1">
      <alignment vertical="center"/>
    </xf>
    <xf numFmtId="37" fontId="4" fillId="7" borderId="8" xfId="0" applyNumberFormat="1" applyFont="1" applyFill="1" applyBorder="1" applyAlignment="1" applyProtection="1">
      <alignment horizontal="left" vertical="center"/>
    </xf>
    <xf numFmtId="0" fontId="4" fillId="7" borderId="8" xfId="0" applyFont="1" applyFill="1" applyBorder="1" applyAlignment="1" applyProtection="1">
      <alignment vertical="center"/>
    </xf>
    <xf numFmtId="37" fontId="4" fillId="7" borderId="11" xfId="0" applyNumberFormat="1" applyFont="1" applyFill="1" applyBorder="1" applyAlignment="1" applyProtection="1">
      <alignment horizontal="left" vertical="center"/>
    </xf>
    <xf numFmtId="0" fontId="4" fillId="7" borderId="11"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10" xfId="0" applyFont="1" applyFill="1" applyBorder="1" applyAlignment="1" applyProtection="1">
      <alignment vertical="center"/>
    </xf>
    <xf numFmtId="37" fontId="12" fillId="9"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center" vertical="center"/>
      <protection locked="0"/>
    </xf>
    <xf numFmtId="0" fontId="4" fillId="9" borderId="8" xfId="0" applyFont="1" applyFill="1" applyBorder="1" applyAlignment="1" applyProtection="1">
      <alignment vertical="center"/>
    </xf>
    <xf numFmtId="0" fontId="4" fillId="3" borderId="12" xfId="0" applyFont="1" applyFill="1" applyBorder="1" applyAlignment="1" applyProtection="1">
      <alignment vertical="center"/>
      <protection locked="0"/>
    </xf>
    <xf numFmtId="0" fontId="4" fillId="9" borderId="11" xfId="0" applyFont="1" applyFill="1" applyBorder="1" applyAlignment="1" applyProtection="1">
      <alignment vertical="center"/>
    </xf>
    <xf numFmtId="0" fontId="4" fillId="3" borderId="10"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4" fillId="3" borderId="0" xfId="0" applyFont="1" applyFill="1" applyAlignment="1">
      <alignment vertical="center"/>
    </xf>
    <xf numFmtId="37" fontId="4" fillId="3" borderId="12" xfId="0" applyNumberFormat="1" applyFont="1" applyFill="1" applyBorder="1" applyAlignment="1" applyProtection="1">
      <alignment horizontal="left" vertical="center"/>
    </xf>
    <xf numFmtId="37" fontId="4" fillId="3" borderId="11" xfId="0" applyNumberFormat="1" applyFont="1" applyFill="1" applyBorder="1" applyAlignment="1" applyProtection="1">
      <alignment horizontal="left" vertical="center"/>
    </xf>
    <xf numFmtId="3" fontId="4" fillId="4" borderId="11"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horizontal="center" vertical="center" wrapText="1"/>
    </xf>
    <xf numFmtId="37" fontId="4" fillId="4" borderId="1" xfId="0" applyNumberFormat="1" applyFont="1" applyFill="1" applyBorder="1" applyAlignment="1" applyProtection="1">
      <alignment horizontal="right" vertical="center" wrapText="1"/>
      <protection locked="0"/>
    </xf>
    <xf numFmtId="37" fontId="4" fillId="5" borderId="1" xfId="0" applyNumberFormat="1" applyFont="1" applyFill="1" applyBorder="1" applyAlignment="1" applyProtection="1">
      <alignment horizontal="right" vertical="center" wrapText="1"/>
    </xf>
    <xf numFmtId="37" fontId="4" fillId="3" borderId="0" xfId="0" applyNumberFormat="1"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xf>
    <xf numFmtId="170" fontId="4" fillId="4" borderId="8" xfId="0" applyNumberFormat="1" applyFont="1" applyFill="1" applyBorder="1" applyAlignment="1" applyProtection="1">
      <alignment vertical="center"/>
      <protection locked="0"/>
    </xf>
    <xf numFmtId="170" fontId="4" fillId="4" borderId="11" xfId="0" applyNumberFormat="1" applyFont="1" applyFill="1" applyBorder="1" applyAlignment="1" applyProtection="1">
      <alignment vertical="center"/>
      <protection locked="0"/>
    </xf>
    <xf numFmtId="0" fontId="4" fillId="3" borderId="13" xfId="0" applyFont="1" applyFill="1" applyBorder="1" applyAlignment="1" applyProtection="1">
      <alignment vertical="center"/>
    </xf>
    <xf numFmtId="170" fontId="4" fillId="4" borderId="13" xfId="0" applyNumberFormat="1" applyFont="1" applyFill="1" applyBorder="1" applyAlignment="1" applyProtection="1">
      <alignment vertical="center"/>
      <protection locked="0"/>
    </xf>
    <xf numFmtId="0" fontId="0" fillId="3" borderId="0" xfId="0" applyFill="1" applyAlignment="1" applyProtection="1">
      <alignment vertical="center"/>
    </xf>
    <xf numFmtId="3" fontId="0" fillId="3" borderId="0" xfId="0" applyNumberFormat="1" applyFill="1" applyBorder="1" applyAlignment="1" applyProtection="1">
      <alignment vertical="center"/>
      <protection locked="0"/>
    </xf>
    <xf numFmtId="3" fontId="4" fillId="9" borderId="0" xfId="0" applyNumberFormat="1" applyFont="1" applyFill="1" applyAlignment="1" applyProtection="1">
      <alignment vertical="center"/>
    </xf>
    <xf numFmtId="3" fontId="4" fillId="7" borderId="0" xfId="0" applyNumberFormat="1" applyFont="1" applyFill="1" applyAlignment="1" applyProtection="1">
      <alignment vertical="center"/>
    </xf>
    <xf numFmtId="37" fontId="3" fillId="3" borderId="5" xfId="0" applyNumberFormat="1" applyFont="1" applyFill="1" applyBorder="1" applyAlignment="1" applyProtection="1">
      <alignment horizontal="left" vertical="center"/>
    </xf>
    <xf numFmtId="0" fontId="4" fillId="3" borderId="4" xfId="0" applyFont="1" applyFill="1" applyBorder="1" applyAlignment="1" applyProtection="1">
      <alignment vertical="center"/>
    </xf>
    <xf numFmtId="37" fontId="4" fillId="3" borderId="2" xfId="0" applyNumberFormat="1" applyFont="1" applyFill="1" applyBorder="1" applyAlignment="1">
      <alignment horizontal="left" vertical="center"/>
    </xf>
    <xf numFmtId="37" fontId="4" fillId="3" borderId="2" xfId="0" applyNumberFormat="1" applyFont="1" applyFill="1" applyBorder="1" applyAlignment="1" applyProtection="1">
      <alignment horizontal="left" vertical="center"/>
    </xf>
    <xf numFmtId="3" fontId="4" fillId="4" borderId="10"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3" fontId="4" fillId="3" borderId="1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lignment horizontal="center" vertical="center"/>
    </xf>
    <xf numFmtId="37" fontId="4" fillId="8" borderId="0" xfId="0" applyNumberFormat="1" applyFont="1" applyFill="1" applyBorder="1" applyAlignment="1" applyProtection="1">
      <alignment horizontal="left" vertical="center"/>
    </xf>
    <xf numFmtId="0" fontId="4" fillId="8" borderId="0" xfId="0" applyFont="1" applyFill="1" applyAlignment="1" applyProtection="1">
      <alignment vertical="center"/>
    </xf>
    <xf numFmtId="0" fontId="0" fillId="8" borderId="0" xfId="0" applyFill="1" applyAlignment="1">
      <alignment vertical="center"/>
    </xf>
    <xf numFmtId="0" fontId="3" fillId="9" borderId="14" xfId="0" applyFont="1" applyFill="1" applyBorder="1" applyAlignment="1">
      <alignment vertical="center"/>
    </xf>
    <xf numFmtId="0" fontId="1" fillId="9" borderId="14" xfId="0" applyFont="1" applyFill="1" applyBorder="1" applyAlignment="1">
      <alignment vertical="center"/>
    </xf>
    <xf numFmtId="0" fontId="0" fillId="9" borderId="14" xfId="0" applyFill="1" applyBorder="1" applyAlignment="1" applyProtection="1">
      <alignment vertical="center"/>
      <protection locked="0"/>
    </xf>
    <xf numFmtId="0" fontId="0" fillId="10" borderId="14" xfId="0" applyFill="1" applyBorder="1" applyAlignment="1">
      <alignment vertical="center"/>
    </xf>
    <xf numFmtId="0" fontId="4" fillId="3" borderId="8" xfId="0" applyFont="1" applyFill="1" applyBorder="1" applyAlignment="1">
      <alignment vertical="center"/>
    </xf>
    <xf numFmtId="0" fontId="0" fillId="3" borderId="8" xfId="0" applyFill="1" applyBorder="1" applyAlignment="1">
      <alignment vertical="center"/>
    </xf>
    <xf numFmtId="0" fontId="0" fillId="3" borderId="12" xfId="0" applyFill="1" applyBorder="1" applyAlignment="1">
      <alignment vertical="center"/>
    </xf>
    <xf numFmtId="3" fontId="4" fillId="4" borderId="7" xfId="0" applyNumberFormat="1" applyFont="1" applyFill="1" applyBorder="1" applyAlignment="1" applyProtection="1">
      <alignment vertical="center"/>
      <protection locked="0"/>
    </xf>
    <xf numFmtId="0" fontId="4" fillId="3" borderId="11" xfId="0" applyFont="1" applyFill="1" applyBorder="1" applyAlignment="1">
      <alignment vertical="center"/>
    </xf>
    <xf numFmtId="0" fontId="0" fillId="3" borderId="11" xfId="0" applyFill="1" applyBorder="1" applyAlignment="1">
      <alignment vertical="center"/>
    </xf>
    <xf numFmtId="0" fontId="0" fillId="3" borderId="10" xfId="0" applyFill="1" applyBorder="1" applyAlignment="1">
      <alignment vertical="center"/>
    </xf>
    <xf numFmtId="0" fontId="4" fillId="7" borderId="3" xfId="0" applyFont="1" applyFill="1" applyBorder="1" applyAlignment="1">
      <alignment horizontal="center" vertical="center"/>
    </xf>
    <xf numFmtId="0" fontId="4" fillId="7" borderId="6" xfId="0" applyFont="1" applyFill="1" applyBorder="1" applyAlignment="1">
      <alignment horizontal="center" vertical="center"/>
    </xf>
    <xf numFmtId="0" fontId="15" fillId="3" borderId="0" xfId="0" applyFont="1" applyFill="1" applyAlignment="1">
      <alignment vertical="center"/>
    </xf>
    <xf numFmtId="0" fontId="19" fillId="3" borderId="0" xfId="0" applyFont="1" applyFill="1" applyAlignment="1">
      <alignment vertical="center"/>
    </xf>
    <xf numFmtId="0" fontId="4" fillId="7" borderId="7" xfId="0" applyFont="1" applyFill="1" applyBorder="1" applyAlignment="1">
      <alignment horizontal="center" vertical="center"/>
    </xf>
    <xf numFmtId="0" fontId="15" fillId="0" borderId="0" xfId="0" applyFont="1" applyFill="1" applyAlignment="1">
      <alignment vertical="center"/>
    </xf>
    <xf numFmtId="37" fontId="4" fillId="3" borderId="7" xfId="0" applyNumberFormat="1" applyFont="1" applyFill="1" applyBorder="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Continuous" vertical="center"/>
    </xf>
    <xf numFmtId="37" fontId="4" fillId="3" borderId="2" xfId="0" applyNumberFormat="1" applyFont="1" applyFill="1" applyBorder="1" applyAlignment="1" applyProtection="1">
      <alignment horizontal="centerContinuous" vertical="center"/>
    </xf>
    <xf numFmtId="0" fontId="4" fillId="3" borderId="11" xfId="0" applyFont="1" applyFill="1" applyBorder="1" applyAlignment="1" applyProtection="1">
      <alignment horizontal="centerContinuous" vertical="center"/>
    </xf>
    <xf numFmtId="0" fontId="4" fillId="3" borderId="10" xfId="0" applyFont="1" applyFill="1" applyBorder="1" applyAlignment="1" applyProtection="1">
      <alignment horizontal="centerContinuous" vertical="center"/>
    </xf>
    <xf numFmtId="37" fontId="4" fillId="3" borderId="8" xfId="0" applyNumberFormat="1" applyFont="1" applyFill="1" applyBorder="1" applyAlignment="1" applyProtection="1">
      <alignment horizontal="fill" vertical="center"/>
    </xf>
    <xf numFmtId="37" fontId="4" fillId="3" borderId="3"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center" vertical="center"/>
    </xf>
    <xf numFmtId="0" fontId="4" fillId="3" borderId="6" xfId="0" applyFont="1" applyFill="1" applyBorder="1" applyAlignment="1">
      <alignment horizontal="center" vertical="center"/>
    </xf>
    <xf numFmtId="37" fontId="3" fillId="3" borderId="8"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center" vertical="center"/>
    </xf>
    <xf numFmtId="0" fontId="4" fillId="3" borderId="7" xfId="0" applyFont="1" applyFill="1" applyBorder="1" applyAlignment="1">
      <alignment horizontal="center" vertical="center"/>
    </xf>
    <xf numFmtId="37" fontId="4" fillId="3" borderId="1" xfId="0" applyNumberFormat="1" applyFont="1" applyFill="1" applyBorder="1" applyAlignment="1" applyProtection="1">
      <alignment horizontal="center" vertical="center"/>
    </xf>
    <xf numFmtId="0" fontId="4" fillId="3" borderId="3" xfId="0" applyFont="1" applyFill="1" applyBorder="1" applyAlignment="1" applyProtection="1">
      <alignment vertical="center"/>
    </xf>
    <xf numFmtId="0" fontId="4" fillId="3" borderId="6" xfId="0" applyFont="1" applyFill="1" applyBorder="1" applyAlignment="1" applyProtection="1">
      <alignment vertical="center"/>
    </xf>
    <xf numFmtId="37" fontId="12" fillId="3" borderId="2" xfId="0" applyNumberFormat="1" applyFont="1" applyFill="1" applyBorder="1" applyAlignment="1" applyProtection="1">
      <alignment horizontal="left" vertical="center"/>
    </xf>
    <xf numFmtId="37" fontId="12" fillId="3" borderId="10"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7" xfId="0" applyFont="1" applyFill="1" applyBorder="1" applyAlignment="1" applyProtection="1">
      <alignment vertical="center"/>
    </xf>
    <xf numFmtId="37" fontId="4" fillId="5" borderId="1" xfId="0" applyNumberFormat="1" applyFont="1" applyFill="1" applyBorder="1" applyAlignment="1" applyProtection="1">
      <alignment horizontal="center" vertical="center"/>
    </xf>
    <xf numFmtId="37" fontId="4" fillId="3" borderId="2" xfId="0" applyNumberFormat="1" applyFont="1" applyFill="1" applyBorder="1" applyAlignment="1" applyProtection="1">
      <alignment vertical="center"/>
    </xf>
    <xf numFmtId="0" fontId="4" fillId="3" borderId="10" xfId="0" applyFont="1" applyFill="1" applyBorder="1" applyAlignment="1" applyProtection="1">
      <alignment horizontal="center" vertical="center"/>
    </xf>
    <xf numFmtId="37" fontId="4" fillId="3" borderId="10" xfId="0" applyNumberFormat="1"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37" fontId="4" fillId="11" borderId="1" xfId="0" applyNumberFormat="1" applyFont="1" applyFill="1" applyBorder="1" applyAlignment="1" applyProtection="1">
      <alignment horizontal="left" vertical="center"/>
    </xf>
    <xf numFmtId="0" fontId="4" fillId="11" borderId="1" xfId="0" applyFont="1" applyFill="1" applyBorder="1" applyAlignment="1" applyProtection="1">
      <alignment vertical="center"/>
    </xf>
    <xf numFmtId="37" fontId="4" fillId="11"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37" fontId="4" fillId="3" borderId="0" xfId="0" applyNumberFormat="1" applyFont="1" applyFill="1" applyAlignment="1" applyProtection="1">
      <alignment horizontal="right" vertical="center"/>
    </xf>
    <xf numFmtId="0" fontId="4" fillId="4" borderId="8" xfId="0" applyFont="1" applyFill="1" applyBorder="1" applyAlignment="1" applyProtection="1">
      <alignment vertical="center"/>
      <protection locked="0"/>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8" xfId="0" applyNumberFormat="1" applyFont="1" applyFill="1" applyBorder="1" applyAlignment="1">
      <alignment vertical="center"/>
    </xf>
    <xf numFmtId="3" fontId="4" fillId="3" borderId="11" xfId="0" applyNumberFormat="1" applyFont="1" applyFill="1" applyBorder="1" applyAlignment="1" applyProtection="1">
      <alignment horizontal="right" vertical="center"/>
    </xf>
    <xf numFmtId="0" fontId="3" fillId="3" borderId="0" xfId="0" applyFont="1" applyFill="1" applyAlignment="1">
      <alignment vertical="center"/>
    </xf>
    <xf numFmtId="3" fontId="4" fillId="3" borderId="11" xfId="0" applyNumberFormat="1" applyFont="1" applyFill="1" applyBorder="1" applyAlignment="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11" xfId="0" applyNumberFormat="1" applyFont="1" applyFill="1" applyBorder="1" applyAlignment="1" applyProtection="1">
      <alignment vertical="center"/>
    </xf>
    <xf numFmtId="3" fontId="4" fillId="3" borderId="13" xfId="0" applyNumberFormat="1" applyFont="1" applyFill="1" applyBorder="1" applyAlignment="1">
      <alignment vertical="center"/>
    </xf>
    <xf numFmtId="0" fontId="4" fillId="3" borderId="13" xfId="0" applyFont="1" applyFill="1" applyBorder="1" applyAlignment="1">
      <alignment vertical="center"/>
    </xf>
    <xf numFmtId="0" fontId="4" fillId="3" borderId="0" xfId="0" applyFont="1" applyFill="1" applyBorder="1" applyAlignment="1">
      <alignment vertical="center"/>
    </xf>
    <xf numFmtId="167" fontId="4" fillId="3" borderId="8"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6" xfId="0" applyNumberFormat="1" applyFont="1" applyFill="1" applyBorder="1" applyAlignment="1">
      <alignment vertical="center"/>
    </xf>
    <xf numFmtId="3" fontId="4" fillId="3" borderId="8" xfId="1" applyNumberFormat="1" applyFont="1" applyFill="1" applyBorder="1" applyAlignment="1" applyProtection="1">
      <alignment vertical="center"/>
    </xf>
    <xf numFmtId="0" fontId="6" fillId="0" borderId="0" xfId="0" applyFont="1" applyAlignment="1">
      <alignment vertical="center"/>
    </xf>
    <xf numFmtId="37" fontId="4" fillId="3" borderId="0" xfId="0" applyNumberFormat="1" applyFont="1" applyFill="1" applyAlignment="1" applyProtection="1">
      <alignment vertical="center"/>
    </xf>
    <xf numFmtId="0" fontId="4" fillId="3" borderId="8"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3" fontId="4" fillId="5" borderId="17"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8"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5" fontId="4" fillId="5" borderId="8"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3"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1" fontId="4" fillId="3" borderId="7" xfId="0" applyNumberFormat="1" applyFont="1" applyFill="1" applyBorder="1" applyAlignment="1" applyProtection="1">
      <alignment horizontal="center" vertical="center"/>
    </xf>
    <xf numFmtId="0" fontId="4" fillId="4" borderId="7" xfId="0" applyFont="1" applyFill="1" applyBorder="1" applyAlignment="1" applyProtection="1">
      <alignment vertical="center"/>
      <protection locked="0"/>
    </xf>
    <xf numFmtId="0" fontId="4" fillId="4" borderId="7" xfId="0" applyFont="1" applyFill="1" applyBorder="1" applyAlignment="1" applyProtection="1">
      <alignment horizontal="center" vertical="center"/>
      <protection locked="0"/>
    </xf>
    <xf numFmtId="0" fontId="4" fillId="4" borderId="1" xfId="0" applyFont="1" applyFill="1" applyBorder="1" applyAlignment="1" applyProtection="1">
      <alignment vertical="center"/>
      <protection locked="0"/>
    </xf>
    <xf numFmtId="0" fontId="3" fillId="3" borderId="1" xfId="0" applyFont="1" applyFill="1" applyBorder="1" applyAlignment="1" applyProtection="1">
      <alignment horizontal="center" vertical="center"/>
    </xf>
    <xf numFmtId="3" fontId="4" fillId="5"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3" borderId="0" xfId="0" applyNumberFormat="1" applyFont="1" applyFill="1" applyAlignment="1" applyProtection="1">
      <alignment horizontal="right" vertical="center"/>
    </xf>
    <xf numFmtId="0" fontId="3" fillId="3" borderId="0" xfId="420" applyFont="1" applyFill="1" applyAlignment="1" applyProtection="1">
      <alignment horizontal="centerContinuous" vertical="center"/>
    </xf>
    <xf numFmtId="0" fontId="4" fillId="3" borderId="8" xfId="0" applyFont="1" applyFill="1" applyBorder="1" applyAlignment="1" applyProtection="1">
      <alignment horizontal="fill" vertical="center"/>
    </xf>
    <xf numFmtId="0" fontId="4"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14" fontId="4" fillId="3" borderId="7" xfId="0" quotePrefix="1"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5" borderId="17" xfId="0" applyNumberFormat="1" applyFont="1" applyFill="1" applyBorder="1" applyAlignment="1" applyProtection="1">
      <alignment horizontal="center" vertical="center"/>
    </xf>
    <xf numFmtId="0" fontId="4" fillId="8" borderId="0" xfId="419" applyFont="1" applyFill="1" applyAlignment="1" applyProtection="1">
      <alignment vertical="center"/>
    </xf>
    <xf numFmtId="0" fontId="4" fillId="0" borderId="0" xfId="0" applyFont="1" applyAlignment="1">
      <alignment horizontal="centerContinuous" vertical="center"/>
    </xf>
    <xf numFmtId="37" fontId="4" fillId="3" borderId="0" xfId="0" applyNumberFormat="1" applyFont="1" applyFill="1" applyBorder="1" applyAlignment="1" applyProtection="1">
      <alignment horizontal="fill" vertical="center"/>
    </xf>
    <xf numFmtId="1" fontId="4" fillId="3" borderId="2" xfId="0" applyNumberFormat="1" applyFont="1" applyFill="1" applyBorder="1" applyAlignment="1" applyProtection="1">
      <alignment horizontal="centerContinuous" vertical="center"/>
    </xf>
    <xf numFmtId="1" fontId="4" fillId="3" borderId="3"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8" xfId="0" applyNumberFormat="1" applyFont="1" applyFill="1" applyBorder="1" applyAlignment="1" applyProtection="1">
      <alignment horizontal="center" vertical="center"/>
    </xf>
    <xf numFmtId="0" fontId="4" fillId="4" borderId="0" xfId="0" applyFont="1" applyFill="1" applyAlignment="1" applyProtection="1">
      <alignment horizontal="left" vertical="center"/>
      <protection locked="0"/>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4"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 fontId="4" fillId="4" borderId="3"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xf>
    <xf numFmtId="172" fontId="4" fillId="3" borderId="17" xfId="0" applyNumberFormat="1" applyFont="1" applyFill="1" applyBorder="1" applyAlignment="1" applyProtection="1">
      <alignment horizontal="center" vertical="center"/>
    </xf>
    <xf numFmtId="172" fontId="4" fillId="3" borderId="8"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8" xfId="0" applyNumberFormat="1" applyFont="1" applyFill="1" applyBorder="1" applyAlignment="1">
      <alignment horizontal="center" vertical="center"/>
    </xf>
    <xf numFmtId="0" fontId="0" fillId="3" borderId="0" xfId="0" applyFill="1" applyAlignment="1">
      <alignment horizontal="center" vertical="center"/>
    </xf>
    <xf numFmtId="172" fontId="4" fillId="3" borderId="8" xfId="0" applyNumberFormat="1" applyFont="1" applyFill="1" applyBorder="1" applyAlignment="1">
      <alignment horizontal="center" vertical="center"/>
    </xf>
    <xf numFmtId="170" fontId="4" fillId="3"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3" borderId="0" xfId="0" applyFont="1" applyFill="1" applyAlignment="1">
      <alignment horizontal="center" vertical="center"/>
    </xf>
    <xf numFmtId="0" fontId="4" fillId="3" borderId="10" xfId="0" applyFont="1" applyFill="1" applyBorder="1" applyAlignment="1">
      <alignment horizontal="center" vertical="center"/>
    </xf>
    <xf numFmtId="0" fontId="11" fillId="3" borderId="3" xfId="0" applyFont="1" applyFill="1" applyBorder="1" applyAlignment="1">
      <alignment vertical="center"/>
    </xf>
    <xf numFmtId="0" fontId="11" fillId="3" borderId="10" xfId="0" applyFont="1" applyFill="1" applyBorder="1" applyAlignment="1">
      <alignment horizontal="center" vertical="center"/>
    </xf>
    <xf numFmtId="0" fontId="11" fillId="3" borderId="4" xfId="0" applyFont="1" applyFill="1" applyBorder="1" applyAlignment="1">
      <alignment vertical="center"/>
    </xf>
    <xf numFmtId="0" fontId="11" fillId="3" borderId="1" xfId="0" applyFont="1" applyFill="1" applyBorder="1" applyAlignment="1">
      <alignment horizontal="center" vertical="center"/>
    </xf>
    <xf numFmtId="0" fontId="4" fillId="3" borderId="10" xfId="0" applyFont="1" applyFill="1" applyBorder="1" applyAlignment="1">
      <alignment vertical="center"/>
    </xf>
    <xf numFmtId="0" fontId="4" fillId="3" borderId="1" xfId="0" applyFont="1" applyFill="1" applyBorder="1" applyAlignment="1">
      <alignment horizontal="center" vertical="center"/>
    </xf>
    <xf numFmtId="0" fontId="11" fillId="3" borderId="9" xfId="0" applyFont="1" applyFill="1" applyBorder="1" applyAlignment="1">
      <alignment vertical="center"/>
    </xf>
    <xf numFmtId="3" fontId="11" fillId="4" borderId="1" xfId="0" applyNumberFormat="1" applyFont="1" applyFill="1" applyBorder="1" applyAlignment="1" applyProtection="1">
      <alignment horizontal="center" vertical="center"/>
      <protection locked="0"/>
    </xf>
    <xf numFmtId="0" fontId="11" fillId="3" borderId="8" xfId="0" applyFont="1" applyFill="1" applyBorder="1" applyAlignment="1">
      <alignment vertical="center"/>
    </xf>
    <xf numFmtId="3" fontId="11" fillId="5"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4" borderId="1" xfId="0" applyFont="1" applyFill="1" applyBorder="1" applyAlignment="1" applyProtection="1">
      <alignment vertical="center"/>
      <protection locked="0"/>
    </xf>
    <xf numFmtId="3" fontId="11" fillId="4" borderId="4" xfId="0" applyNumberFormat="1" applyFont="1" applyFill="1" applyBorder="1" applyAlignment="1" applyProtection="1">
      <alignment vertical="center"/>
      <protection locked="0"/>
    </xf>
    <xf numFmtId="0" fontId="11" fillId="4" borderId="4" xfId="0" applyFont="1" applyFill="1" applyBorder="1" applyAlignment="1" applyProtection="1">
      <alignment vertical="center"/>
      <protection locked="0"/>
    </xf>
    <xf numFmtId="0" fontId="11" fillId="4" borderId="0" xfId="0" applyFont="1" applyFill="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15" xfId="0" applyFont="1" applyFill="1" applyBorder="1" applyAlignment="1" applyProtection="1">
      <alignment vertical="center"/>
      <protection locked="0"/>
    </xf>
    <xf numFmtId="3" fontId="17" fillId="11" borderId="1" xfId="0" applyNumberFormat="1" applyFont="1" applyFill="1" applyBorder="1" applyAlignment="1">
      <alignment horizontal="center" vertical="center"/>
    </xf>
    <xf numFmtId="3" fontId="27" fillId="11" borderId="0" xfId="0" applyNumberFormat="1" applyFont="1" applyFill="1" applyAlignment="1">
      <alignment horizontal="center" vertical="center"/>
    </xf>
    <xf numFmtId="3" fontId="4" fillId="0" borderId="0" xfId="0" applyNumberFormat="1" applyFont="1" applyAlignment="1">
      <alignment vertical="center"/>
    </xf>
    <xf numFmtId="1" fontId="4" fillId="3" borderId="0" xfId="0" applyNumberFormat="1" applyFont="1" applyFill="1" applyBorder="1" applyAlignment="1" applyProtection="1">
      <alignment horizontal="right" vertical="center"/>
    </xf>
    <xf numFmtId="0" fontId="3" fillId="3" borderId="0" xfId="0" applyFont="1" applyFill="1" applyAlignment="1" applyProtection="1">
      <alignment vertical="center"/>
    </xf>
    <xf numFmtId="166" fontId="4" fillId="3" borderId="8" xfId="0" applyNumberFormat="1" applyFont="1" applyFill="1" applyBorder="1" applyAlignment="1" applyProtection="1">
      <alignment vertical="center"/>
    </xf>
    <xf numFmtId="37" fontId="4" fillId="3" borderId="8" xfId="0" quotePrefix="1" applyNumberFormat="1" applyFont="1" applyFill="1" applyBorder="1" applyAlignment="1" applyProtection="1">
      <alignment horizontal="right" vertical="center"/>
    </xf>
    <xf numFmtId="3" fontId="4" fillId="2" borderId="10" xfId="0" applyNumberFormat="1" applyFont="1" applyFill="1" applyBorder="1" applyAlignment="1" applyProtection="1">
      <alignment vertical="center"/>
      <protection locked="0"/>
    </xf>
    <xf numFmtId="3" fontId="4" fillId="3" borderId="1" xfId="0" applyNumberFormat="1" applyFont="1" applyFill="1" applyBorder="1" applyAlignment="1" applyProtection="1">
      <alignment vertical="center"/>
    </xf>
    <xf numFmtId="37" fontId="4" fillId="3" borderId="9" xfId="0" applyNumberFormat="1" applyFont="1" applyFill="1" applyBorder="1" applyAlignment="1" applyProtection="1">
      <alignment horizontal="left" vertical="center"/>
    </xf>
    <xf numFmtId="0" fontId="4" fillId="2" borderId="2" xfId="0"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37" fontId="4" fillId="2" borderId="2" xfId="0" applyNumberFormat="1" applyFont="1" applyFill="1" applyBorder="1" applyAlignment="1" applyProtection="1">
      <alignment horizontal="left" vertical="center"/>
      <protection locked="0"/>
    </xf>
    <xf numFmtId="0" fontId="4" fillId="3" borderId="2" xfId="0" applyFont="1" applyFill="1" applyBorder="1" applyAlignment="1" applyProtection="1">
      <alignment vertical="center"/>
    </xf>
    <xf numFmtId="3" fontId="15" fillId="6"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37" fontId="3" fillId="5" borderId="1" xfId="0" applyNumberFormat="1" applyFont="1" applyFill="1" applyBorder="1" applyAlignment="1" applyProtection="1">
      <alignment vertical="center"/>
    </xf>
    <xf numFmtId="3" fontId="3" fillId="5" borderId="1"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3" fillId="3" borderId="0" xfId="0" applyFont="1" applyFill="1" applyAlignment="1" applyProtection="1">
      <alignment horizontal="center" vertical="center"/>
    </xf>
    <xf numFmtId="0" fontId="4" fillId="3" borderId="7" xfId="0" applyNumberFormat="1" applyFont="1" applyFill="1" applyBorder="1" applyAlignment="1" applyProtection="1">
      <alignment horizontal="center" vertical="center"/>
    </xf>
    <xf numFmtId="0" fontId="4" fillId="3" borderId="2"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4" fillId="2" borderId="2" xfId="0" applyFont="1" applyFill="1" applyBorder="1" applyAlignment="1" applyProtection="1">
      <alignment horizontal="left" vertical="center"/>
      <protection locked="0"/>
    </xf>
    <xf numFmtId="3" fontId="4" fillId="3" borderId="8" xfId="0" applyNumberFormat="1" applyFont="1" applyFill="1" applyBorder="1" applyAlignment="1" applyProtection="1">
      <alignment horizontal="fill" vertical="center"/>
    </xf>
    <xf numFmtId="3" fontId="4" fillId="3" borderId="1" xfId="0" applyNumberFormat="1" applyFont="1" applyFill="1" applyBorder="1" applyAlignment="1" applyProtection="1">
      <alignment horizontal="fill" vertical="center"/>
    </xf>
    <xf numFmtId="0" fontId="15" fillId="0" borderId="0" xfId="0" applyFont="1" applyAlignment="1" applyProtection="1">
      <alignment vertical="center"/>
    </xf>
    <xf numFmtId="37" fontId="3" fillId="5" borderId="2" xfId="0" applyNumberFormat="1" applyFont="1" applyFill="1" applyBorder="1" applyAlignment="1" applyProtection="1">
      <alignment horizontal="left" vertical="center"/>
    </xf>
    <xf numFmtId="3" fontId="4" fillId="11" borderId="17" xfId="0" applyNumberFormat="1" applyFont="1" applyFill="1" applyBorder="1" applyAlignment="1" applyProtection="1">
      <alignment vertical="center"/>
    </xf>
    <xf numFmtId="37" fontId="4" fillId="3" borderId="0" xfId="0" quotePrefix="1" applyNumberFormat="1" applyFont="1" applyFill="1" applyAlignment="1" applyProtection="1">
      <alignment horizontal="right" vertical="center"/>
    </xf>
    <xf numFmtId="3" fontId="4" fillId="3"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xf>
    <xf numFmtId="0" fontId="4" fillId="3" borderId="2" xfId="0" applyNumberFormat="1" applyFont="1" applyFill="1" applyBorder="1" applyAlignment="1" applyProtection="1">
      <alignment horizontal="left" vertical="center"/>
    </xf>
    <xf numFmtId="0" fontId="4" fillId="2" borderId="2" xfId="0" applyNumberFormat="1" applyFont="1" applyFill="1" applyBorder="1" applyAlignment="1" applyProtection="1">
      <alignment horizontal="left" vertical="center"/>
      <protection locked="0"/>
    </xf>
    <xf numFmtId="0" fontId="4" fillId="2" borderId="5" xfId="0" applyNumberFormat="1" applyFont="1" applyFill="1" applyBorder="1" applyAlignment="1" applyProtection="1">
      <alignment horizontal="left" vertical="center"/>
      <protection locked="0"/>
    </xf>
    <xf numFmtId="3" fontId="15" fillId="6" borderId="1" xfId="0" applyNumberFormat="1" applyFont="1" applyFill="1" applyBorder="1" applyAlignment="1" applyProtection="1">
      <alignment horizontal="center" vertical="center"/>
    </xf>
    <xf numFmtId="3" fontId="3" fillId="5" borderId="7"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horizontal="right" vertical="center"/>
    </xf>
    <xf numFmtId="3" fontId="4" fillId="5" borderId="1" xfId="0" applyNumberFormat="1" applyFont="1" applyFill="1" applyBorder="1" applyAlignment="1" applyProtection="1">
      <alignment horizontal="right" vertical="center"/>
    </xf>
    <xf numFmtId="0" fontId="4" fillId="3" borderId="0" xfId="0" applyFont="1" applyFill="1" applyBorder="1" applyAlignment="1" applyProtection="1">
      <alignment horizontal="fill" vertical="center"/>
    </xf>
    <xf numFmtId="37" fontId="4" fillId="3" borderId="1" xfId="0" applyNumberFormat="1" applyFont="1" applyFill="1" applyBorder="1" applyAlignment="1" applyProtection="1">
      <alignment horizontal="fill" vertical="center"/>
    </xf>
    <xf numFmtId="37" fontId="4" fillId="2" borderId="2" xfId="0" applyNumberFormat="1" applyFont="1" applyFill="1" applyBorder="1" applyAlignment="1" applyProtection="1">
      <alignment vertical="center"/>
      <protection locked="0"/>
    </xf>
    <xf numFmtId="0" fontId="3" fillId="3" borderId="2" xfId="0" applyFont="1" applyFill="1" applyBorder="1" applyAlignment="1" applyProtection="1">
      <alignment horizontal="left" vertical="center"/>
    </xf>
    <xf numFmtId="0" fontId="4" fillId="5" borderId="2" xfId="0" applyFont="1" applyFill="1" applyBorder="1" applyAlignment="1" applyProtection="1">
      <alignment horizontal="left" vertical="center"/>
      <protection locked="0"/>
    </xf>
    <xf numFmtId="0" fontId="4" fillId="5" borderId="2" xfId="0" applyFont="1" applyFill="1" applyBorder="1" applyAlignment="1" applyProtection="1">
      <alignment vertical="center"/>
    </xf>
    <xf numFmtId="0" fontId="4" fillId="3" borderId="1" xfId="0" applyFont="1" applyFill="1" applyBorder="1" applyAlignment="1" applyProtection="1">
      <alignment horizontal="left" vertical="center"/>
    </xf>
    <xf numFmtId="0" fontId="4" fillId="2" borderId="1" xfId="0" applyFont="1" applyFill="1" applyBorder="1" applyAlignment="1" applyProtection="1">
      <alignment horizontal="left" vertical="center"/>
      <protection locked="0"/>
    </xf>
    <xf numFmtId="37" fontId="3" fillId="11" borderId="17" xfId="0" applyNumberFormat="1" applyFont="1" applyFill="1" applyBorder="1" applyAlignment="1" applyProtection="1">
      <alignment vertical="center"/>
    </xf>
    <xf numFmtId="0" fontId="4" fillId="12" borderId="0" xfId="0" applyNumberFormat="1" applyFont="1" applyFill="1" applyBorder="1" applyAlignment="1" applyProtection="1">
      <alignment vertical="center"/>
    </xf>
    <xf numFmtId="37" fontId="4" fillId="12" borderId="0" xfId="0" applyNumberFormat="1" applyFont="1" applyFill="1" applyBorder="1" applyAlignment="1" applyProtection="1">
      <alignment vertical="center"/>
    </xf>
    <xf numFmtId="0" fontId="4" fillId="12" borderId="0" xfId="0" applyNumberFormat="1" applyFont="1" applyFill="1" applyBorder="1" applyAlignment="1" applyProtection="1">
      <alignment horizontal="left" vertical="center"/>
    </xf>
    <xf numFmtId="0" fontId="4" fillId="12" borderId="18" xfId="0" applyNumberFormat="1" applyFont="1" applyFill="1" applyBorder="1" applyAlignment="1" applyProtection="1">
      <alignment horizontal="left" vertical="center"/>
    </xf>
    <xf numFmtId="37" fontId="4" fillId="12" borderId="18" xfId="0" applyNumberFormat="1" applyFont="1" applyFill="1" applyBorder="1" applyAlignment="1" applyProtection="1">
      <alignment vertical="center"/>
    </xf>
    <xf numFmtId="0" fontId="4" fillId="13" borderId="18" xfId="0" applyNumberFormat="1" applyFont="1" applyFill="1" applyBorder="1" applyAlignment="1" applyProtection="1">
      <alignment horizontal="left" vertical="center"/>
      <protection locked="0"/>
    </xf>
    <xf numFmtId="37" fontId="4" fillId="13" borderId="18" xfId="0" applyNumberFormat="1" applyFont="1" applyFill="1" applyBorder="1" applyAlignment="1" applyProtection="1">
      <alignment vertical="center"/>
      <protection locked="0"/>
    </xf>
    <xf numFmtId="37" fontId="3" fillId="14" borderId="18" xfId="0" applyNumberFormat="1" applyFont="1" applyFill="1" applyBorder="1" applyAlignment="1" applyProtection="1">
      <alignment vertical="center"/>
    </xf>
    <xf numFmtId="0" fontId="4" fillId="12" borderId="18" xfId="0" applyNumberFormat="1" applyFont="1" applyFill="1" applyBorder="1" applyAlignment="1" applyProtection="1">
      <alignment vertical="center"/>
    </xf>
    <xf numFmtId="37" fontId="4" fillId="14" borderId="18" xfId="0" applyNumberFormat="1" applyFont="1" applyFill="1" applyBorder="1" applyAlignment="1" applyProtection="1">
      <alignment vertical="center"/>
    </xf>
    <xf numFmtId="0" fontId="15" fillId="12" borderId="0" xfId="0" applyNumberFormat="1" applyFont="1" applyFill="1" applyBorder="1" applyAlignment="1" applyProtection="1">
      <alignment vertical="center"/>
    </xf>
    <xf numFmtId="37" fontId="3" fillId="15" borderId="19" xfId="0" applyNumberFormat="1" applyFont="1" applyFill="1" applyBorder="1" applyAlignment="1" applyProtection="1">
      <alignment vertical="center"/>
    </xf>
    <xf numFmtId="0" fontId="4" fillId="0" borderId="0" xfId="412" applyFont="1" applyAlignment="1">
      <alignment vertical="center"/>
    </xf>
    <xf numFmtId="0" fontId="4" fillId="0" borderId="0" xfId="412" applyFont="1" applyAlignment="1">
      <alignment vertical="center" wrapText="1"/>
    </xf>
    <xf numFmtId="0" fontId="4" fillId="0" borderId="0" xfId="390" applyFont="1" applyAlignment="1">
      <alignment vertical="center"/>
    </xf>
    <xf numFmtId="0" fontId="4" fillId="0" borderId="0" xfId="21" applyFont="1" applyAlignment="1">
      <alignment vertical="center"/>
    </xf>
    <xf numFmtId="0" fontId="4" fillId="0" borderId="0" xfId="37" applyFont="1" applyAlignment="1">
      <alignment vertical="center"/>
    </xf>
    <xf numFmtId="0" fontId="28" fillId="0" borderId="0" xfId="395"/>
    <xf numFmtId="0" fontId="4" fillId="0" borderId="0" xfId="395" applyFont="1" applyAlignment="1">
      <alignment horizontal="left" vertical="center"/>
    </xf>
    <xf numFmtId="173" fontId="11" fillId="0" borderId="0" xfId="395" applyNumberFormat="1" applyFont="1" applyAlignment="1">
      <alignment horizontal="left" vertical="center"/>
    </xf>
    <xf numFmtId="49" fontId="4" fillId="0" borderId="0" xfId="395" applyNumberFormat="1" applyFont="1" applyAlignment="1">
      <alignment horizontal="left" vertical="center"/>
    </xf>
    <xf numFmtId="0" fontId="11" fillId="0" borderId="0" xfId="395" applyFont="1" applyAlignment="1">
      <alignment horizontal="left" vertical="center"/>
    </xf>
    <xf numFmtId="174" fontId="11" fillId="0" borderId="0" xfId="395" applyNumberFormat="1" applyFont="1" applyAlignment="1">
      <alignment horizontal="left" vertical="center"/>
    </xf>
    <xf numFmtId="0" fontId="14"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50" applyFont="1"/>
    <xf numFmtId="0" fontId="2" fillId="0" borderId="0" xfId="150"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77" applyFont="1" applyAlignment="1">
      <alignment vertical="center"/>
    </xf>
    <xf numFmtId="0" fontId="5" fillId="0" borderId="0" xfId="81" applyFont="1" applyAlignment="1">
      <alignment vertical="center"/>
    </xf>
    <xf numFmtId="0" fontId="4" fillId="0" borderId="0" xfId="149" applyFont="1" applyAlignment="1">
      <alignment vertical="center" wrapText="1"/>
    </xf>
    <xf numFmtId="0" fontId="4" fillId="0" borderId="0" xfId="89" applyFont="1" applyAlignment="1">
      <alignment vertical="center" wrapText="1"/>
    </xf>
    <xf numFmtId="0" fontId="4" fillId="3" borderId="0" xfId="0" applyFont="1" applyFill="1"/>
    <xf numFmtId="0" fontId="48"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14" fontId="4" fillId="2" borderId="1" xfId="0" applyNumberFormat="1" applyFont="1" applyFill="1" applyBorder="1" applyAlignment="1" applyProtection="1">
      <alignment horizontal="center"/>
      <protection locked="0"/>
    </xf>
    <xf numFmtId="3" fontId="11" fillId="5" borderId="7" xfId="0" applyNumberFormat="1" applyFont="1" applyFill="1" applyBorder="1" applyAlignment="1">
      <alignment horizontal="center" vertical="center"/>
    </xf>
    <xf numFmtId="37" fontId="13" fillId="3" borderId="0" xfId="0" applyNumberFormat="1" applyFont="1" applyFill="1" applyAlignment="1" applyProtection="1">
      <alignment horizontal="center" vertical="center"/>
    </xf>
    <xf numFmtId="3" fontId="4" fillId="2" borderId="2" xfId="0" applyNumberFormat="1" applyFont="1" applyFill="1" applyBorder="1" applyAlignment="1" applyProtection="1">
      <alignment vertical="center"/>
      <protection locked="0"/>
    </xf>
    <xf numFmtId="3" fontId="15" fillId="6" borderId="2" xfId="0" applyNumberFormat="1" applyFont="1" applyFill="1" applyBorder="1" applyAlignment="1" applyProtection="1">
      <alignment horizontal="center" vertical="center"/>
    </xf>
    <xf numFmtId="3" fontId="4" fillId="5" borderId="2" xfId="0" applyNumberFormat="1" applyFont="1" applyFill="1" applyBorder="1" applyAlignment="1" applyProtection="1">
      <alignment vertical="center"/>
    </xf>
    <xf numFmtId="0" fontId="4" fillId="3" borderId="9" xfId="0" applyNumberFormat="1" applyFont="1" applyFill="1" applyBorder="1" applyAlignment="1" applyProtection="1">
      <alignment horizontal="center" vertical="center"/>
    </xf>
    <xf numFmtId="3" fontId="3" fillId="5" borderId="2" xfId="0" applyNumberFormat="1" applyFont="1" applyFill="1" applyBorder="1" applyAlignment="1" applyProtection="1">
      <alignment vertical="center"/>
    </xf>
    <xf numFmtId="3" fontId="4" fillId="3" borderId="2" xfId="0" applyNumberFormat="1" applyFont="1" applyFill="1" applyBorder="1" applyAlignment="1" applyProtection="1">
      <alignment vertical="center"/>
    </xf>
    <xf numFmtId="0" fontId="4" fillId="3" borderId="0" xfId="0" applyNumberFormat="1"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protection locked="0"/>
    </xf>
    <xf numFmtId="1" fontId="4" fillId="3" borderId="9"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right" vertical="center"/>
    </xf>
    <xf numFmtId="3" fontId="3" fillId="5" borderId="9" xfId="0" applyNumberFormat="1" applyFont="1" applyFill="1" applyBorder="1" applyAlignment="1" applyProtection="1">
      <alignment horizontal="right" vertical="center"/>
    </xf>
    <xf numFmtId="3" fontId="3" fillId="5" borderId="2" xfId="0" applyNumberFormat="1" applyFont="1" applyFill="1" applyBorder="1" applyAlignment="1" applyProtection="1">
      <alignment horizontal="right" vertical="center"/>
    </xf>
    <xf numFmtId="3" fontId="4" fillId="5" borderId="2" xfId="0" applyNumberFormat="1" applyFont="1" applyFill="1" applyBorder="1" applyAlignment="1" applyProtection="1">
      <alignment horizontal="right" vertical="center"/>
    </xf>
    <xf numFmtId="171" fontId="4" fillId="3" borderId="0" xfId="0" applyNumberFormat="1" applyFont="1" applyFill="1" applyBorder="1" applyAlignment="1" applyProtection="1">
      <alignment vertical="center"/>
    </xf>
    <xf numFmtId="0" fontId="8" fillId="12" borderId="0" xfId="0" applyFont="1" applyFill="1" applyBorder="1" applyAlignment="1" applyProtection="1">
      <alignment vertical="center" shrinkToFit="1"/>
    </xf>
    <xf numFmtId="3" fontId="4" fillId="12" borderId="0" xfId="1" applyNumberFormat="1" applyFont="1" applyFill="1" applyBorder="1" applyAlignment="1" applyProtection="1">
      <alignment vertical="center"/>
      <protection locked="0"/>
    </xf>
    <xf numFmtId="0" fontId="4" fillId="2" borderId="2" xfId="22" applyNumberFormat="1" applyFont="1" applyFill="1" applyBorder="1" applyAlignment="1" applyProtection="1">
      <alignment horizontal="left" vertical="center"/>
      <protection locked="0"/>
    </xf>
    <xf numFmtId="0" fontId="35" fillId="12" borderId="20" xfId="0" applyFont="1" applyFill="1" applyBorder="1"/>
    <xf numFmtId="175" fontId="35" fillId="12" borderId="0" xfId="0" applyNumberFormat="1" applyFont="1" applyFill="1"/>
    <xf numFmtId="0" fontId="35" fillId="12" borderId="21" xfId="0" applyFont="1" applyFill="1" applyBorder="1"/>
    <xf numFmtId="0" fontId="35" fillId="12" borderId="22" xfId="0" applyFont="1" applyFill="1" applyBorder="1"/>
    <xf numFmtId="175" fontId="35" fillId="13" borderId="23" xfId="0" applyNumberFormat="1" applyFont="1" applyFill="1" applyBorder="1" applyAlignment="1" applyProtection="1">
      <alignment horizontal="center"/>
      <protection locked="0"/>
    </xf>
    <xf numFmtId="172" fontId="35" fillId="12" borderId="0" xfId="0" applyNumberFormat="1" applyFont="1" applyFill="1" applyBorder="1" applyAlignment="1">
      <alignment horizontal="center"/>
    </xf>
    <xf numFmtId="0" fontId="49" fillId="0" borderId="0" xfId="0" applyFont="1" applyBorder="1"/>
    <xf numFmtId="0" fontId="35" fillId="0" borderId="0" xfId="0" applyFont="1" applyBorder="1"/>
    <xf numFmtId="0" fontId="50" fillId="0" borderId="0" xfId="0" applyFont="1" applyBorder="1" applyAlignment="1">
      <alignment horizontal="centerContinuous"/>
    </xf>
    <xf numFmtId="0" fontId="35" fillId="0" borderId="0" xfId="0" applyFont="1" applyBorder="1" applyAlignment="1">
      <alignment horizontal="centerContinuous"/>
    </xf>
    <xf numFmtId="0" fontId="35" fillId="16" borderId="0" xfId="0" applyFont="1" applyFill="1" applyBorder="1"/>
    <xf numFmtId="0" fontId="35" fillId="12" borderId="24" xfId="0" applyFont="1" applyFill="1" applyBorder="1"/>
    <xf numFmtId="0" fontId="35" fillId="12" borderId="13" xfId="0" applyFont="1" applyFill="1" applyBorder="1"/>
    <xf numFmtId="0" fontId="35" fillId="12" borderId="25" xfId="0" applyFont="1" applyFill="1" applyBorder="1"/>
    <xf numFmtId="5" fontId="35" fillId="12" borderId="14" xfId="0" applyNumberFormat="1" applyFont="1" applyFill="1" applyBorder="1" applyAlignment="1">
      <alignment horizontal="center"/>
    </xf>
    <xf numFmtId="0" fontId="35" fillId="12" borderId="14" xfId="0" applyFont="1" applyFill="1" applyBorder="1" applyAlignment="1">
      <alignment horizontal="center"/>
    </xf>
    <xf numFmtId="172" fontId="35" fillId="12" borderId="14" xfId="0" applyNumberFormat="1" applyFont="1" applyFill="1" applyBorder="1" applyAlignment="1">
      <alignment horizontal="center"/>
    </xf>
    <xf numFmtId="176" fontId="35" fillId="12" borderId="14" xfId="0" applyNumberFormat="1" applyFont="1" applyFill="1" applyBorder="1" applyAlignment="1">
      <alignment horizontal="center"/>
    </xf>
    <xf numFmtId="0" fontId="35" fillId="12" borderId="0" xfId="0" applyFont="1" applyFill="1" applyAlignment="1">
      <alignment horizontal="center" wrapText="1"/>
    </xf>
    <xf numFmtId="0" fontId="50" fillId="12" borderId="21" xfId="0" applyFont="1" applyFill="1" applyBorder="1" applyAlignment="1"/>
    <xf numFmtId="0" fontId="35" fillId="12" borderId="26" xfId="0" applyFont="1" applyFill="1" applyBorder="1" applyAlignment="1"/>
    <xf numFmtId="0" fontId="35" fillId="12" borderId="27"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13" xfId="0" applyFont="1" applyFill="1" applyBorder="1" applyAlignment="1"/>
    <xf numFmtId="0" fontId="35" fillId="12" borderId="25" xfId="0" applyFont="1" applyFill="1" applyBorder="1" applyAlignment="1"/>
    <xf numFmtId="170" fontId="35" fillId="12" borderId="0" xfId="0" applyNumberFormat="1" applyFont="1" applyFill="1" applyBorder="1" applyAlignment="1">
      <alignment horizontal="center"/>
    </xf>
    <xf numFmtId="0" fontId="35" fillId="12" borderId="20" xfId="0" applyFont="1" applyFill="1" applyBorder="1" applyAlignment="1"/>
    <xf numFmtId="5" fontId="35" fillId="12" borderId="0" xfId="0" applyNumberFormat="1" applyFont="1" applyFill="1" applyBorder="1" applyAlignment="1">
      <alignment horizontal="center"/>
    </xf>
    <xf numFmtId="0" fontId="35" fillId="16" borderId="0" xfId="0" applyFont="1" applyFill="1" applyAlignment="1"/>
    <xf numFmtId="172" fontId="35" fillId="13" borderId="8" xfId="0" applyNumberFormat="1" applyFont="1" applyFill="1" applyBorder="1" applyAlignment="1" applyProtection="1">
      <alignment horizontal="center"/>
      <protection locked="0"/>
    </xf>
    <xf numFmtId="176" fontId="35" fillId="12" borderId="0" xfId="0" applyNumberFormat="1" applyFont="1" applyFill="1" applyBorder="1"/>
    <xf numFmtId="0" fontId="35" fillId="17" borderId="0" xfId="0" applyFont="1" applyFill="1"/>
    <xf numFmtId="0" fontId="4" fillId="3" borderId="0" xfId="0" applyFont="1" applyFill="1" applyBorder="1" applyAlignment="1" applyProtection="1">
      <alignment horizontal="center" vertical="center"/>
    </xf>
    <xf numFmtId="164" fontId="4" fillId="3" borderId="1" xfId="0" applyNumberFormat="1" applyFont="1" applyFill="1" applyBorder="1" applyAlignment="1" applyProtection="1">
      <alignment horizontal="center" vertical="center"/>
    </xf>
    <xf numFmtId="166" fontId="4" fillId="3" borderId="0" xfId="0" applyNumberFormat="1" applyFont="1" applyFill="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3" borderId="0" xfId="0" applyNumberFormat="1" applyFont="1" applyFill="1" applyBorder="1" applyAlignment="1" applyProtection="1">
      <alignment horizontal="center" vertical="center"/>
    </xf>
    <xf numFmtId="0" fontId="51" fillId="0" borderId="0" xfId="0" applyFont="1" applyAlignment="1">
      <alignment vertical="center"/>
    </xf>
    <xf numFmtId="0" fontId="4" fillId="15" borderId="12" xfId="0" applyFont="1" applyFill="1" applyBorder="1" applyAlignment="1" applyProtection="1">
      <alignment vertical="center"/>
    </xf>
    <xf numFmtId="0" fontId="4" fillId="12" borderId="15"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29" xfId="0" applyFont="1" applyFill="1" applyBorder="1" applyAlignment="1" applyProtection="1">
      <alignment vertical="center"/>
    </xf>
    <xf numFmtId="0" fontId="4" fillId="3" borderId="0" xfId="47" applyFont="1" applyFill="1" applyAlignment="1" applyProtection="1">
      <alignment horizontal="right" vertical="center"/>
    </xf>
    <xf numFmtId="0" fontId="35" fillId="12" borderId="30" xfId="0" applyFont="1" applyFill="1" applyBorder="1"/>
    <xf numFmtId="0" fontId="35" fillId="12" borderId="14" xfId="0" applyFont="1" applyFill="1" applyBorder="1"/>
    <xf numFmtId="3" fontId="4" fillId="3" borderId="2" xfId="1" applyNumberFormat="1" applyFont="1" applyFill="1" applyBorder="1" applyAlignment="1" applyProtection="1">
      <alignment horizontal="right" vertical="center"/>
    </xf>
    <xf numFmtId="0" fontId="3" fillId="3" borderId="0" xfId="22" applyFont="1" applyFill="1" applyAlignment="1" applyProtection="1">
      <alignment vertical="center"/>
    </xf>
    <xf numFmtId="0" fontId="35" fillId="12" borderId="28" xfId="0" applyFont="1" applyFill="1" applyBorder="1"/>
    <xf numFmtId="175" fontId="35" fillId="12" borderId="8" xfId="0" applyNumberFormat="1" applyFont="1" applyFill="1" applyBorder="1" applyAlignment="1">
      <alignment horizontal="center"/>
    </xf>
    <xf numFmtId="0" fontId="35" fillId="12" borderId="0" xfId="0" applyFont="1" applyFill="1" applyBorder="1"/>
    <xf numFmtId="175" fontId="35" fillId="12" borderId="23" xfId="0" applyNumberFormat="1" applyFont="1" applyFill="1" applyBorder="1"/>
    <xf numFmtId="0" fontId="35" fillId="12" borderId="27" xfId="0" applyFont="1" applyFill="1" applyBorder="1"/>
    <xf numFmtId="0" fontId="35" fillId="12" borderId="26" xfId="0" applyFont="1" applyFill="1" applyBorder="1"/>
    <xf numFmtId="0" fontId="50" fillId="12" borderId="21" xfId="0" applyFont="1" applyFill="1" applyBorder="1"/>
    <xf numFmtId="0" fontId="35" fillId="12" borderId="0" xfId="0" applyFont="1" applyFill="1" applyAlignment="1">
      <alignment horizontal="center"/>
    </xf>
    <xf numFmtId="0" fontId="50" fillId="12" borderId="0" xfId="0" applyFont="1" applyFill="1"/>
    <xf numFmtId="0" fontId="50" fillId="16" borderId="0" xfId="0" applyFont="1" applyFill="1" applyAlignment="1">
      <alignment horizontal="center" wrapText="1"/>
    </xf>
    <xf numFmtId="0" fontId="35" fillId="12" borderId="0" xfId="0" applyFont="1" applyFill="1"/>
    <xf numFmtId="0" fontId="35" fillId="0" borderId="0" xfId="0" applyFont="1"/>
    <xf numFmtId="0" fontId="35" fillId="16" borderId="0" xfId="0" applyFont="1" applyFill="1"/>
    <xf numFmtId="0" fontId="37" fillId="0" borderId="0" xfId="0" applyFont="1" applyAlignment="1">
      <alignment horizontal="center"/>
    </xf>
    <xf numFmtId="3" fontId="4" fillId="3" borderId="3" xfId="0" applyNumberFormat="1" applyFont="1" applyFill="1" applyBorder="1" applyAlignment="1" applyProtection="1">
      <alignment horizontal="center" vertical="center"/>
    </xf>
    <xf numFmtId="0" fontId="11" fillId="15" borderId="8" xfId="0" applyFont="1" applyFill="1" applyBorder="1" applyAlignment="1" applyProtection="1">
      <alignment vertical="center"/>
    </xf>
    <xf numFmtId="175" fontId="11" fillId="15" borderId="9" xfId="0" applyNumberFormat="1" applyFont="1" applyFill="1" applyBorder="1" applyAlignment="1" applyProtection="1">
      <alignment horizontal="center" vertical="center"/>
    </xf>
    <xf numFmtId="175" fontId="11" fillId="12" borderId="29" xfId="0" applyNumberFormat="1" applyFont="1" applyFill="1" applyBorder="1" applyAlignment="1" applyProtection="1">
      <alignment vertical="center"/>
    </xf>
    <xf numFmtId="175" fontId="11" fillId="12" borderId="9" xfId="0" applyNumberFormat="1" applyFont="1" applyFill="1" applyBorder="1" applyAlignment="1" applyProtection="1">
      <alignment horizontal="center" vertical="center"/>
    </xf>
    <xf numFmtId="0" fontId="11" fillId="12" borderId="0" xfId="0" applyFont="1" applyFill="1" applyBorder="1" applyAlignment="1" applyProtection="1">
      <alignment vertical="center"/>
    </xf>
    <xf numFmtId="175" fontId="11" fillId="12" borderId="29" xfId="0" applyNumberFormat="1" applyFont="1" applyFill="1" applyBorder="1" applyAlignment="1" applyProtection="1">
      <alignment horizontal="center" vertical="center"/>
    </xf>
    <xf numFmtId="0" fontId="38" fillId="0" borderId="0" xfId="12" applyFont="1" applyAlignment="1" applyProtection="1"/>
    <xf numFmtId="0" fontId="4" fillId="0" borderId="0" xfId="22" applyFont="1" applyFill="1" applyBorder="1" applyAlignment="1" applyProtection="1">
      <alignment vertical="center"/>
    </xf>
    <xf numFmtId="0" fontId="34" fillId="12" borderId="29" xfId="44" applyFont="1" applyFill="1" applyBorder="1" applyProtection="1"/>
    <xf numFmtId="0" fontId="4" fillId="12" borderId="0" xfId="44" applyFont="1" applyFill="1" applyBorder="1" applyProtection="1"/>
    <xf numFmtId="175" fontId="4" fillId="12" borderId="15" xfId="44" applyNumberFormat="1" applyFont="1" applyFill="1" applyBorder="1" applyAlignment="1" applyProtection="1">
      <alignment horizontal="center"/>
    </xf>
    <xf numFmtId="0" fontId="4" fillId="12" borderId="9" xfId="44" applyFont="1" applyFill="1" applyBorder="1" applyProtection="1"/>
    <xf numFmtId="0" fontId="4" fillId="12" borderId="8" xfId="44" applyFont="1" applyFill="1" applyBorder="1" applyProtection="1"/>
    <xf numFmtId="175" fontId="4" fillId="15" borderId="12" xfId="44" applyNumberFormat="1" applyFont="1" applyFill="1" applyBorder="1" applyAlignment="1" applyProtection="1">
      <alignment horizontal="center"/>
    </xf>
    <xf numFmtId="0" fontId="4" fillId="0" borderId="0" xfId="44" applyFont="1" applyFill="1" applyBorder="1" applyProtection="1"/>
    <xf numFmtId="0" fontId="4" fillId="12" borderId="29" xfId="44" applyFont="1" applyFill="1" applyBorder="1" applyProtection="1"/>
    <xf numFmtId="0" fontId="4" fillId="12" borderId="15" xfId="44" applyFont="1" applyFill="1" applyBorder="1" applyProtection="1"/>
    <xf numFmtId="170" fontId="4" fillId="12" borderId="15" xfId="44" applyNumberFormat="1" applyFont="1" applyFill="1" applyBorder="1" applyAlignment="1" applyProtection="1">
      <alignment horizontal="center"/>
    </xf>
    <xf numFmtId="0" fontId="4" fillId="15" borderId="29" xfId="44" applyFont="1" applyFill="1" applyBorder="1" applyProtection="1"/>
    <xf numFmtId="0" fontId="4" fillId="15" borderId="0" xfId="44" applyFont="1" applyFill="1" applyBorder="1" applyProtection="1"/>
    <xf numFmtId="0" fontId="4" fillId="15" borderId="9" xfId="44" applyFont="1" applyFill="1" applyBorder="1" applyProtection="1"/>
    <xf numFmtId="0" fontId="4" fillId="15" borderId="8" xfId="44" applyFont="1" applyFill="1" applyBorder="1" applyProtection="1"/>
    <xf numFmtId="0" fontId="4" fillId="0" borderId="0" xfId="44" applyFont="1" applyProtection="1"/>
    <xf numFmtId="175" fontId="4" fillId="12" borderId="12" xfId="44" applyNumberFormat="1" applyFont="1" applyFill="1" applyBorder="1" applyAlignment="1" applyProtection="1">
      <alignment horizontal="center"/>
    </xf>
    <xf numFmtId="172" fontId="4" fillId="13" borderId="15" xfId="44" applyNumberFormat="1" applyFont="1" applyFill="1" applyBorder="1" applyAlignment="1" applyProtection="1">
      <alignment horizontal="center"/>
      <protection locked="0"/>
    </xf>
    <xf numFmtId="3" fontId="4" fillId="2" borderId="1" xfId="0" applyNumberFormat="1" applyFont="1" applyFill="1" applyBorder="1" applyProtection="1">
      <protection locked="0"/>
    </xf>
    <xf numFmtId="3" fontId="4" fillId="4" borderId="1" xfId="0" applyNumberFormat="1" applyFont="1" applyFill="1" applyBorder="1" applyProtection="1">
      <protection locked="0"/>
    </xf>
    <xf numFmtId="3" fontId="4" fillId="14" borderId="1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0" fontId="3" fillId="0" borderId="0" xfId="22" applyFont="1" applyAlignment="1">
      <alignment wrapText="1"/>
    </xf>
    <xf numFmtId="0" fontId="4" fillId="0" borderId="0" xfId="22" applyFont="1"/>
    <xf numFmtId="0" fontId="22" fillId="0" borderId="0" xfId="22" applyFont="1"/>
    <xf numFmtId="0" fontId="21" fillId="0" borderId="0" xfId="22" applyFont="1" applyAlignment="1">
      <alignment horizontal="center"/>
    </xf>
    <xf numFmtId="0" fontId="53" fillId="0" borderId="0" xfId="22" applyFont="1" applyAlignment="1">
      <alignment wrapText="1"/>
    </xf>
    <xf numFmtId="0" fontId="13" fillId="3" borderId="1" xfId="0" applyFont="1" applyFill="1" applyBorder="1" applyAlignment="1">
      <alignment horizontal="center" vertical="center"/>
    </xf>
    <xf numFmtId="3" fontId="15" fillId="6" borderId="3" xfId="0" applyNumberFormat="1" applyFont="1" applyFill="1" applyBorder="1" applyAlignment="1" applyProtection="1">
      <alignment horizontal="center" vertical="center"/>
    </xf>
    <xf numFmtId="3" fontId="15" fillId="6" borderId="3" xfId="0" applyNumberFormat="1" applyFont="1" applyFill="1" applyBorder="1" applyAlignment="1" applyProtection="1">
      <alignment horizontal="center"/>
    </xf>
    <xf numFmtId="0" fontId="4" fillId="0" borderId="0" xfId="47" applyFont="1" applyAlignment="1">
      <alignment vertical="center" wrapText="1"/>
    </xf>
    <xf numFmtId="0" fontId="4" fillId="0" borderId="0" xfId="22" applyFont="1" applyAlignment="1">
      <alignment vertical="center" wrapText="1"/>
    </xf>
    <xf numFmtId="0" fontId="4" fillId="0" borderId="0" xfId="351" applyFont="1" applyAlignment="1">
      <alignment vertical="center" wrapText="1"/>
    </xf>
    <xf numFmtId="0" fontId="4" fillId="0" borderId="0" xfId="371" applyNumberFormat="1" applyFont="1" applyAlignment="1">
      <alignment vertical="center" wrapText="1"/>
    </xf>
    <xf numFmtId="0" fontId="4" fillId="0" borderId="0" xfId="250" applyFont="1" applyAlignment="1">
      <alignment vertical="center" wrapText="1"/>
    </xf>
    <xf numFmtId="0" fontId="5" fillId="0" borderId="0" xfId="82" applyFont="1" applyAlignment="1">
      <alignment vertical="center"/>
    </xf>
    <xf numFmtId="0" fontId="4" fillId="0" borderId="0" xfId="47" applyFont="1" applyAlignment="1">
      <alignment vertical="center"/>
    </xf>
    <xf numFmtId="0" fontId="4" fillId="0" borderId="0" xfId="48" applyFont="1" applyAlignment="1">
      <alignment vertical="center"/>
    </xf>
    <xf numFmtId="37" fontId="4" fillId="12" borderId="0" xfId="0" applyNumberFormat="1" applyFont="1" applyFill="1" applyAlignment="1" applyProtection="1">
      <alignment horizontal="center" vertical="center"/>
    </xf>
    <xf numFmtId="0" fontId="0" fillId="12" borderId="0" xfId="0" applyFill="1" applyBorder="1" applyAlignment="1" applyProtection="1">
      <alignment horizontal="left" vertical="center"/>
      <protection locked="0"/>
    </xf>
    <xf numFmtId="37" fontId="3" fillId="3" borderId="8"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0" fontId="0" fillId="11" borderId="7" xfId="0" applyFill="1" applyBorder="1" applyAlignment="1" applyProtection="1">
      <alignment vertical="center"/>
    </xf>
    <xf numFmtId="0" fontId="15" fillId="11" borderId="12" xfId="0"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protection locked="0"/>
    </xf>
    <xf numFmtId="37" fontId="4" fillId="3" borderId="0" xfId="0" applyNumberFormat="1" applyFont="1" applyFill="1" applyAlignment="1" applyProtection="1">
      <alignment horizontal="left" vertical="center"/>
      <protection locked="0"/>
    </xf>
    <xf numFmtId="37" fontId="3" fillId="3" borderId="3" xfId="0" applyNumberFormat="1" applyFont="1" applyFill="1" applyBorder="1" applyAlignment="1" applyProtection="1">
      <alignment horizontal="left" vertical="center"/>
    </xf>
    <xf numFmtId="49" fontId="4" fillId="12" borderId="0" xfId="0" applyNumberFormat="1" applyFont="1" applyFill="1" applyBorder="1" applyAlignment="1" applyProtection="1">
      <alignment horizontal="left" vertical="center"/>
      <protection locked="0"/>
    </xf>
    <xf numFmtId="37" fontId="4" fillId="3" borderId="0" xfId="0" applyNumberFormat="1" applyFont="1" applyFill="1" applyBorder="1" applyAlignment="1" applyProtection="1">
      <alignment horizontal="right" vertical="center"/>
    </xf>
    <xf numFmtId="3" fontId="4" fillId="14" borderId="31" xfId="0" applyNumberFormat="1" applyFont="1" applyFill="1" applyBorder="1" applyAlignment="1" applyProtection="1">
      <alignment horizontal="center" vertical="center"/>
    </xf>
    <xf numFmtId="164" fontId="4" fillId="14" borderId="31" xfId="0" applyNumberFormat="1" applyFont="1" applyFill="1" applyBorder="1" applyAlignment="1" applyProtection="1">
      <alignment horizontal="center" vertical="center"/>
    </xf>
    <xf numFmtId="3" fontId="4" fillId="4" borderId="7" xfId="1" applyNumberFormat="1" applyFont="1" applyFill="1" applyBorder="1" applyAlignment="1" applyProtection="1">
      <alignment horizontal="center" vertical="center"/>
      <protection locked="0"/>
    </xf>
    <xf numFmtId="3" fontId="4" fillId="4" borderId="1" xfId="1" applyNumberFormat="1" applyFont="1" applyFill="1" applyBorder="1" applyAlignment="1" applyProtection="1">
      <alignment horizontal="center" vertical="center"/>
      <protection locked="0"/>
    </xf>
    <xf numFmtId="1" fontId="7" fillId="3" borderId="5" xfId="0" applyNumberFormat="1" applyFont="1" applyFill="1" applyBorder="1" applyAlignment="1" applyProtection="1">
      <alignment horizontal="center" vertical="center"/>
    </xf>
    <xf numFmtId="37" fontId="7" fillId="3" borderId="5" xfId="0" applyNumberFormat="1" applyFont="1" applyFill="1" applyBorder="1" applyAlignment="1" applyProtection="1">
      <alignment horizontal="center" vertical="center"/>
    </xf>
    <xf numFmtId="37" fontId="7" fillId="3" borderId="3" xfId="0" applyNumberFormat="1" applyFont="1" applyFill="1" applyBorder="1" applyAlignment="1" applyProtection="1">
      <alignment horizontal="center" vertical="center"/>
    </xf>
    <xf numFmtId="37" fontId="3" fillId="3" borderId="0" xfId="0" applyNumberFormat="1" applyFont="1" applyFill="1" applyBorder="1" applyProtection="1"/>
    <xf numFmtId="37" fontId="7" fillId="12" borderId="32" xfId="0" applyNumberFormat="1" applyFont="1" applyFill="1" applyBorder="1" applyAlignment="1" applyProtection="1">
      <alignment horizontal="center" vertical="center"/>
    </xf>
    <xf numFmtId="0" fontId="50" fillId="12" borderId="22" xfId="0" applyFont="1" applyFill="1" applyBorder="1" applyAlignment="1">
      <alignment horizontal="centerContinuous" vertical="center"/>
    </xf>
    <xf numFmtId="175" fontId="50" fillId="12" borderId="0" xfId="0" applyNumberFormat="1" applyFont="1" applyFill="1" applyBorder="1" applyAlignment="1">
      <alignment horizontal="centerContinuous" vertical="center"/>
    </xf>
    <xf numFmtId="0" fontId="50" fillId="12" borderId="0" xfId="0" applyFont="1" applyFill="1" applyBorder="1" applyAlignment="1">
      <alignment horizontal="centerContinuous" vertical="center"/>
    </xf>
    <xf numFmtId="172" fontId="50" fillId="12" borderId="0" xfId="0" applyNumberFormat="1" applyFont="1" applyFill="1" applyBorder="1" applyAlignment="1" applyProtection="1">
      <alignment horizontal="centerContinuous" vertical="center"/>
      <protection locked="0"/>
    </xf>
    <xf numFmtId="176" fontId="50" fillId="12" borderId="0" xfId="0" applyNumberFormat="1" applyFont="1" applyFill="1" applyBorder="1" applyAlignment="1">
      <alignment horizontal="centerContinuous" vertical="center"/>
    </xf>
    <xf numFmtId="0" fontId="50" fillId="12" borderId="28" xfId="0" applyFont="1" applyFill="1" applyBorder="1" applyAlignment="1">
      <alignment horizontal="centerContinuous" vertical="center"/>
    </xf>
    <xf numFmtId="0" fontId="50" fillId="12" borderId="22" xfId="0" applyFont="1" applyFill="1" applyBorder="1" applyAlignment="1">
      <alignment horizontal="centerContinuous"/>
    </xf>
    <xf numFmtId="175" fontId="50" fillId="12" borderId="0" xfId="0" applyNumberFormat="1" applyFont="1" applyFill="1" applyBorder="1" applyAlignment="1">
      <alignment horizontal="centerContinuous"/>
    </xf>
    <xf numFmtId="0" fontId="50" fillId="12" borderId="0" xfId="0" applyFont="1" applyFill="1" applyBorder="1" applyAlignment="1">
      <alignment horizontal="centerContinuous"/>
    </xf>
    <xf numFmtId="172" fontId="50" fillId="12" borderId="0" xfId="0" applyNumberFormat="1" applyFont="1" applyFill="1" applyBorder="1" applyAlignment="1" applyProtection="1">
      <alignment horizontal="centerContinuous"/>
      <protection locked="0"/>
    </xf>
    <xf numFmtId="176" fontId="50" fillId="12" borderId="0" xfId="0" applyNumberFormat="1" applyFont="1" applyFill="1" applyBorder="1" applyAlignment="1">
      <alignment horizontal="centerContinuous"/>
    </xf>
    <xf numFmtId="0" fontId="50" fillId="12" borderId="28" xfId="0" applyFont="1" applyFill="1" applyBorder="1" applyAlignment="1">
      <alignment horizontal="centerContinuous"/>
    </xf>
    <xf numFmtId="175" fontId="35" fillId="0" borderId="0" xfId="0" applyNumberFormat="1" applyFont="1"/>
    <xf numFmtId="175" fontId="35" fillId="12" borderId="14" xfId="0" applyNumberFormat="1" applyFont="1" applyFill="1" applyBorder="1" applyAlignment="1">
      <alignment horizontal="center"/>
    </xf>
    <xf numFmtId="172" fontId="35" fillId="12" borderId="14" xfId="0" applyNumberFormat="1" applyFont="1" applyFill="1" applyBorder="1" applyAlignment="1" applyProtection="1">
      <alignment horizontal="center"/>
      <protection locked="0"/>
    </xf>
    <xf numFmtId="176" fontId="35" fillId="12" borderId="14" xfId="0" applyNumberFormat="1" applyFont="1" applyFill="1" applyBorder="1"/>
    <xf numFmtId="172" fontId="35" fillId="12" borderId="0" xfId="0" applyNumberFormat="1" applyFont="1" applyFill="1" applyBorder="1" applyAlignment="1" applyProtection="1">
      <alignment horizontal="center"/>
      <protection locked="0"/>
    </xf>
    <xf numFmtId="175" fontId="35" fillId="12" borderId="26" xfId="0" applyNumberFormat="1" applyFont="1" applyFill="1" applyBorder="1" applyAlignment="1">
      <alignment horizontal="center"/>
    </xf>
    <xf numFmtId="0" fontId="35" fillId="12" borderId="26" xfId="0" applyFont="1" applyFill="1" applyBorder="1" applyAlignment="1">
      <alignment horizontal="center"/>
    </xf>
    <xf numFmtId="172" fontId="35" fillId="12" borderId="26" xfId="0" applyNumberFormat="1" applyFont="1" applyFill="1" applyBorder="1" applyAlignment="1" applyProtection="1">
      <alignment horizontal="center"/>
      <protection locked="0"/>
    </xf>
    <xf numFmtId="176" fontId="35" fillId="12" borderId="26" xfId="0" applyNumberFormat="1" applyFont="1" applyFill="1" applyBorder="1"/>
    <xf numFmtId="175" fontId="35" fillId="12" borderId="0" xfId="0" applyNumberFormat="1" applyFont="1" applyFill="1" applyBorder="1" applyAlignment="1" applyProtection="1">
      <alignment horizontal="center"/>
      <protection locked="0"/>
    </xf>
    <xf numFmtId="175" fontId="4" fillId="15" borderId="15" xfId="44" applyNumberFormat="1" applyFont="1" applyFill="1" applyBorder="1" applyAlignment="1" applyProtection="1">
      <alignment horizontal="center"/>
    </xf>
    <xf numFmtId="0" fontId="4" fillId="15" borderId="9" xfId="0" applyFont="1" applyFill="1" applyBorder="1" applyAlignment="1">
      <alignment vertical="center"/>
    </xf>
    <xf numFmtId="0" fontId="4" fillId="15" borderId="8" xfId="0" applyFont="1" applyFill="1" applyBorder="1" applyAlignment="1">
      <alignment vertical="center"/>
    </xf>
    <xf numFmtId="175" fontId="4" fillId="15" borderId="12" xfId="0" applyNumberFormat="1" applyFont="1" applyFill="1" applyBorder="1" applyAlignment="1">
      <alignment horizontal="center" vertical="center"/>
    </xf>
    <xf numFmtId="175" fontId="35" fillId="12" borderId="0" xfId="0" applyNumberFormat="1" applyFont="1" applyFill="1" applyBorder="1" applyAlignment="1">
      <alignment horizontal="center"/>
    </xf>
    <xf numFmtId="0" fontId="35" fillId="12" borderId="13" xfId="0" applyFont="1" applyFill="1" applyBorder="1" applyAlignment="1">
      <alignment horizontal="center"/>
    </xf>
    <xf numFmtId="176" fontId="35" fillId="12" borderId="0" xfId="0" applyNumberFormat="1" applyFont="1" applyFill="1" applyBorder="1" applyAlignment="1">
      <alignment horizontal="center"/>
    </xf>
    <xf numFmtId="175" fontId="35" fillId="13" borderId="8" xfId="0" applyNumberFormat="1" applyFont="1" applyFill="1" applyBorder="1" applyAlignment="1" applyProtection="1">
      <alignment horizontal="center"/>
      <protection locked="0"/>
    </xf>
    <xf numFmtId="0" fontId="50" fillId="12" borderId="0" xfId="0" applyFont="1" applyFill="1" applyAlignment="1">
      <alignment horizontal="center" wrapText="1"/>
    </xf>
    <xf numFmtId="0" fontId="50" fillId="12" borderId="0" xfId="0" applyFont="1" applyFill="1" applyAlignment="1">
      <alignment horizontal="center"/>
    </xf>
    <xf numFmtId="175" fontId="35" fillId="12" borderId="0" xfId="0" applyNumberFormat="1" applyFont="1" applyFill="1" applyAlignment="1">
      <alignment horizontal="center"/>
    </xf>
    <xf numFmtId="0" fontId="35" fillId="12" borderId="0" xfId="0" applyFont="1" applyFill="1" applyBorder="1" applyAlignment="1"/>
    <xf numFmtId="0" fontId="35" fillId="12" borderId="0" xfId="0" applyFont="1" applyFill="1" applyBorder="1" applyAlignment="1">
      <alignment horizontal="center"/>
    </xf>
    <xf numFmtId="0" fontId="35" fillId="12" borderId="30" xfId="0" applyFont="1" applyFill="1" applyBorder="1" applyAlignment="1"/>
    <xf numFmtId="1" fontId="4" fillId="3" borderId="5"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center" vertical="center"/>
    </xf>
    <xf numFmtId="0" fontId="4" fillId="0" borderId="0" xfId="0" applyFont="1" applyBorder="1" applyAlignment="1">
      <alignment vertical="center"/>
    </xf>
    <xf numFmtId="37" fontId="7" fillId="12" borderId="32" xfId="0" applyNumberFormat="1" applyFont="1" applyFill="1" applyBorder="1" applyAlignment="1" applyProtection="1">
      <alignment horizontal="left" vertical="center"/>
    </xf>
    <xf numFmtId="0" fontId="4" fillId="12" borderId="33" xfId="0" applyNumberFormat="1" applyFont="1" applyFill="1" applyBorder="1" applyAlignment="1" applyProtection="1">
      <alignment horizontal="left" vertical="center"/>
    </xf>
    <xf numFmtId="1" fontId="4" fillId="12" borderId="33" xfId="0" applyNumberFormat="1" applyFont="1" applyFill="1" applyBorder="1" applyAlignment="1" applyProtection="1">
      <alignment horizontal="center" vertical="center"/>
    </xf>
    <xf numFmtId="0" fontId="3" fillId="0" borderId="0" xfId="22" applyFont="1" applyFill="1" applyAlignment="1" applyProtection="1">
      <alignment vertical="center"/>
    </xf>
    <xf numFmtId="37" fontId="4" fillId="11" borderId="17" xfId="0" applyNumberFormat="1" applyFont="1" applyFill="1" applyBorder="1" applyAlignment="1" applyProtection="1">
      <alignment vertical="center"/>
    </xf>
    <xf numFmtId="0" fontId="4" fillId="12" borderId="0" xfId="31" applyFont="1" applyFill="1"/>
    <xf numFmtId="0" fontId="2" fillId="0" borderId="0" xfId="31"/>
    <xf numFmtId="0" fontId="4" fillId="12" borderId="0" xfId="31" applyFont="1" applyFill="1" applyAlignment="1">
      <alignment vertical="center"/>
    </xf>
    <xf numFmtId="37" fontId="4" fillId="12" borderId="0" xfId="31" applyNumberFormat="1" applyFont="1" applyFill="1" applyAlignment="1">
      <alignment vertical="center"/>
    </xf>
    <xf numFmtId="0" fontId="4" fillId="12" borderId="8" xfId="31" applyFont="1" applyFill="1" applyBorder="1" applyAlignment="1">
      <alignment vertical="center"/>
    </xf>
    <xf numFmtId="0" fontId="4" fillId="12" borderId="0" xfId="31" applyFont="1" applyFill="1" applyAlignment="1">
      <alignment horizontal="center" vertical="center"/>
    </xf>
    <xf numFmtId="0" fontId="5" fillId="12" borderId="0" xfId="31" applyFont="1" applyFill="1" applyAlignment="1">
      <alignment horizontal="center" vertical="center"/>
    </xf>
    <xf numFmtId="175" fontId="4" fillId="12" borderId="0" xfId="31" applyNumberFormat="1" applyFont="1" applyFill="1" applyAlignment="1">
      <alignment vertical="center"/>
    </xf>
    <xf numFmtId="175" fontId="4" fillId="12" borderId="13" xfId="31" applyNumberFormat="1" applyFont="1" applyFill="1" applyBorder="1" applyAlignment="1">
      <alignment vertical="center"/>
    </xf>
    <xf numFmtId="6" fontId="4" fillId="12" borderId="0" xfId="31" applyNumberFormat="1" applyFont="1" applyFill="1" applyBorder="1" applyAlignment="1">
      <alignment vertical="center"/>
    </xf>
    <xf numFmtId="175" fontId="4" fillId="12" borderId="0" xfId="31" applyNumberFormat="1" applyFont="1" applyFill="1" applyBorder="1" applyAlignment="1">
      <alignment vertical="center"/>
    </xf>
    <xf numFmtId="0" fontId="54" fillId="15" borderId="0" xfId="31" applyFont="1" applyFill="1" applyAlignment="1">
      <alignment vertical="center"/>
    </xf>
    <xf numFmtId="0" fontId="54" fillId="12" borderId="0" xfId="31" applyFont="1" applyFill="1" applyAlignment="1">
      <alignment horizontal="center" vertical="center"/>
    </xf>
    <xf numFmtId="172" fontId="4" fillId="12" borderId="0" xfId="31" applyNumberFormat="1" applyFont="1" applyFill="1" applyAlignment="1">
      <alignment horizontal="center" vertical="center"/>
    </xf>
    <xf numFmtId="178" fontId="54" fillId="12" borderId="0" xfId="31" applyNumberFormat="1" applyFont="1" applyFill="1" applyAlignment="1">
      <alignment horizontal="center" vertical="center"/>
    </xf>
    <xf numFmtId="0" fontId="54" fillId="15" borderId="0" xfId="31" applyFont="1" applyFill="1" applyAlignment="1">
      <alignment horizontal="center" vertical="center"/>
    </xf>
    <xf numFmtId="0" fontId="55" fillId="15" borderId="0" xfId="31" applyFont="1" applyFill="1" applyAlignment="1">
      <alignment horizontal="center" vertical="center"/>
    </xf>
    <xf numFmtId="0" fontId="4" fillId="12" borderId="0" xfId="31" applyFont="1" applyFill="1" applyAlignment="1">
      <alignment horizontal="right" vertical="center"/>
    </xf>
    <xf numFmtId="0" fontId="4" fillId="12" borderId="0" xfId="31" applyFont="1" applyFill="1" applyAlignment="1">
      <alignment horizontal="left" vertical="center"/>
    </xf>
    <xf numFmtId="0" fontId="4" fillId="12" borderId="0" xfId="24" applyFont="1" applyFill="1"/>
    <xf numFmtId="0" fontId="2" fillId="12" borderId="0" xfId="31" applyFill="1"/>
    <xf numFmtId="0" fontId="3" fillId="12" borderId="0" xfId="24" applyFont="1" applyFill="1"/>
    <xf numFmtId="0" fontId="2" fillId="12" borderId="0" xfId="24" applyFill="1"/>
    <xf numFmtId="0" fontId="10" fillId="0" borderId="0" xfId="12" applyAlignment="1" applyProtection="1"/>
    <xf numFmtId="0" fontId="3" fillId="3" borderId="0" xfId="0" applyFont="1" applyFill="1" applyAlignment="1" applyProtection="1">
      <alignment horizontal="right" vertical="center"/>
    </xf>
    <xf numFmtId="0" fontId="4" fillId="3" borderId="3" xfId="0" applyFont="1" applyFill="1" applyBorder="1" applyProtection="1"/>
    <xf numFmtId="170" fontId="4" fillId="3" borderId="10" xfId="0" applyNumberFormat="1" applyFont="1" applyFill="1" applyBorder="1" applyAlignment="1" applyProtection="1">
      <alignment vertical="center"/>
    </xf>
    <xf numFmtId="0" fontId="0" fillId="3" borderId="11" xfId="0" applyFill="1" applyBorder="1" applyAlignment="1" applyProtection="1">
      <alignment vertical="center"/>
    </xf>
    <xf numFmtId="37" fontId="4" fillId="12" borderId="0" xfId="0" applyNumberFormat="1" applyFont="1" applyFill="1" applyBorder="1" applyAlignment="1" applyProtection="1">
      <alignment horizontal="left" vertical="center"/>
    </xf>
    <xf numFmtId="179" fontId="4" fillId="2" borderId="1" xfId="0" applyNumberFormat="1" applyFont="1" applyFill="1" applyBorder="1" applyAlignment="1" applyProtection="1">
      <alignment horizontal="center" vertical="center"/>
      <protection locked="0"/>
    </xf>
    <xf numFmtId="49" fontId="4" fillId="0" borderId="0" xfId="395" applyNumberFormat="1" applyFont="1" applyFill="1" applyAlignment="1" applyProtection="1">
      <alignment horizontal="left" vertical="center"/>
      <protection locked="0"/>
    </xf>
    <xf numFmtId="0" fontId="2" fillId="0" borderId="0" xfId="21"/>
    <xf numFmtId="0" fontId="56" fillId="0" borderId="0" xfId="21" applyFont="1"/>
    <xf numFmtId="0" fontId="4" fillId="0" borderId="0" xfId="21" applyFont="1"/>
    <xf numFmtId="49" fontId="4" fillId="4" borderId="0" xfId="395" applyNumberFormat="1" applyFont="1" applyFill="1" applyAlignment="1" applyProtection="1">
      <alignment horizontal="left" vertical="center"/>
      <protection locked="0"/>
    </xf>
    <xf numFmtId="0" fontId="54" fillId="0" borderId="0" xfId="395" applyFont="1" applyAlignment="1">
      <alignment horizontal="left" vertical="center"/>
    </xf>
    <xf numFmtId="0" fontId="4" fillId="4" borderId="0" xfId="395" applyFont="1" applyFill="1" applyAlignment="1" applyProtection="1">
      <alignment horizontal="left" vertical="center"/>
      <protection locked="0"/>
    </xf>
    <xf numFmtId="0" fontId="28" fillId="4" borderId="0" xfId="395" applyFill="1" applyAlignment="1" applyProtection="1">
      <alignment horizontal="left" vertical="center"/>
      <protection locked="0"/>
    </xf>
    <xf numFmtId="0" fontId="57" fillId="0" borderId="0" xfId="395" applyFont="1"/>
    <xf numFmtId="173" fontId="58" fillId="0" borderId="0" xfId="395" applyNumberFormat="1" applyFont="1" applyAlignment="1">
      <alignment horizontal="left" vertical="center"/>
    </xf>
    <xf numFmtId="0" fontId="58" fillId="0" borderId="0" xfId="395" applyNumberFormat="1" applyFont="1" applyAlignment="1">
      <alignment horizontal="left" vertical="center"/>
    </xf>
    <xf numFmtId="1" fontId="58" fillId="0" borderId="0" xfId="395" applyNumberFormat="1" applyFont="1" applyAlignment="1">
      <alignment horizontal="left" vertical="center"/>
    </xf>
    <xf numFmtId="0" fontId="59" fillId="0" borderId="0" xfId="395" applyFont="1" applyAlignment="1">
      <alignment horizontal="left" vertical="center"/>
    </xf>
    <xf numFmtId="0" fontId="21" fillId="0" borderId="0" xfId="0" applyNumberFormat="1" applyFont="1" applyFill="1" applyBorder="1" applyAlignment="1" applyProtection="1">
      <alignment horizontal="center" vertical="center"/>
    </xf>
    <xf numFmtId="0" fontId="24" fillId="0" borderId="0" xfId="0" applyFont="1" applyAlignment="1">
      <alignment wrapText="1"/>
    </xf>
    <xf numFmtId="0" fontId="2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53" fillId="0" borderId="0" xfId="0" applyFont="1" applyAlignment="1">
      <alignment wrapText="1"/>
    </xf>
    <xf numFmtId="0" fontId="23" fillId="0" borderId="0" xfId="0" applyNumberFormat="1" applyFont="1" applyFill="1" applyBorder="1" applyAlignment="1" applyProtection="1">
      <alignment vertical="center" wrapText="1"/>
    </xf>
    <xf numFmtId="0" fontId="3" fillId="0" borderId="0" xfId="0" applyFont="1" applyAlignment="1">
      <alignment wrapText="1"/>
    </xf>
    <xf numFmtId="0" fontId="25" fillId="0" borderId="0" xfId="0" applyNumberFormat="1" applyFont="1" applyFill="1" applyBorder="1" applyAlignment="1" applyProtection="1">
      <alignment vertical="center"/>
    </xf>
    <xf numFmtId="0" fontId="4" fillId="3" borderId="0" xfId="0" applyFont="1" applyFill="1" applyBorder="1" applyAlignment="1" applyProtection="1">
      <alignment vertical="center"/>
      <protection locked="0"/>
    </xf>
    <xf numFmtId="0" fontId="4" fillId="3" borderId="0" xfId="0" applyFont="1" applyFill="1" applyBorder="1" applyAlignment="1" applyProtection="1">
      <alignment horizontal="left" vertical="center"/>
    </xf>
    <xf numFmtId="3" fontId="4" fillId="12" borderId="0" xfId="1" applyNumberFormat="1" applyFont="1" applyFill="1" applyBorder="1" applyAlignment="1" applyProtection="1">
      <alignment vertical="center"/>
    </xf>
    <xf numFmtId="0" fontId="0" fillId="12" borderId="0" xfId="0" applyFill="1" applyBorder="1" applyAlignment="1" applyProtection="1">
      <alignment horizontal="center" vertical="center"/>
    </xf>
    <xf numFmtId="37" fontId="4" fillId="3" borderId="0" xfId="0" applyNumberFormat="1" applyFont="1" applyFill="1" applyBorder="1" applyAlignment="1" applyProtection="1">
      <alignment horizontal="fill" vertical="center"/>
      <protection locked="0"/>
    </xf>
    <xf numFmtId="37" fontId="4" fillId="3" borderId="0" xfId="0" applyNumberFormat="1" applyFont="1" applyFill="1" applyBorder="1" applyAlignment="1" applyProtection="1">
      <alignment horizontal="centerContinuous" vertical="center"/>
    </xf>
    <xf numFmtId="37" fontId="4" fillId="3" borderId="0" xfId="0" applyNumberFormat="1" applyFont="1" applyFill="1" applyBorder="1" applyAlignment="1" applyProtection="1">
      <alignment horizontal="center" vertical="center"/>
      <protection locked="0"/>
    </xf>
    <xf numFmtId="0" fontId="4" fillId="12" borderId="29" xfId="43" applyFont="1" applyFill="1" applyBorder="1" applyAlignment="1" applyProtection="1">
      <alignment vertical="center"/>
    </xf>
    <xf numFmtId="0" fontId="4" fillId="12" borderId="0" xfId="43" applyFont="1" applyFill="1" applyBorder="1" applyAlignment="1" applyProtection="1">
      <alignment vertical="center"/>
    </xf>
    <xf numFmtId="0" fontId="4" fillId="12" borderId="15" xfId="43" applyFont="1" applyFill="1" applyBorder="1" applyAlignment="1" applyProtection="1">
      <alignment vertical="center"/>
    </xf>
    <xf numFmtId="0" fontId="34" fillId="12" borderId="29" xfId="43" applyFont="1" applyFill="1" applyBorder="1" applyAlignment="1" applyProtection="1">
      <alignment horizontal="left" vertical="center"/>
    </xf>
    <xf numFmtId="0" fontId="34" fillId="12" borderId="0" xfId="43" applyFont="1" applyFill="1" applyBorder="1" applyAlignment="1" applyProtection="1">
      <alignment vertical="center"/>
    </xf>
    <xf numFmtId="175" fontId="34" fillId="13" borderId="1" xfId="43" applyNumberFormat="1" applyFont="1" applyFill="1" applyBorder="1" applyAlignment="1" applyProtection="1">
      <alignment horizontal="center" vertical="center"/>
      <protection locked="0"/>
    </xf>
    <xf numFmtId="0" fontId="34" fillId="12" borderId="29" xfId="43" applyFont="1" applyFill="1" applyBorder="1" applyAlignment="1" applyProtection="1">
      <alignment vertical="center"/>
    </xf>
    <xf numFmtId="0" fontId="4" fillId="12" borderId="0" xfId="43" applyFont="1" applyFill="1" applyBorder="1" applyAlignment="1" applyProtection="1">
      <alignment vertical="center"/>
      <protection locked="0"/>
    </xf>
    <xf numFmtId="0" fontId="34" fillId="12" borderId="0" xfId="43" applyFont="1" applyFill="1" applyBorder="1" applyAlignment="1" applyProtection="1">
      <alignment vertical="center"/>
      <protection locked="0"/>
    </xf>
    <xf numFmtId="172" fontId="34" fillId="12" borderId="10" xfId="43" applyNumberFormat="1" applyFont="1" applyFill="1" applyBorder="1" applyAlignment="1" applyProtection="1">
      <alignment horizontal="center" vertical="center"/>
      <protection locked="0"/>
    </xf>
    <xf numFmtId="0" fontId="40" fillId="15" borderId="29" xfId="43" applyFont="1" applyFill="1" applyBorder="1" applyAlignment="1" applyProtection="1">
      <alignment vertical="center"/>
      <protection locked="0"/>
    </xf>
    <xf numFmtId="0" fontId="4" fillId="15" borderId="0" xfId="43" applyFont="1" applyFill="1" applyBorder="1" applyAlignment="1" applyProtection="1">
      <alignment vertical="center"/>
      <protection locked="0"/>
    </xf>
    <xf numFmtId="0" fontId="34" fillId="15" borderId="0" xfId="43" applyFont="1" applyFill="1" applyBorder="1" applyAlignment="1" applyProtection="1">
      <alignment vertical="center"/>
      <protection locked="0"/>
    </xf>
    <xf numFmtId="175" fontId="40" fillId="15" borderId="10" xfId="43" applyNumberFormat="1" applyFont="1" applyFill="1" applyBorder="1" applyAlignment="1" applyProtection="1">
      <alignment horizontal="center" vertical="center"/>
      <protection locked="0"/>
    </xf>
    <xf numFmtId="37" fontId="34" fillId="3" borderId="9" xfId="0" applyNumberFormat="1" applyFont="1" applyFill="1" applyBorder="1" applyAlignment="1" applyProtection="1">
      <alignment horizontal="left" vertical="center"/>
    </xf>
    <xf numFmtId="0" fontId="4" fillId="12" borderId="8" xfId="0" applyFont="1" applyFill="1" applyBorder="1" applyAlignment="1" applyProtection="1">
      <alignment vertical="center"/>
      <protection locked="0"/>
    </xf>
    <xf numFmtId="175" fontId="40" fillId="15" borderId="12" xfId="0" applyNumberFormat="1" applyFont="1" applyFill="1" applyBorder="1" applyAlignment="1" applyProtection="1">
      <alignment horizontal="center" vertical="center"/>
      <protection locked="0"/>
    </xf>
    <xf numFmtId="175" fontId="34" fillId="12" borderId="29" xfId="43" applyNumberFormat="1" applyFont="1" applyFill="1" applyBorder="1" applyAlignment="1" applyProtection="1">
      <alignment horizontal="center" vertical="center"/>
    </xf>
    <xf numFmtId="0" fontId="34" fillId="12" borderId="0" xfId="43" applyFont="1" applyFill="1" applyBorder="1" applyAlignment="1" applyProtection="1">
      <alignment horizontal="left" vertical="center"/>
    </xf>
    <xf numFmtId="0" fontId="34" fillId="12" borderId="15" xfId="43" applyFont="1" applyFill="1" applyBorder="1" applyAlignment="1" applyProtection="1">
      <alignment vertical="center"/>
    </xf>
    <xf numFmtId="175" fontId="34" fillId="12" borderId="9" xfId="43" applyNumberFormat="1" applyFont="1" applyFill="1" applyBorder="1" applyAlignment="1" applyProtection="1">
      <alignment horizontal="center" vertical="center"/>
    </xf>
    <xf numFmtId="0" fontId="51" fillId="0" borderId="0" xfId="0" applyFont="1" applyProtection="1">
      <protection locked="0"/>
    </xf>
    <xf numFmtId="0" fontId="43" fillId="0" borderId="0" xfId="0" applyFont="1" applyAlignment="1" applyProtection="1">
      <alignment vertical="center"/>
    </xf>
    <xf numFmtId="175" fontId="34" fillId="12" borderId="29" xfId="43" applyNumberFormat="1" applyFont="1" applyFill="1" applyBorder="1" applyAlignment="1" applyProtection="1">
      <alignment vertical="center"/>
    </xf>
    <xf numFmtId="175" fontId="40" fillId="15" borderId="9" xfId="43" applyNumberFormat="1" applyFont="1" applyFill="1" applyBorder="1" applyAlignment="1" applyProtection="1">
      <alignment horizontal="center" vertical="center"/>
    </xf>
    <xf numFmtId="0" fontId="40" fillId="15" borderId="8" xfId="43" applyFont="1" applyFill="1" applyBorder="1" applyAlignment="1" applyProtection="1">
      <alignment vertical="center"/>
    </xf>
    <xf numFmtId="0" fontId="34" fillId="15" borderId="12" xfId="43" applyFont="1" applyFill="1" applyBorder="1" applyAlignment="1" applyProtection="1">
      <alignment vertical="center"/>
    </xf>
    <xf numFmtId="0" fontId="4" fillId="15" borderId="12" xfId="43" applyFont="1" applyFill="1" applyBorder="1" applyAlignment="1" applyProtection="1">
      <alignment vertical="center"/>
    </xf>
    <xf numFmtId="172" fontId="34" fillId="12" borderId="29" xfId="0" applyNumberFormat="1" applyFont="1" applyFill="1" applyBorder="1" applyAlignment="1" applyProtection="1">
      <alignment horizontal="center" vertical="center"/>
    </xf>
    <xf numFmtId="0" fontId="34" fillId="12" borderId="0" xfId="0" applyFont="1" applyFill="1" applyBorder="1" applyAlignment="1" applyProtection="1">
      <alignment horizontal="left" vertical="center"/>
    </xf>
    <xf numFmtId="0" fontId="39" fillId="12" borderId="0" xfId="0" applyFont="1" applyFill="1" applyBorder="1" applyAlignment="1" applyProtection="1">
      <alignment horizontal="center" vertical="center"/>
    </xf>
    <xf numFmtId="0" fontId="0" fillId="12" borderId="15" xfId="0" applyFill="1" applyBorder="1" applyAlignment="1" applyProtection="1">
      <alignment vertical="center"/>
    </xf>
    <xf numFmtId="172" fontId="34" fillId="15" borderId="9" xfId="0" applyNumberFormat="1" applyFont="1" applyFill="1" applyBorder="1" applyAlignment="1" applyProtection="1">
      <alignment horizontal="center" vertical="center"/>
    </xf>
    <xf numFmtId="172" fontId="34" fillId="12" borderId="2" xfId="0" applyNumberFormat="1" applyFont="1" applyFill="1" applyBorder="1" applyAlignment="1" applyProtection="1">
      <alignment horizontal="center" vertical="center"/>
    </xf>
    <xf numFmtId="172" fontId="34" fillId="15" borderId="2" xfId="0" applyNumberFormat="1" applyFont="1" applyFill="1" applyBorder="1" applyAlignment="1" applyProtection="1">
      <alignment horizontal="center" vertical="center"/>
    </xf>
    <xf numFmtId="0" fontId="34" fillId="12" borderId="8" xfId="0" applyFont="1" applyFill="1" applyBorder="1" applyAlignment="1" applyProtection="1">
      <alignment horizontal="left" vertical="center"/>
    </xf>
    <xf numFmtId="0" fontId="39" fillId="12" borderId="8" xfId="0" applyFont="1" applyFill="1" applyBorder="1" applyAlignment="1" applyProtection="1">
      <alignment horizontal="center" vertical="center"/>
    </xf>
    <xf numFmtId="0" fontId="0" fillId="12" borderId="12" xfId="0" applyFill="1" applyBorder="1" applyAlignment="1" applyProtection="1">
      <alignment vertical="center"/>
    </xf>
    <xf numFmtId="0" fontId="34" fillId="0" borderId="0" xfId="22" applyFont="1" applyFill="1" applyBorder="1" applyAlignment="1" applyProtection="1">
      <alignment horizontal="left" vertical="center"/>
    </xf>
    <xf numFmtId="0" fontId="34" fillId="0" borderId="0" xfId="22" applyFont="1" applyFill="1" applyBorder="1" applyAlignment="1" applyProtection="1">
      <alignment vertical="center"/>
    </xf>
    <xf numFmtId="175" fontId="34" fillId="0" borderId="0" xfId="22" applyNumberFormat="1" applyFont="1" applyFill="1" applyBorder="1" applyAlignment="1" applyProtection="1">
      <alignment horizontal="center" vertical="center"/>
      <protection locked="0"/>
    </xf>
    <xf numFmtId="0" fontId="40" fillId="0" borderId="0" xfId="22" applyFont="1" applyFill="1" applyBorder="1" applyAlignment="1" applyProtection="1">
      <alignment horizontal="center" vertical="center"/>
    </xf>
    <xf numFmtId="0" fontId="40" fillId="0" borderId="0" xfId="22" applyFont="1" applyFill="1" applyBorder="1" applyAlignment="1" applyProtection="1">
      <alignment vertical="center"/>
    </xf>
    <xf numFmtId="175" fontId="40" fillId="0" borderId="0" xfId="22" applyNumberFormat="1" applyFont="1" applyFill="1" applyBorder="1" applyAlignment="1" applyProtection="1">
      <alignment horizontal="center" vertical="center"/>
    </xf>
    <xf numFmtId="0" fontId="34" fillId="12" borderId="29" xfId="0" applyFont="1" applyFill="1" applyBorder="1" applyAlignment="1" applyProtection="1">
      <alignment vertical="center"/>
    </xf>
    <xf numFmtId="0" fontId="34" fillId="12" borderId="0" xfId="0" applyFont="1" applyFill="1" applyBorder="1" applyAlignment="1" applyProtection="1">
      <alignment vertical="center"/>
    </xf>
    <xf numFmtId="175" fontId="34" fillId="12" borderId="15" xfId="0" applyNumberFormat="1" applyFont="1" applyFill="1" applyBorder="1" applyAlignment="1" applyProtection="1">
      <alignment horizontal="center" vertical="center"/>
    </xf>
    <xf numFmtId="0" fontId="34" fillId="12" borderId="29" xfId="0" applyFont="1" applyFill="1" applyBorder="1" applyAlignment="1" applyProtection="1">
      <alignment horizontal="left" vertical="center"/>
    </xf>
    <xf numFmtId="175" fontId="34" fillId="13" borderId="1" xfId="0" applyNumberFormat="1" applyFont="1" applyFill="1" applyBorder="1" applyAlignment="1" applyProtection="1">
      <alignment horizontal="center" vertical="center"/>
      <protection locked="0"/>
    </xf>
    <xf numFmtId="172" fontId="40" fillId="12" borderId="10" xfId="24" applyNumberFormat="1" applyFont="1" applyFill="1" applyBorder="1" applyAlignment="1" applyProtection="1">
      <alignment horizontal="center" vertical="center"/>
    </xf>
    <xf numFmtId="0" fontId="40" fillId="15" borderId="29" xfId="0" applyFont="1" applyFill="1" applyBorder="1" applyAlignment="1" applyProtection="1">
      <alignment vertical="center"/>
    </xf>
    <xf numFmtId="0" fontId="4" fillId="15" borderId="0" xfId="0" applyFont="1" applyFill="1" applyBorder="1" applyAlignment="1" applyProtection="1">
      <alignment vertical="center"/>
    </xf>
    <xf numFmtId="0" fontId="34" fillId="15" borderId="0" xfId="0" applyFont="1" applyFill="1" applyBorder="1" applyAlignment="1" applyProtection="1">
      <alignment vertical="center"/>
    </xf>
    <xf numFmtId="175" fontId="40" fillId="15" borderId="10" xfId="0" applyNumberFormat="1" applyFont="1" applyFill="1" applyBorder="1" applyAlignment="1" applyProtection="1">
      <alignment horizontal="center" vertical="center"/>
    </xf>
    <xf numFmtId="0" fontId="44" fillId="12" borderId="8" xfId="0" applyFont="1" applyFill="1" applyBorder="1" applyAlignment="1">
      <alignment horizontal="left" vertical="center"/>
    </xf>
    <xf numFmtId="0" fontId="4" fillId="3" borderId="15" xfId="12" applyNumberFormat="1" applyFont="1" applyFill="1" applyBorder="1" applyAlignment="1" applyProtection="1">
      <alignment horizontal="right" vertical="center"/>
    </xf>
    <xf numFmtId="175" fontId="11" fillId="12" borderId="29" xfId="43" applyNumberFormat="1" applyFont="1" applyFill="1" applyBorder="1" applyAlignment="1" applyProtection="1">
      <alignment horizontal="center" vertical="center"/>
    </xf>
    <xf numFmtId="0" fontId="11" fillId="12" borderId="0" xfId="43" applyFont="1" applyFill="1" applyBorder="1" applyAlignment="1" applyProtection="1">
      <alignment horizontal="left" vertical="center"/>
    </xf>
    <xf numFmtId="0" fontId="11" fillId="12" borderId="0" xfId="43" applyFont="1" applyFill="1" applyBorder="1" applyAlignment="1" applyProtection="1">
      <alignment vertical="center"/>
    </xf>
    <xf numFmtId="175" fontId="11" fillId="12" borderId="9" xfId="43" applyNumberFormat="1" applyFont="1" applyFill="1" applyBorder="1" applyAlignment="1" applyProtection="1">
      <alignment horizontal="center" vertical="center"/>
    </xf>
    <xf numFmtId="0" fontId="51" fillId="0" borderId="0" xfId="0" applyFont="1" applyAlignment="1" applyProtection="1">
      <alignment vertical="center"/>
      <protection locked="0"/>
    </xf>
    <xf numFmtId="175" fontId="11" fillId="12" borderId="29" xfId="43" applyNumberFormat="1" applyFont="1" applyFill="1" applyBorder="1" applyAlignment="1" applyProtection="1">
      <alignment vertical="center"/>
    </xf>
    <xf numFmtId="175" fontId="11" fillId="15" borderId="9" xfId="43" applyNumberFormat="1" applyFont="1" applyFill="1" applyBorder="1" applyAlignment="1" applyProtection="1">
      <alignment horizontal="center" vertical="center"/>
    </xf>
    <xf numFmtId="0" fontId="11" fillId="15" borderId="8" xfId="43" applyFont="1" applyFill="1" applyBorder="1" applyAlignment="1" applyProtection="1">
      <alignment vertical="center"/>
    </xf>
    <xf numFmtId="0" fontId="4" fillId="15" borderId="12" xfId="0" applyFont="1" applyFill="1" applyBorder="1" applyAlignment="1" applyProtection="1">
      <alignment vertical="center"/>
      <protection locked="0"/>
    </xf>
    <xf numFmtId="172" fontId="40" fillId="12" borderId="10" xfId="0" applyNumberFormat="1" applyFont="1" applyFill="1" applyBorder="1" applyAlignment="1" applyProtection="1">
      <alignment horizontal="center" vertical="center"/>
    </xf>
    <xf numFmtId="175" fontId="34" fillId="12" borderId="29" xfId="0" applyNumberFormat="1" applyFont="1" applyFill="1" applyBorder="1" applyAlignment="1" applyProtection="1">
      <alignment horizontal="center" vertical="center"/>
    </xf>
    <xf numFmtId="0" fontId="34" fillId="12" borderId="15" xfId="0" applyFont="1" applyFill="1" applyBorder="1" applyAlignment="1" applyProtection="1">
      <alignment vertical="center"/>
    </xf>
    <xf numFmtId="175" fontId="34" fillId="12" borderId="9" xfId="0" applyNumberFormat="1" applyFont="1" applyFill="1" applyBorder="1" applyAlignment="1" applyProtection="1">
      <alignment horizontal="center" vertical="center"/>
    </xf>
    <xf numFmtId="0" fontId="4" fillId="15" borderId="12" xfId="0" applyFont="1" applyFill="1" applyBorder="1" applyProtection="1">
      <protection locked="0"/>
    </xf>
    <xf numFmtId="177" fontId="4" fillId="3" borderId="1" xfId="0" applyNumberFormat="1" applyFont="1" applyFill="1" applyBorder="1" applyAlignment="1" applyProtection="1">
      <alignment horizontal="right" vertical="center"/>
    </xf>
    <xf numFmtId="170"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34" xfId="0" applyNumberFormat="1" applyFont="1" applyFill="1" applyBorder="1" applyAlignment="1" applyProtection="1">
      <alignment horizontal="right" vertical="center"/>
    </xf>
    <xf numFmtId="171" fontId="4" fillId="3" borderId="34" xfId="0" applyNumberFormat="1" applyFont="1" applyFill="1" applyBorder="1" applyAlignment="1" applyProtection="1">
      <alignment horizontal="right" vertical="center"/>
    </xf>
    <xf numFmtId="1" fontId="4" fillId="5" borderId="2" xfId="0" applyNumberFormat="1" applyFont="1" applyFill="1" applyBorder="1" applyAlignment="1" applyProtection="1">
      <alignment vertical="center"/>
      <protection locked="0"/>
    </xf>
    <xf numFmtId="1" fontId="4" fillId="5" borderId="1" xfId="0" applyNumberFormat="1" applyFont="1" applyFill="1" applyBorder="1" applyAlignment="1" applyProtection="1">
      <alignment vertical="center"/>
      <protection locked="0"/>
    </xf>
    <xf numFmtId="1" fontId="4" fillId="11" borderId="2" xfId="0" applyNumberFormat="1" applyFont="1" applyFill="1" applyBorder="1" applyAlignment="1" applyProtection="1">
      <alignment vertical="center"/>
    </xf>
    <xf numFmtId="179" fontId="4" fillId="3" borderId="0" xfId="0" applyNumberFormat="1" applyFont="1" applyFill="1" applyAlignment="1">
      <alignment horizontal="center" vertical="center"/>
    </xf>
    <xf numFmtId="0" fontId="54" fillId="0" borderId="0" xfId="0" applyFont="1" applyAlignment="1" applyProtection="1">
      <alignment vertical="center"/>
      <protection locked="0"/>
    </xf>
    <xf numFmtId="0" fontId="4" fillId="12" borderId="0" xfId="0" applyFont="1" applyFill="1" applyAlignment="1" applyProtection="1">
      <alignment vertical="center"/>
      <protection locked="0"/>
    </xf>
    <xf numFmtId="0" fontId="4" fillId="3" borderId="3" xfId="31" applyFont="1" applyFill="1" applyBorder="1" applyAlignment="1" applyProtection="1">
      <alignment horizontal="center" vertical="center"/>
    </xf>
    <xf numFmtId="0" fontId="4" fillId="3" borderId="7" xfId="31" applyFont="1" applyFill="1" applyBorder="1" applyAlignment="1" applyProtection="1">
      <alignment horizontal="center" vertical="center"/>
    </xf>
    <xf numFmtId="179" fontId="4" fillId="2" borderId="1" xfId="31" applyNumberFormat="1" applyFont="1" applyFill="1" applyBorder="1" applyAlignment="1" applyProtection="1">
      <alignment vertical="center"/>
      <protection locked="0"/>
    </xf>
    <xf numFmtId="3" fontId="4" fillId="3" borderId="1" xfId="31" applyNumberFormat="1" applyFont="1" applyFill="1" applyBorder="1" applyAlignment="1" applyProtection="1">
      <alignment vertical="center"/>
    </xf>
    <xf numFmtId="0" fontId="4" fillId="0" borderId="0" xfId="82" applyFont="1" applyAlignment="1">
      <alignment vertical="center"/>
    </xf>
    <xf numFmtId="0" fontId="4" fillId="0" borderId="0" xfId="413" applyFont="1" applyAlignment="1">
      <alignment vertical="center" wrapText="1"/>
    </xf>
    <xf numFmtId="0" fontId="4" fillId="0" borderId="0" xfId="23" applyFont="1" applyAlignment="1">
      <alignment vertical="center" wrapText="1"/>
    </xf>
    <xf numFmtId="0" fontId="4" fillId="0" borderId="0" xfId="24" applyFont="1" applyAlignment="1">
      <alignment vertical="center" wrapText="1"/>
    </xf>
    <xf numFmtId="0" fontId="4" fillId="0" borderId="0" xfId="48" applyFont="1" applyAlignment="1">
      <alignment vertical="center" wrapText="1"/>
    </xf>
    <xf numFmtId="0" fontId="4" fillId="0" borderId="0" xfId="38" applyFont="1" applyAlignment="1">
      <alignment vertical="center" wrapText="1"/>
    </xf>
    <xf numFmtId="0" fontId="4" fillId="0" borderId="0" xfId="70" applyFont="1" applyAlignment="1">
      <alignment vertical="center" wrapText="1"/>
    </xf>
    <xf numFmtId="0" fontId="4" fillId="0" borderId="0" xfId="78" applyFont="1" applyAlignment="1">
      <alignment vertical="center" wrapText="1"/>
    </xf>
    <xf numFmtId="0" fontId="4" fillId="0" borderId="0" xfId="102" applyFont="1" applyAlignment="1">
      <alignment vertical="center" wrapText="1"/>
    </xf>
    <xf numFmtId="0" fontId="45" fillId="0" borderId="0" xfId="0" applyFont="1" applyAlignment="1" applyProtection="1">
      <alignment vertical="center"/>
    </xf>
    <xf numFmtId="0" fontId="10" fillId="18" borderId="0" xfId="12" applyFill="1" applyAlignment="1" applyProtection="1"/>
    <xf numFmtId="0" fontId="47" fillId="18" borderId="0" xfId="336" applyFill="1"/>
    <xf numFmtId="0" fontId="4" fillId="0" borderId="0" xfId="111" applyFont="1" applyAlignment="1">
      <alignment vertical="center"/>
    </xf>
    <xf numFmtId="0" fontId="60" fillId="12" borderId="10" xfId="0" applyFont="1" applyFill="1" applyBorder="1" applyAlignment="1">
      <alignment horizontal="center" vertical="center"/>
    </xf>
    <xf numFmtId="0" fontId="3" fillId="12" borderId="11" xfId="0" applyFont="1" applyFill="1" applyBorder="1" applyAlignment="1">
      <alignment horizontal="centerContinuous" vertical="center"/>
    </xf>
    <xf numFmtId="0" fontId="40" fillId="12" borderId="2" xfId="0" applyFont="1" applyFill="1" applyBorder="1" applyAlignment="1">
      <alignment horizontal="centerContinuous" vertical="center"/>
    </xf>
    <xf numFmtId="0" fontId="60" fillId="12" borderId="10" xfId="0" applyFont="1" applyFill="1" applyBorder="1" applyAlignment="1">
      <alignment horizontal="center" vertical="center"/>
    </xf>
    <xf numFmtId="0" fontId="3" fillId="12" borderId="11" xfId="0" applyFont="1" applyFill="1" applyBorder="1" applyAlignment="1">
      <alignment horizontal="centerContinuous" vertical="center"/>
    </xf>
    <xf numFmtId="0" fontId="40" fillId="12" borderId="2" xfId="0" applyFont="1" applyFill="1" applyBorder="1" applyAlignment="1">
      <alignment horizontal="centerContinuous" vertical="center"/>
    </xf>
    <xf numFmtId="0" fontId="60" fillId="12" borderId="10" xfId="0" applyFont="1" applyFill="1" applyBorder="1" applyAlignment="1">
      <alignment horizontal="center" vertical="center"/>
    </xf>
    <xf numFmtId="0" fontId="3" fillId="12" borderId="11" xfId="0" applyFont="1" applyFill="1" applyBorder="1" applyAlignment="1">
      <alignment horizontal="centerContinuous" vertical="center"/>
    </xf>
    <xf numFmtId="0" fontId="40" fillId="12" borderId="2" xfId="0" applyFont="1" applyFill="1" applyBorder="1" applyAlignment="1">
      <alignment horizontal="centerContinuous" vertical="center"/>
    </xf>
    <xf numFmtId="0" fontId="4" fillId="15" borderId="0" xfId="0" applyFont="1" applyFill="1" applyBorder="1" applyAlignment="1">
      <alignment vertical="center"/>
    </xf>
    <xf numFmtId="175" fontId="4" fillId="15" borderId="0" xfId="0" applyNumberFormat="1" applyFont="1" applyFill="1" applyBorder="1" applyAlignment="1">
      <alignment horizontal="center" vertical="center"/>
    </xf>
    <xf numFmtId="0" fontId="0" fillId="0" borderId="0" xfId="0" applyAlignment="1">
      <alignment vertical="center"/>
    </xf>
    <xf numFmtId="0" fontId="3" fillId="4" borderId="1"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13" borderId="18" xfId="0" applyNumberFormat="1" applyFont="1" applyFill="1" applyBorder="1" applyAlignment="1" applyProtection="1">
      <alignment horizontal="left" vertical="center"/>
      <protection locked="0"/>
    </xf>
    <xf numFmtId="0" fontId="3" fillId="13" borderId="0" xfId="0" applyNumberFormat="1" applyFont="1" applyFill="1" applyBorder="1" applyAlignment="1" applyProtection="1">
      <alignment horizontal="left" vertical="center"/>
      <protection locked="0"/>
    </xf>
    <xf numFmtId="0" fontId="0" fillId="0" borderId="0" xfId="0" applyAlignment="1">
      <alignment vertical="center"/>
    </xf>
    <xf numFmtId="37" fontId="4" fillId="3" borderId="0" xfId="0" applyNumberFormat="1" applyFont="1" applyFill="1" applyBorder="1" applyAlignment="1" applyProtection="1">
      <alignment horizontal="center" vertical="center"/>
    </xf>
    <xf numFmtId="0" fontId="4" fillId="3" borderId="0" xfId="0" applyFont="1" applyFill="1" applyAlignment="1" applyProtection="1">
      <alignment horizontal="right" vertical="center"/>
    </xf>
    <xf numFmtId="0" fontId="4" fillId="3" borderId="0" xfId="0" applyNumberFormat="1" applyFont="1" applyFill="1" applyBorder="1" applyAlignment="1" applyProtection="1">
      <alignment horizontal="right" vertical="center"/>
    </xf>
    <xf numFmtId="0" fontId="4" fillId="3" borderId="0" xfId="47" applyFont="1" applyFill="1" applyAlignment="1" applyProtection="1">
      <alignment horizontal="right" vertical="center"/>
    </xf>
    <xf numFmtId="0" fontId="4" fillId="3" borderId="0" xfId="0" applyFont="1" applyFill="1" applyAlignment="1" applyProtection="1">
      <alignment horizontal="right" vertical="center"/>
    </xf>
    <xf numFmtId="0" fontId="4" fillId="5" borderId="2" xfId="0" applyFont="1" applyFill="1" applyBorder="1" applyAlignment="1" applyProtection="1">
      <alignment horizontal="right" vertical="center"/>
      <protection locked="0"/>
    </xf>
    <xf numFmtId="0" fontId="4" fillId="4" borderId="1" xfId="0" applyFont="1" applyFill="1" applyBorder="1" applyAlignment="1" applyProtection="1">
      <alignment vertical="center" wrapText="1"/>
      <protection locked="0"/>
    </xf>
    <xf numFmtId="37" fontId="4" fillId="3" borderId="15"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fill" vertical="center"/>
    </xf>
    <xf numFmtId="37" fontId="4" fillId="11" borderId="7" xfId="0" applyNumberFormat="1" applyFont="1" applyFill="1" applyBorder="1" applyAlignment="1" applyProtection="1">
      <alignment vertical="center"/>
    </xf>
    <xf numFmtId="0" fontId="33" fillId="16" borderId="0" xfId="0" applyFont="1" applyFill="1" applyBorder="1" applyAlignment="1">
      <alignment horizontal="center" vertical="center"/>
    </xf>
    <xf numFmtId="3" fontId="0" fillId="13" borderId="0" xfId="0" applyNumberFormat="1" applyFill="1" applyBorder="1" applyAlignment="1" applyProtection="1">
      <alignment horizontal="center" vertical="center"/>
      <protection locked="0"/>
    </xf>
    <xf numFmtId="3" fontId="0" fillId="14" borderId="0" xfId="0" applyNumberFormat="1" applyFill="1" applyBorder="1" applyAlignment="1">
      <alignment horizontal="center" vertical="center"/>
    </xf>
    <xf numFmtId="0" fontId="0" fillId="16" borderId="0" xfId="0" applyFill="1" applyBorder="1" applyAlignment="1">
      <alignment horizontal="center" vertical="center" wrapText="1"/>
    </xf>
    <xf numFmtId="0" fontId="3" fillId="0" borderId="0" xfId="0" applyFont="1" applyAlignment="1" applyProtection="1">
      <alignment vertical="center"/>
      <protection locked="0"/>
    </xf>
    <xf numFmtId="17" fontId="4" fillId="0" borderId="0" xfId="0" applyNumberFormat="1" applyFont="1" applyAlignment="1" applyProtection="1">
      <alignment vertical="center"/>
      <protection locked="0"/>
    </xf>
    <xf numFmtId="3" fontId="4" fillId="2" borderId="1" xfId="0" applyNumberFormat="1" applyFont="1" applyFill="1" applyBorder="1" applyAlignment="1" applyProtection="1">
      <alignment horizontal="left" vertical="center"/>
      <protection locked="0"/>
    </xf>
    <xf numFmtId="3" fontId="4" fillId="2" borderId="2" xfId="0" applyNumberFormat="1" applyFont="1" applyFill="1" applyBorder="1" applyAlignment="1" applyProtection="1">
      <alignment horizontal="left" vertical="center"/>
      <protection locked="0"/>
    </xf>
    <xf numFmtId="0" fontId="0" fillId="0" borderId="0" xfId="0" applyAlignment="1">
      <alignment vertical="center"/>
    </xf>
    <xf numFmtId="0" fontId="4" fillId="3" borderId="0" xfId="0" applyFont="1" applyFill="1" applyAlignment="1" applyProtection="1">
      <alignment horizontal="center" vertical="center"/>
    </xf>
    <xf numFmtId="0" fontId="3" fillId="4" borderId="1" xfId="0" applyFont="1" applyFill="1" applyBorder="1" applyAlignment="1" applyProtection="1">
      <alignment vertical="center"/>
      <protection locked="0"/>
    </xf>
    <xf numFmtId="3" fontId="3" fillId="4" borderId="1" xfId="1"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0" xfId="0" applyFont="1" applyAlignment="1">
      <alignment vertical="center"/>
    </xf>
    <xf numFmtId="3" fontId="3" fillId="3" borderId="1" xfId="0" applyNumberFormat="1" applyFont="1" applyFill="1" applyBorder="1" applyAlignment="1" applyProtection="1">
      <alignment horizontal="right" vertical="center"/>
    </xf>
    <xf numFmtId="3" fontId="3" fillId="3" borderId="1" xfId="0" applyNumberFormat="1" applyFont="1" applyFill="1" applyBorder="1" applyAlignment="1" applyProtection="1">
      <alignment horizontal="center" vertical="center"/>
    </xf>
    <xf numFmtId="180" fontId="4" fillId="2" borderId="7" xfId="0" applyNumberFormat="1" applyFont="1" applyFill="1" applyBorder="1" applyAlignment="1" applyProtection="1">
      <alignment horizontal="center" vertical="center"/>
      <protection locked="0"/>
    </xf>
    <xf numFmtId="181" fontId="4" fillId="12" borderId="0" xfId="0" applyNumberFormat="1" applyFont="1" applyFill="1" applyAlignment="1" applyProtection="1">
      <alignment horizontal="center" vertical="center"/>
    </xf>
    <xf numFmtId="181" fontId="4" fillId="3" borderId="0" xfId="0" applyNumberFormat="1" applyFont="1" applyFill="1" applyAlignment="1" applyProtection="1">
      <alignment horizontal="centerContinuous" vertical="center"/>
    </xf>
    <xf numFmtId="181" fontId="4" fillId="3" borderId="10" xfId="0" applyNumberFormat="1" applyFont="1" applyFill="1" applyBorder="1" applyAlignment="1" applyProtection="1">
      <alignment horizontal="centerContinuous" vertical="center"/>
    </xf>
    <xf numFmtId="181" fontId="4" fillId="3" borderId="3" xfId="0" applyNumberFormat="1" applyFont="1" applyFill="1" applyBorder="1" applyAlignment="1" applyProtection="1">
      <alignment horizontal="center" vertical="center"/>
    </xf>
    <xf numFmtId="181" fontId="4" fillId="3" borderId="7" xfId="0" applyNumberFormat="1" applyFont="1" applyFill="1" applyBorder="1" applyAlignment="1" applyProtection="1">
      <alignment horizontal="center" vertical="center"/>
    </xf>
    <xf numFmtId="181" fontId="4" fillId="3" borderId="1" xfId="0" applyNumberFormat="1" applyFont="1" applyFill="1" applyBorder="1" applyAlignment="1" applyProtection="1">
      <alignment horizontal="center" vertical="center"/>
    </xf>
    <xf numFmtId="181" fontId="4" fillId="14" borderId="31" xfId="0" applyNumberFormat="1" applyFont="1" applyFill="1" applyBorder="1" applyAlignment="1" applyProtection="1">
      <alignment horizontal="center" vertical="center"/>
    </xf>
    <xf numFmtId="181" fontId="4" fillId="3" borderId="0" xfId="0" applyNumberFormat="1" applyFont="1" applyFill="1" applyBorder="1" applyAlignment="1" applyProtection="1">
      <alignment horizontal="center" vertical="center"/>
    </xf>
    <xf numFmtId="181" fontId="4" fillId="3" borderId="0" xfId="0" applyNumberFormat="1" applyFont="1" applyFill="1" applyAlignment="1" applyProtection="1">
      <alignment vertical="center"/>
    </xf>
    <xf numFmtId="181" fontId="4" fillId="3" borderId="0" xfId="0" applyNumberFormat="1" applyFont="1" applyFill="1" applyAlignment="1" applyProtection="1">
      <alignment horizontal="center" vertical="center"/>
    </xf>
    <xf numFmtId="181" fontId="4" fillId="0" borderId="0" xfId="0" applyNumberFormat="1" applyFont="1" applyAlignment="1">
      <alignment vertical="center"/>
    </xf>
    <xf numFmtId="0" fontId="0" fillId="0" borderId="0" xfId="0" applyAlignment="1">
      <alignment horizontal="center" vertical="center"/>
    </xf>
    <xf numFmtId="0" fontId="0" fillId="0" borderId="0" xfId="0" applyAlignment="1">
      <alignment vertical="center"/>
    </xf>
    <xf numFmtId="0" fontId="34" fillId="3" borderId="0" xfId="0" applyFont="1" applyFill="1" applyAlignment="1" applyProtection="1">
      <alignment horizontal="centerContinuous" vertical="center"/>
    </xf>
    <xf numFmtId="37" fontId="34" fillId="12" borderId="0" xfId="0" applyNumberFormat="1" applyFont="1" applyFill="1" applyAlignment="1" applyProtection="1">
      <alignment horizontal="center" vertical="center"/>
    </xf>
    <xf numFmtId="37" fontId="40" fillId="3" borderId="0" xfId="0" applyNumberFormat="1" applyFont="1" applyFill="1" applyAlignment="1" applyProtection="1">
      <alignment horizontal="centerContinuous" vertical="center"/>
    </xf>
    <xf numFmtId="0" fontId="44" fillId="14" borderId="0" xfId="0" applyFont="1" applyFill="1" applyAlignment="1">
      <alignment vertical="center"/>
    </xf>
    <xf numFmtId="37" fontId="34" fillId="12" borderId="0" xfId="0" applyNumberFormat="1" applyFont="1" applyFill="1" applyAlignment="1" applyProtection="1">
      <alignment horizontal="left" vertical="center"/>
    </xf>
    <xf numFmtId="0" fontId="0" fillId="14" borderId="0" xfId="0" applyFill="1"/>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37" fontId="3" fillId="10" borderId="14" xfId="0" applyNumberFormat="1" applyFont="1" applyFill="1" applyBorder="1" applyAlignment="1" applyProtection="1">
      <alignment horizontal="center" vertical="center"/>
    </xf>
    <xf numFmtId="0" fontId="0" fillId="0" borderId="14" xfId="0" applyBorder="1" applyAlignment="1">
      <alignment horizontal="center" vertical="center"/>
    </xf>
    <xf numFmtId="37" fontId="12" fillId="3" borderId="0"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1" fillId="3" borderId="14" xfId="0" applyFont="1" applyFill="1" applyBorder="1" applyAlignment="1">
      <alignment horizontal="center" vertical="center"/>
    </xf>
    <xf numFmtId="37" fontId="4" fillId="3" borderId="6"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3" fontId="4" fillId="3" borderId="6" xfId="0" applyNumberFormat="1" applyFont="1" applyFill="1" applyBorder="1" applyAlignment="1" applyProtection="1">
      <alignment vertical="center" wrapText="1"/>
      <protection locked="0"/>
    </xf>
    <xf numFmtId="3" fontId="4" fillId="3" borderId="7" xfId="0" applyNumberFormat="1" applyFont="1" applyFill="1" applyBorder="1" applyAlignment="1" applyProtection="1">
      <alignment vertical="center" wrapText="1"/>
      <protection locked="0"/>
    </xf>
    <xf numFmtId="0" fontId="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3" fillId="3" borderId="14" xfId="0" applyFont="1" applyFill="1" applyBorder="1" applyAlignment="1" applyProtection="1">
      <alignment horizontal="center" vertical="center"/>
    </xf>
    <xf numFmtId="0" fontId="18" fillId="0" borderId="14" xfId="0" applyFont="1" applyBorder="1" applyAlignment="1">
      <alignment horizontal="center" vertical="center"/>
    </xf>
    <xf numFmtId="37" fontId="4" fillId="3" borderId="3" xfId="0" applyNumberFormat="1" applyFont="1" applyFill="1" applyBorder="1" applyAlignment="1" applyProtection="1">
      <alignment horizontal="center" vertical="center" wrapText="1"/>
    </xf>
    <xf numFmtId="0" fontId="0" fillId="0" borderId="7" xfId="0" applyBorder="1" applyAlignment="1">
      <alignment horizontal="center" vertical="center" wrapText="1"/>
    </xf>
    <xf numFmtId="0" fontId="15" fillId="3" borderId="0" xfId="0" applyFont="1" applyFill="1" applyBorder="1" applyAlignment="1">
      <alignment vertical="center"/>
    </xf>
    <xf numFmtId="0" fontId="19" fillId="0" borderId="0" xfId="0" applyFont="1" applyAlignment="1">
      <alignment vertical="center"/>
    </xf>
    <xf numFmtId="0" fontId="4" fillId="7" borderId="3" xfId="0" applyFont="1" applyFill="1" applyBorder="1" applyAlignment="1">
      <alignment horizontal="center" vertical="center" wrapText="1"/>
    </xf>
    <xf numFmtId="0" fontId="0" fillId="0" borderId="6" xfId="0" applyBorder="1" applyAlignment="1">
      <alignment horizontal="center" vertical="center" wrapText="1"/>
    </xf>
    <xf numFmtId="3" fontId="4" fillId="3" borderId="3" xfId="0" applyNumberFormat="1" applyFont="1" applyFill="1" applyBorder="1" applyAlignment="1" applyProtection="1">
      <alignment horizontal="center" vertical="center" wrapText="1"/>
    </xf>
    <xf numFmtId="0" fontId="4" fillId="8" borderId="0" xfId="0" applyFont="1" applyFill="1" applyBorder="1" applyAlignment="1">
      <alignment vertical="center" wrapText="1"/>
    </xf>
    <xf numFmtId="0" fontId="0" fillId="0" borderId="0" xfId="0" applyAlignment="1">
      <alignment vertical="center"/>
    </xf>
    <xf numFmtId="37" fontId="3" fillId="3" borderId="29" xfId="0" applyNumberFormat="1" applyFont="1" applyFill="1" applyBorder="1" applyAlignment="1" applyProtection="1">
      <alignment horizontal="center" vertical="center"/>
    </xf>
    <xf numFmtId="0" fontId="0" fillId="0" borderId="15" xfId="0" applyBorder="1" applyAlignment="1">
      <alignment horizontal="center" vertical="center"/>
    </xf>
    <xf numFmtId="0" fontId="4" fillId="0" borderId="0" xfId="395" applyFont="1" applyAlignment="1">
      <alignment horizontal="left" vertical="center" wrapText="1"/>
    </xf>
    <xf numFmtId="0" fontId="28" fillId="0" borderId="0" xfId="395" applyAlignment="1">
      <alignment horizontal="left" vertical="center" wrapText="1"/>
    </xf>
    <xf numFmtId="0" fontId="12" fillId="0" borderId="0" xfId="395" applyFont="1" applyAlignment="1">
      <alignment horizontal="left" vertical="center"/>
    </xf>
    <xf numFmtId="3" fontId="4" fillId="13" borderId="5" xfId="0" applyNumberFormat="1" applyFont="1" applyFill="1" applyBorder="1" applyAlignment="1" applyProtection="1">
      <alignment horizontal="center" vertical="center"/>
      <protection locked="0"/>
    </xf>
    <xf numFmtId="3" fontId="0" fillId="13" borderId="4" xfId="0" applyNumberFormat="1" applyFill="1" applyBorder="1" applyAlignment="1" applyProtection="1">
      <alignment horizontal="center" vertical="center"/>
      <protection locked="0"/>
    </xf>
    <xf numFmtId="37" fontId="34" fillId="12" borderId="0" xfId="0" applyNumberFormat="1" applyFont="1" applyFill="1" applyAlignment="1" applyProtection="1">
      <alignment horizontal="center" vertical="center"/>
    </xf>
    <xf numFmtId="0" fontId="44" fillId="0" borderId="0" xfId="0" applyFont="1" applyAlignment="1">
      <alignment horizontal="center" vertical="center"/>
    </xf>
    <xf numFmtId="0" fontId="8" fillId="16" borderId="2" xfId="0" applyFont="1" applyFill="1" applyBorder="1" applyAlignment="1" applyProtection="1">
      <alignment horizontal="center" vertical="center"/>
    </xf>
    <xf numFmtId="0" fontId="33" fillId="16" borderId="10" xfId="0" applyFont="1" applyFill="1" applyBorder="1" applyAlignment="1">
      <alignment horizontal="center" vertical="center"/>
    </xf>
    <xf numFmtId="0" fontId="4" fillId="3" borderId="0" xfId="0" applyFont="1" applyFill="1" applyAlignment="1" applyProtection="1">
      <alignment horizontal="center" vertical="center"/>
    </xf>
    <xf numFmtId="3" fontId="4" fillId="14" borderId="2" xfId="0" applyNumberFormat="1" applyFont="1" applyFill="1" applyBorder="1" applyAlignment="1" applyProtection="1">
      <alignment horizontal="center" vertical="center"/>
    </xf>
    <xf numFmtId="3" fontId="0" fillId="14" borderId="10" xfId="0" applyNumberFormat="1" applyFill="1" applyBorder="1" applyAlignment="1">
      <alignment horizontal="center" vertical="center"/>
    </xf>
    <xf numFmtId="0" fontId="4" fillId="16" borderId="5" xfId="0" applyFont="1" applyFill="1" applyBorder="1" applyAlignment="1" applyProtection="1">
      <alignment horizontal="center" vertical="center" wrapText="1"/>
    </xf>
    <xf numFmtId="0" fontId="0" fillId="16" borderId="4" xfId="0" applyFill="1" applyBorder="1" applyAlignment="1">
      <alignment horizontal="center" vertical="center" wrapText="1"/>
    </xf>
    <xf numFmtId="0" fontId="0" fillId="16" borderId="9" xfId="0" applyFill="1" applyBorder="1" applyAlignment="1">
      <alignment horizontal="center" vertical="center" wrapText="1"/>
    </xf>
    <xf numFmtId="0" fontId="0" fillId="16" borderId="12" xfId="0" applyFill="1" applyBorder="1" applyAlignment="1">
      <alignment horizontal="center" vertical="center" wrapText="1"/>
    </xf>
    <xf numFmtId="0" fontId="6"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37" fontId="4" fillId="3" borderId="2" xfId="0" applyNumberFormat="1" applyFont="1" applyFill="1" applyBorder="1" applyAlignment="1" applyProtection="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0" fontId="4" fillId="3" borderId="9" xfId="0" applyFont="1" applyFill="1" applyBorder="1" applyAlignment="1" applyProtection="1">
      <alignment horizontal="center"/>
    </xf>
    <xf numFmtId="0" fontId="0" fillId="0" borderId="12" xfId="0" applyBorder="1" applyAlignment="1" applyProtection="1"/>
    <xf numFmtId="1" fontId="4" fillId="3" borderId="9" xfId="0" applyNumberFormat="1" applyFont="1" applyFill="1" applyBorder="1" applyAlignment="1" applyProtection="1">
      <alignment horizontal="center"/>
    </xf>
    <xf numFmtId="0" fontId="0" fillId="0" borderId="12" xfId="0" applyBorder="1" applyAlignment="1" applyProtection="1">
      <alignment horizontal="center"/>
    </xf>
    <xf numFmtId="0" fontId="12" fillId="12" borderId="0" xfId="411" applyFont="1" applyFill="1" applyAlignment="1">
      <alignment horizontal="center"/>
    </xf>
    <xf numFmtId="0" fontId="2" fillId="12" borderId="0" xfId="31" applyFill="1" applyAlignment="1">
      <alignment horizontal="center"/>
    </xf>
    <xf numFmtId="0" fontId="3" fillId="12" borderId="0" xfId="31" applyFont="1" applyFill="1" applyAlignment="1">
      <alignment horizontal="center" vertical="center"/>
    </xf>
    <xf numFmtId="0" fontId="12" fillId="12" borderId="0" xfId="31" applyFont="1" applyFill="1" applyAlignment="1">
      <alignment horizontal="center" vertical="center"/>
    </xf>
    <xf numFmtId="0" fontId="4" fillId="12" borderId="0" xfId="31" applyFont="1" applyFill="1" applyAlignment="1">
      <alignment vertical="center" wrapText="1"/>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3" fontId="4" fillId="3" borderId="13" xfId="47" applyNumberFormat="1" applyFont="1" applyFill="1" applyBorder="1" applyAlignment="1" applyProtection="1">
      <alignment horizontal="right" vertical="center"/>
    </xf>
    <xf numFmtId="0" fontId="2" fillId="0" borderId="4" xfId="47" applyBorder="1" applyAlignment="1">
      <alignment horizontal="right" vertical="center"/>
    </xf>
    <xf numFmtId="0" fontId="4" fillId="3" borderId="0" xfId="47" applyFont="1" applyFill="1" applyAlignment="1" applyProtection="1">
      <alignment horizontal="right" vertical="center"/>
    </xf>
    <xf numFmtId="0" fontId="4" fillId="0" borderId="15" xfId="47" applyFont="1" applyBorder="1" applyAlignment="1">
      <alignment horizontal="right" vertical="center"/>
    </xf>
    <xf numFmtId="0" fontId="39" fillId="12" borderId="5" xfId="43" applyFont="1" applyFill="1" applyBorder="1" applyAlignment="1" applyProtection="1">
      <alignment horizontal="center" vertical="center"/>
    </xf>
    <xf numFmtId="0" fontId="39" fillId="12" borderId="13" xfId="43" applyFont="1" applyFill="1" applyBorder="1" applyAlignment="1" applyProtection="1">
      <alignment horizontal="center" vertical="center"/>
    </xf>
    <xf numFmtId="0" fontId="2" fillId="0" borderId="4" xfId="43" applyBorder="1" applyAlignment="1" applyProtection="1">
      <alignment vertical="center"/>
    </xf>
    <xf numFmtId="0" fontId="0" fillId="0" borderId="13" xfId="0" applyBorder="1" applyAlignment="1">
      <alignment vertical="center"/>
    </xf>
    <xf numFmtId="0" fontId="0" fillId="0" borderId="4" xfId="0" applyBorder="1" applyAlignment="1">
      <alignment vertical="center"/>
    </xf>
    <xf numFmtId="172" fontId="39" fillId="12" borderId="5" xfId="0" applyNumberFormat="1" applyFont="1" applyFill="1" applyBorder="1" applyAlignment="1" applyProtection="1">
      <alignment horizontal="center"/>
    </xf>
    <xf numFmtId="0" fontId="14" fillId="0" borderId="13" xfId="0" applyFont="1" applyBorder="1" applyAlignment="1"/>
    <xf numFmtId="0" fontId="14" fillId="0" borderId="4" xfId="0" applyFont="1" applyBorder="1" applyAlignment="1"/>
    <xf numFmtId="0" fontId="39" fillId="12" borderId="5" xfId="0" applyFont="1" applyFill="1" applyBorder="1" applyAlignment="1" applyProtection="1">
      <alignment horizontal="center" vertical="center"/>
    </xf>
    <xf numFmtId="0" fontId="41" fillId="12" borderId="5" xfId="43" applyFont="1" applyFill="1" applyBorder="1" applyAlignment="1" applyProtection="1">
      <alignment horizontal="center" vertical="center"/>
    </xf>
    <xf numFmtId="0" fontId="0" fillId="0" borderId="13" xfId="0" applyBorder="1" applyAlignment="1">
      <alignment horizontal="center" vertical="center"/>
    </xf>
    <xf numFmtId="0" fontId="44" fillId="0" borderId="13" xfId="0" applyFont="1" applyBorder="1" applyAlignment="1">
      <alignment horizontal="center" vertical="center"/>
    </xf>
    <xf numFmtId="0" fontId="0" fillId="0" borderId="4" xfId="0" applyBorder="1" applyAlignment="1"/>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10" xfId="0" applyFont="1" applyFill="1" applyBorder="1" applyAlignment="1">
      <alignment horizontal="center" vertical="center"/>
    </xf>
    <xf numFmtId="37" fontId="4" fillId="12" borderId="0" xfId="0" applyNumberFormat="1" applyFont="1" applyFill="1" applyAlignment="1" applyProtection="1">
      <alignment horizontal="center" vertical="center"/>
    </xf>
    <xf numFmtId="0" fontId="12" fillId="12" borderId="5" xfId="44" applyFont="1" applyFill="1" applyBorder="1" applyAlignment="1" applyProtection="1">
      <alignment horizontal="center"/>
    </xf>
    <xf numFmtId="0" fontId="0" fillId="0" borderId="13" xfId="0" applyBorder="1" applyAlignment="1">
      <alignment horizontal="center"/>
    </xf>
    <xf numFmtId="0" fontId="0" fillId="0" borderId="4" xfId="0" applyBorder="1" applyAlignment="1">
      <alignment horizontal="center"/>
    </xf>
    <xf numFmtId="0" fontId="2" fillId="0" borderId="13" xfId="44" applyBorder="1" applyAlignment="1" applyProtection="1">
      <alignment horizontal="center"/>
    </xf>
    <xf numFmtId="0" fontId="2" fillId="0" borderId="4" xfId="44" applyBorder="1" applyAlignment="1" applyProtection="1">
      <alignment horizontal="center"/>
    </xf>
    <xf numFmtId="37" fontId="4" fillId="3" borderId="0" xfId="0" applyNumberFormat="1" applyFont="1" applyFill="1" applyBorder="1" applyAlignment="1" applyProtection="1">
      <alignment horizontal="center" vertical="center"/>
    </xf>
    <xf numFmtId="49" fontId="4" fillId="12" borderId="0" xfId="0" applyNumberFormat="1" applyFont="1" applyFill="1" applyBorder="1" applyAlignment="1" applyProtection="1">
      <alignment horizontal="left" vertical="center"/>
      <protection locked="0"/>
    </xf>
    <xf numFmtId="0" fontId="0" fillId="12" borderId="0" xfId="0" applyFill="1" applyBorder="1" applyAlignment="1" applyProtection="1">
      <alignment horizontal="left" vertical="center"/>
      <protection locked="0"/>
    </xf>
    <xf numFmtId="37" fontId="4" fillId="3" borderId="13" xfId="0" applyNumberFormat="1" applyFont="1" applyFill="1" applyBorder="1" applyAlignment="1" applyProtection="1">
      <alignment horizontal="center" vertical="center"/>
    </xf>
    <xf numFmtId="37" fontId="3" fillId="3" borderId="8" xfId="0" applyNumberFormat="1" applyFont="1" applyFill="1" applyBorder="1" applyAlignment="1" applyProtection="1">
      <alignment horizontal="center" vertical="center"/>
      <protection locked="0"/>
    </xf>
    <xf numFmtId="0" fontId="29" fillId="0" borderId="8" xfId="0" applyFont="1" applyBorder="1" applyAlignment="1">
      <alignment horizontal="center" vertic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170" fontId="35" fillId="13" borderId="8" xfId="0" applyNumberFormat="1" applyFont="1" applyFill="1" applyBorder="1" applyAlignment="1" applyProtection="1">
      <alignment horizontal="center"/>
      <protection locked="0"/>
    </xf>
    <xf numFmtId="176" fontId="35" fillId="12" borderId="0" xfId="0" applyNumberFormat="1" applyFont="1" applyFill="1" applyBorder="1" applyAlignment="1">
      <alignment horizontal="center"/>
    </xf>
    <xf numFmtId="176" fontId="35" fillId="0" borderId="28" xfId="0" applyNumberFormat="1" applyFont="1" applyBorder="1" applyAlignment="1">
      <alignment horizontal="center"/>
    </xf>
    <xf numFmtId="175" fontId="35" fillId="12" borderId="0" xfId="0" applyNumberFormat="1" applyFont="1" applyFill="1" applyBorder="1" applyAlignment="1">
      <alignment horizontal="center"/>
    </xf>
    <xf numFmtId="0" fontId="35" fillId="12" borderId="13" xfId="0" applyFont="1" applyFill="1" applyBorder="1" applyAlignment="1">
      <alignment horizontal="center"/>
    </xf>
    <xf numFmtId="0" fontId="35" fillId="12" borderId="22" xfId="0" applyFont="1" applyFill="1" applyBorder="1" applyAlignment="1">
      <alignment vertical="top" wrapText="1"/>
    </xf>
    <xf numFmtId="0" fontId="35" fillId="0" borderId="0" xfId="0" applyFont="1" applyAlignment="1">
      <alignment vertical="top" wrapText="1"/>
    </xf>
    <xf numFmtId="0" fontId="35" fillId="0" borderId="28" xfId="0" applyFont="1" applyBorder="1" applyAlignment="1">
      <alignment vertical="top" wrapText="1"/>
    </xf>
    <xf numFmtId="0" fontId="35" fillId="0" borderId="28" xfId="0" applyFont="1" applyBorder="1" applyAlignment="1">
      <alignment horizontal="center"/>
    </xf>
    <xf numFmtId="0" fontId="35" fillId="12" borderId="0" xfId="0" applyFont="1" applyFill="1" applyAlignment="1">
      <alignment wrapText="1"/>
    </xf>
    <xf numFmtId="0" fontId="50" fillId="12" borderId="0" xfId="0" applyFont="1" applyFill="1" applyAlignment="1">
      <alignment horizontal="center" wrapText="1"/>
    </xf>
    <xf numFmtId="175" fontId="35" fillId="13" borderId="8" xfId="0" applyNumberFormat="1" applyFont="1" applyFill="1" applyBorder="1" applyAlignment="1" applyProtection="1">
      <alignment horizontal="center"/>
      <protection locked="0"/>
    </xf>
    <xf numFmtId="0" fontId="50" fillId="12" borderId="26" xfId="0" applyFont="1" applyFill="1" applyBorder="1" applyAlignment="1">
      <alignment horizontal="center" vertical="center"/>
    </xf>
    <xf numFmtId="0" fontId="35" fillId="0" borderId="26" xfId="0" applyFont="1" applyBorder="1" applyAlignment="1">
      <alignment horizontal="center" vertical="center"/>
    </xf>
    <xf numFmtId="0" fontId="50" fillId="12" borderId="0" xfId="0" applyFont="1" applyFill="1" applyBorder="1" applyAlignment="1">
      <alignment horizontal="center" wrapText="1"/>
    </xf>
    <xf numFmtId="0" fontId="35" fillId="0" borderId="0" xfId="0" applyFont="1" applyAlignment="1">
      <alignment horizontal="center" wrapText="1"/>
    </xf>
    <xf numFmtId="0" fontId="50" fillId="0" borderId="0" xfId="0" applyFont="1" applyAlignment="1">
      <alignment horizontal="center" wrapText="1"/>
    </xf>
    <xf numFmtId="5" fontId="35" fillId="12" borderId="8" xfId="0" applyNumberFormat="1" applyFont="1" applyFill="1" applyBorder="1" applyAlignment="1">
      <alignment horizontal="center"/>
    </xf>
    <xf numFmtId="0" fontId="35" fillId="12" borderId="0" xfId="0" applyFont="1" applyFill="1" applyBorder="1" applyAlignment="1">
      <alignment wrapText="1"/>
    </xf>
    <xf numFmtId="0" fontId="35" fillId="0" borderId="0" xfId="0" applyFont="1" applyAlignment="1">
      <alignment wrapText="1"/>
    </xf>
    <xf numFmtId="0" fontId="50" fillId="12" borderId="0" xfId="0" applyFont="1" applyFill="1" applyAlignment="1">
      <alignment horizontal="center"/>
    </xf>
    <xf numFmtId="175" fontId="35" fillId="12" borderId="0" xfId="0" applyNumberFormat="1" applyFont="1" applyFill="1" applyAlignment="1">
      <alignment horizontal="center"/>
    </xf>
    <xf numFmtId="175"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0" xfId="0" applyFont="1" applyFill="1" applyBorder="1" applyAlignment="1">
      <alignment horizontal="center"/>
    </xf>
    <xf numFmtId="0" fontId="35" fillId="12" borderId="14" xfId="0" applyFont="1" applyFill="1" applyBorder="1" applyAlignment="1"/>
    <xf numFmtId="0" fontId="35" fillId="12" borderId="30" xfId="0" applyFont="1" applyFill="1" applyBorder="1" applyAlignment="1"/>
    <xf numFmtId="175" fontId="35" fillId="12" borderId="0" xfId="0" applyNumberFormat="1" applyFont="1" applyFill="1" applyAlignment="1"/>
    <xf numFmtId="0" fontId="50" fillId="12" borderId="0" xfId="0" applyFont="1" applyFill="1" applyAlignment="1">
      <alignment horizontal="center" vertical="center"/>
    </xf>
    <xf numFmtId="0" fontId="50" fillId="0" borderId="0" xfId="0" applyFont="1" applyAlignment="1">
      <alignment horizontal="center" vertical="center"/>
    </xf>
  </cellXfs>
  <cellStyles count="421">
    <cellStyle name="Comma" xfId="1" builtinId="3"/>
    <cellStyle name="Comma 11 2" xfId="2"/>
    <cellStyle name="Comma 16" xfId="3"/>
    <cellStyle name="Comma 16 2" xfId="4"/>
    <cellStyle name="Comma 16 3" xfId="5"/>
    <cellStyle name="Comma 2" xfId="6"/>
    <cellStyle name="Comma 2 2" xfId="7"/>
    <cellStyle name="Comma 4 2" xfId="8"/>
    <cellStyle name="Comma 7" xfId="9"/>
    <cellStyle name="Comma 7 2" xfId="10"/>
    <cellStyle name="Comma 7 3" xfId="11"/>
    <cellStyle name="Hyperlink" xfId="12" builtinId="8"/>
    <cellStyle name="Hyperlink 2 2" xfId="13"/>
    <cellStyle name="Hyperlink 3 2" xfId="14"/>
    <cellStyle name="Hyperlink 3 3" xfId="15"/>
    <cellStyle name="Hyperlink 4 2" xfId="16"/>
    <cellStyle name="Hyperlink 7" xfId="17"/>
    <cellStyle name="Hyperlink 7 2" xfId="18"/>
    <cellStyle name="Hyperlink 8" xfId="19"/>
    <cellStyle name="Hyperlink 8 2" xfId="20"/>
    <cellStyle name="Normal" xfId="0" builtinId="0"/>
    <cellStyle name="Normal 10" xfId="21"/>
    <cellStyle name="Normal 10 2" xfId="22"/>
    <cellStyle name="Normal 10 2 2" xfId="23"/>
    <cellStyle name="Normal 10 2 2 2" xfId="24"/>
    <cellStyle name="Normal 10 2 2 3" xfId="25"/>
    <cellStyle name="Normal 10 3" xfId="26"/>
    <cellStyle name="Normal 10 3 2" xfId="27"/>
    <cellStyle name="Normal 10 4" xfId="28"/>
    <cellStyle name="Normal 10 4 2" xfId="29"/>
    <cellStyle name="Normal 10 4 3" xfId="30"/>
    <cellStyle name="Normal 10 5" xfId="31"/>
    <cellStyle name="Normal 10 6" xfId="32"/>
    <cellStyle name="Normal 10 6 2" xfId="33"/>
    <cellStyle name="Normal 10 6 3" xfId="34"/>
    <cellStyle name="Normal 10 7" xfId="35"/>
    <cellStyle name="Normal 10 7 2" xfId="36"/>
    <cellStyle name="Normal 11" xfId="37"/>
    <cellStyle name="Normal 11 2" xfId="38"/>
    <cellStyle name="Normal 11 2 2" xfId="39"/>
    <cellStyle name="Normal 11 3" xfId="40"/>
    <cellStyle name="Normal 11 4" xfId="41"/>
    <cellStyle name="Normal 11 5" xfId="42"/>
    <cellStyle name="Normal 12" xfId="43"/>
    <cellStyle name="Normal 12 10" xfId="44"/>
    <cellStyle name="Normal 12 11" xfId="45"/>
    <cellStyle name="Normal 12 12" xfId="46"/>
    <cellStyle name="Normal 12 2" xfId="47"/>
    <cellStyle name="Normal 12 2 2" xfId="48"/>
    <cellStyle name="Normal 12 3" xfId="49"/>
    <cellStyle name="Normal 12 4" xfId="50"/>
    <cellStyle name="Normal 12 5" xfId="51"/>
    <cellStyle name="Normal 12 6" xfId="52"/>
    <cellStyle name="Normal 12 7" xfId="53"/>
    <cellStyle name="Normal 12 8" xfId="54"/>
    <cellStyle name="Normal 12 9" xfId="55"/>
    <cellStyle name="Normal 13" xfId="56"/>
    <cellStyle name="Normal 13 10" xfId="57"/>
    <cellStyle name="Normal 13 11" xfId="58"/>
    <cellStyle name="Normal 13 12" xfId="59"/>
    <cellStyle name="Normal 13 2" xfId="60"/>
    <cellStyle name="Normal 13 2 2" xfId="61"/>
    <cellStyle name="Normal 13 3" xfId="62"/>
    <cellStyle name="Normal 13 4" xfId="63"/>
    <cellStyle name="Normal 13 5" xfId="64"/>
    <cellStyle name="Normal 13 6" xfId="65"/>
    <cellStyle name="Normal 13 7" xfId="66"/>
    <cellStyle name="Normal 13 8" xfId="67"/>
    <cellStyle name="Normal 13 9" xfId="68"/>
    <cellStyle name="Normal 14" xfId="69"/>
    <cellStyle name="Normal 14 2" xfId="70"/>
    <cellStyle name="Normal 14 3" xfId="71"/>
    <cellStyle name="Normal 14 4" xfId="72"/>
    <cellStyle name="Normal 14 5" xfId="73"/>
    <cellStyle name="Normal 14 6" xfId="74"/>
    <cellStyle name="Normal 14 7" xfId="75"/>
    <cellStyle name="Normal 14 7 2" xfId="76"/>
    <cellStyle name="Normal 15" xfId="77"/>
    <cellStyle name="Normal 15 2" xfId="78"/>
    <cellStyle name="Normal 15 3" xfId="79"/>
    <cellStyle name="Normal 15 4" xfId="80"/>
    <cellStyle name="Normal 16" xfId="81"/>
    <cellStyle name="Normal 16 2" xfId="82"/>
    <cellStyle name="Normal 16 3" xfId="83"/>
    <cellStyle name="Normal 16 4" xfId="84"/>
    <cellStyle name="Normal 17" xfId="85"/>
    <cellStyle name="Normal 17 2" xfId="86"/>
    <cellStyle name="Normal 17 3" xfId="87"/>
    <cellStyle name="Normal 17 4" xfId="88"/>
    <cellStyle name="Normal 18" xfId="89"/>
    <cellStyle name="Normal 18 2" xfId="90"/>
    <cellStyle name="Normal 18 2 2" xfId="91"/>
    <cellStyle name="Normal 18 2 3" xfId="92"/>
    <cellStyle name="Normal 18 3" xfId="93"/>
    <cellStyle name="Normal 18 4" xfId="94"/>
    <cellStyle name="Normal 18 5" xfId="95"/>
    <cellStyle name="Normal 18 6" xfId="96"/>
    <cellStyle name="Normal 18 7" xfId="97"/>
    <cellStyle name="Normal 18 8"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2 10" xfId="108"/>
    <cellStyle name="Normal 2 10 10" xfId="109"/>
    <cellStyle name="Normal 2 10 11" xfId="110"/>
    <cellStyle name="Normal 2 10 2" xfId="111"/>
    <cellStyle name="Normal 2 10 2 2" xfId="112"/>
    <cellStyle name="Normal 2 10 3" xfId="113"/>
    <cellStyle name="Normal 2 10 3 2" xfId="114"/>
    <cellStyle name="Normal 2 10 4" xfId="115"/>
    <cellStyle name="Normal 2 10 4 2" xfId="116"/>
    <cellStyle name="Normal 2 10 5" xfId="117"/>
    <cellStyle name="Normal 2 10 5 2" xfId="118"/>
    <cellStyle name="Normal 2 10 6" xfId="119"/>
    <cellStyle name="Normal 2 10 6 2" xfId="120"/>
    <cellStyle name="Normal 2 10 7" xfId="121"/>
    <cellStyle name="Normal 2 10 7 2" xfId="122"/>
    <cellStyle name="Normal 2 10 8" xfId="123"/>
    <cellStyle name="Normal 2 10 8 2" xfId="124"/>
    <cellStyle name="Normal 2 10 9" xfId="125"/>
    <cellStyle name="Normal 2 11" xfId="126"/>
    <cellStyle name="Normal 2 11 10" xfId="127"/>
    <cellStyle name="Normal 2 11 11" xfId="128"/>
    <cellStyle name="Normal 2 11 2" xfId="129"/>
    <cellStyle name="Normal 2 11 2 2" xfId="130"/>
    <cellStyle name="Normal 2 11 3" xfId="131"/>
    <cellStyle name="Normal 2 11 3 2" xfId="132"/>
    <cellStyle name="Normal 2 11 4" xfId="133"/>
    <cellStyle name="Normal 2 11 4 2" xfId="134"/>
    <cellStyle name="Normal 2 11 5" xfId="135"/>
    <cellStyle name="Normal 2 11 5 2" xfId="136"/>
    <cellStyle name="Normal 2 11 6" xfId="137"/>
    <cellStyle name="Normal 2 11 6 2" xfId="138"/>
    <cellStyle name="Normal 2 11 7" xfId="139"/>
    <cellStyle name="Normal 2 11 7 2" xfId="140"/>
    <cellStyle name="Normal 2 11 8" xfId="141"/>
    <cellStyle name="Normal 2 11 8 2" xfId="142"/>
    <cellStyle name="Normal 2 11 9" xfId="143"/>
    <cellStyle name="Normal 2 12" xfId="144"/>
    <cellStyle name="Normal 2 13" xfId="145"/>
    <cellStyle name="Normal 2 14" xfId="146"/>
    <cellStyle name="Normal 2 15" xfId="147"/>
    <cellStyle name="Normal 2 16" xfId="148"/>
    <cellStyle name="Normal 2 2" xfId="149"/>
    <cellStyle name="Normal 2 2 10" xfId="150"/>
    <cellStyle name="Normal 2 2 10 2" xfId="151"/>
    <cellStyle name="Normal 2 2 11" xfId="152"/>
    <cellStyle name="Normal 2 2 11 2" xfId="153"/>
    <cellStyle name="Normal 2 2 12" xfId="154"/>
    <cellStyle name="Normal 2 2 12 2" xfId="155"/>
    <cellStyle name="Normal 2 2 12 2 2" xfId="156"/>
    <cellStyle name="Normal 2 2 12 2 3" xfId="157"/>
    <cellStyle name="Normal 2 2 12 3" xfId="158"/>
    <cellStyle name="Normal 2 2 12 4" xfId="159"/>
    <cellStyle name="Normal 2 2 13" xfId="160"/>
    <cellStyle name="Normal 2 2 13 2" xfId="161"/>
    <cellStyle name="Normal 2 2 13 2 2" xfId="162"/>
    <cellStyle name="Normal 2 2 13 2 3" xfId="163"/>
    <cellStyle name="Normal 2 2 13 3" xfId="164"/>
    <cellStyle name="Normal 2 2 13 4" xfId="165"/>
    <cellStyle name="Normal 2 2 14" xfId="166"/>
    <cellStyle name="Normal 2 2 14 2" xfId="167"/>
    <cellStyle name="Normal 2 2 15" xfId="168"/>
    <cellStyle name="Normal 2 2 15 2" xfId="169"/>
    <cellStyle name="Normal 2 2 16" xfId="170"/>
    <cellStyle name="Normal 2 2 16 2" xfId="171"/>
    <cellStyle name="Normal 2 2 16 3" xfId="172"/>
    <cellStyle name="Normal 2 2 17" xfId="173"/>
    <cellStyle name="Normal 2 2 18" xfId="174"/>
    <cellStyle name="Normal 2 2 19" xfId="175"/>
    <cellStyle name="Normal 2 2 2" xfId="176"/>
    <cellStyle name="Normal 2 2 2 2" xfId="177"/>
    <cellStyle name="Normal 2 2 2 2 2" xfId="178"/>
    <cellStyle name="Normal 2 2 2 2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8" xfId="189"/>
    <cellStyle name="Normal 2 2 20" xfId="190"/>
    <cellStyle name="Normal 2 2 21" xfId="191"/>
    <cellStyle name="Normal 2 2 3" xfId="192"/>
    <cellStyle name="Normal 2 2 3 2" xfId="193"/>
    <cellStyle name="Normal 2 2 4" xfId="194"/>
    <cellStyle name="Normal 2 2 4 2" xfId="195"/>
    <cellStyle name="Normal 2 2 5" xfId="196"/>
    <cellStyle name="Normal 2 2 5 2" xfId="197"/>
    <cellStyle name="Normal 2 2 6" xfId="198"/>
    <cellStyle name="Normal 2 2 6 2" xfId="199"/>
    <cellStyle name="Normal 2 2 7" xfId="200"/>
    <cellStyle name="Normal 2 2 7 2" xfId="201"/>
    <cellStyle name="Normal 2 2 8" xfId="202"/>
    <cellStyle name="Normal 2 2 8 2" xfId="203"/>
    <cellStyle name="Normal 2 2 9" xfId="204"/>
    <cellStyle name="Normal 2 2 9 2" xfId="205"/>
    <cellStyle name="Normal 2 3" xfId="206"/>
    <cellStyle name="Normal 2 3 10" xfId="207"/>
    <cellStyle name="Normal 2 3 11" xfId="208"/>
    <cellStyle name="Normal 2 3 12" xfId="209"/>
    <cellStyle name="Normal 2 3 13" xfId="210"/>
    <cellStyle name="Normal 2 3 14" xfId="211"/>
    <cellStyle name="Normal 2 3 15" xfId="212"/>
    <cellStyle name="Normal 2 3 2" xfId="213"/>
    <cellStyle name="Normal 2 3 2 2" xfId="214"/>
    <cellStyle name="Normal 2 3 2 2 2" xfId="215"/>
    <cellStyle name="Normal 2 3 2 2 3" xfId="216"/>
    <cellStyle name="Normal 2 3 2 3" xfId="217"/>
    <cellStyle name="Normal 2 3 2 4" xfId="218"/>
    <cellStyle name="Normal 2 3 2 5" xfId="219"/>
    <cellStyle name="Normal 2 3 3" xfId="220"/>
    <cellStyle name="Normal 2 3 3 2" xfId="221"/>
    <cellStyle name="Normal 2 3 3 3"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12" xfId="232"/>
    <cellStyle name="Normal 2 4 13" xfId="233"/>
    <cellStyle name="Normal 2 4 2" xfId="234"/>
    <cellStyle name="Normal 2 4 2 2" xfId="235"/>
    <cellStyle name="Normal 2 4 2 2 2" xfId="236"/>
    <cellStyle name="Normal 2 4 2 2 3" xfId="237"/>
    <cellStyle name="Normal 2 4 2 3" xfId="238"/>
    <cellStyle name="Normal 2 4 2 4" xfId="239"/>
    <cellStyle name="Normal 2 4 2 5" xfId="240"/>
    <cellStyle name="Normal 2 4 3" xfId="241"/>
    <cellStyle name="Normal 2 4 3 2" xfId="242"/>
    <cellStyle name="Normal 2 4 3 3" xfId="243"/>
    <cellStyle name="Normal 2 4 4" xfId="244"/>
    <cellStyle name="Normal 2 4 5" xfId="245"/>
    <cellStyle name="Normal 2 4 6" xfId="246"/>
    <cellStyle name="Normal 2 4 7" xfId="247"/>
    <cellStyle name="Normal 2 4 8" xfId="248"/>
    <cellStyle name="Normal 2 4 9" xfId="249"/>
    <cellStyle name="Normal 2 5" xfId="250"/>
    <cellStyle name="Normal 2 5 10" xfId="251"/>
    <cellStyle name="Normal 2 5 11" xfId="252"/>
    <cellStyle name="Normal 2 5 12" xfId="253"/>
    <cellStyle name="Normal 2 5 12 2" xfId="254"/>
    <cellStyle name="Normal 2 5 2" xfId="255"/>
    <cellStyle name="Normal 2 5 2 2" xfId="256"/>
    <cellStyle name="Normal 2 5 3" xfId="257"/>
    <cellStyle name="Normal 2 5 3 2" xfId="258"/>
    <cellStyle name="Normal 2 5 4" xfId="259"/>
    <cellStyle name="Normal 2 5 5" xfId="260"/>
    <cellStyle name="Normal 2 5 6" xfId="261"/>
    <cellStyle name="Normal 2 5 7" xfId="262"/>
    <cellStyle name="Normal 2 5 8" xfId="263"/>
    <cellStyle name="Normal 2 5 9" xfId="264"/>
    <cellStyle name="Normal 2 6" xfId="265"/>
    <cellStyle name="Normal 2 6 10" xfId="266"/>
    <cellStyle name="Normal 2 6 11" xfId="267"/>
    <cellStyle name="Normal 2 6 12" xfId="268"/>
    <cellStyle name="Normal 2 6 2" xfId="269"/>
    <cellStyle name="Normal 2 6 2 2" xfId="270"/>
    <cellStyle name="Normal 2 6 3" xfId="271"/>
    <cellStyle name="Normal 2 6 3 2" xfId="272"/>
    <cellStyle name="Normal 2 6 4" xfId="273"/>
    <cellStyle name="Normal 2 6 5" xfId="274"/>
    <cellStyle name="Normal 2 6 6" xfId="275"/>
    <cellStyle name="Normal 2 6 7" xfId="276"/>
    <cellStyle name="Normal 2 6 8" xfId="277"/>
    <cellStyle name="Normal 2 6 9" xfId="278"/>
    <cellStyle name="Normal 2 7" xfId="279"/>
    <cellStyle name="Normal 2 7 10" xfId="280"/>
    <cellStyle name="Normal 2 7 2" xfId="281"/>
    <cellStyle name="Normal 2 7 2 2" xfId="282"/>
    <cellStyle name="Normal 2 7 2 3" xfId="283"/>
    <cellStyle name="Normal 2 7 3" xfId="284"/>
    <cellStyle name="Normal 2 7 3 2" xfId="285"/>
    <cellStyle name="Normal 2 7 4" xfId="286"/>
    <cellStyle name="Normal 2 7 4 2" xfId="287"/>
    <cellStyle name="Normal 2 7 5" xfId="288"/>
    <cellStyle name="Normal 2 7 5 2" xfId="289"/>
    <cellStyle name="Normal 2 7 6" xfId="290"/>
    <cellStyle name="Normal 2 7 6 2" xfId="291"/>
    <cellStyle name="Normal 2 7 7" xfId="292"/>
    <cellStyle name="Normal 2 7 7 2" xfId="293"/>
    <cellStyle name="Normal 2 7 8" xfId="294"/>
    <cellStyle name="Normal 2 7 8 2" xfId="295"/>
    <cellStyle name="Normal 2 7 9" xfId="296"/>
    <cellStyle name="Normal 2 8" xfId="297"/>
    <cellStyle name="Normal 2 8 10" xfId="298"/>
    <cellStyle name="Normal 2 8 11" xfId="299"/>
    <cellStyle name="Normal 2 8 2" xfId="300"/>
    <cellStyle name="Normal 2 8 2 2" xfId="301"/>
    <cellStyle name="Normal 2 8 3" xfId="302"/>
    <cellStyle name="Normal 2 8 3 2" xfId="303"/>
    <cellStyle name="Normal 2 8 4" xfId="304"/>
    <cellStyle name="Normal 2 8 4 2" xfId="305"/>
    <cellStyle name="Normal 2 8 5" xfId="306"/>
    <cellStyle name="Normal 2 8 5 2" xfId="307"/>
    <cellStyle name="Normal 2 8 6" xfId="308"/>
    <cellStyle name="Normal 2 8 6 2" xfId="309"/>
    <cellStyle name="Normal 2 8 7" xfId="310"/>
    <cellStyle name="Normal 2 8 7 2" xfId="311"/>
    <cellStyle name="Normal 2 8 8" xfId="312"/>
    <cellStyle name="Normal 2 8 8 2" xfId="313"/>
    <cellStyle name="Normal 2 8 9" xfId="314"/>
    <cellStyle name="Normal 2 9" xfId="315"/>
    <cellStyle name="Normal 2 9 10" xfId="316"/>
    <cellStyle name="Normal 2 9 11"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1 2" xfId="337"/>
    <cellStyle name="Normal 22" xfId="338"/>
    <cellStyle name="Normal 22 2" xfId="339"/>
    <cellStyle name="Normal 22 3" xfId="340"/>
    <cellStyle name="Normal 23" xfId="341"/>
    <cellStyle name="Normal 23 2" xfId="342"/>
    <cellStyle name="Normal 23 3" xfId="343"/>
    <cellStyle name="Normal 24" xfId="344"/>
    <cellStyle name="Normal 24 2" xfId="345"/>
    <cellStyle name="Normal 24 3" xfId="346"/>
    <cellStyle name="Normal 25" xfId="347"/>
    <cellStyle name="Normal 25 2" xfId="348"/>
    <cellStyle name="Normal 25 3" xfId="349"/>
    <cellStyle name="Normal 26" xfId="350"/>
    <cellStyle name="Normal 3" xfId="351"/>
    <cellStyle name="Normal 3 2" xfId="352"/>
    <cellStyle name="Normal 3 2 2" xfId="353"/>
    <cellStyle name="Normal 3 2 2 2" xfId="354"/>
    <cellStyle name="Normal 3 2 2 3" xfId="355"/>
    <cellStyle name="Normal 3 2 3" xfId="356"/>
    <cellStyle name="Normal 3 2 4" xfId="357"/>
    <cellStyle name="Normal 3 2 5" xfId="358"/>
    <cellStyle name="Normal 3 3" xfId="359"/>
    <cellStyle name="Normal 3 3 2" xfId="360"/>
    <cellStyle name="Normal 3 3 2 2" xfId="361"/>
    <cellStyle name="Normal 3 3 2 3" xfId="362"/>
    <cellStyle name="Normal 3 3 3" xfId="363"/>
    <cellStyle name="Normal 3 3 4" xfId="364"/>
    <cellStyle name="Normal 3 4" xfId="365"/>
    <cellStyle name="Normal 3 5" xfId="366"/>
    <cellStyle name="Normal 3 6" xfId="367"/>
    <cellStyle name="Normal 3 7" xfId="368"/>
    <cellStyle name="Normal 3 8" xfId="369"/>
    <cellStyle name="Normal 3 9" xfId="370"/>
    <cellStyle name="Normal 4" xfId="371"/>
    <cellStyle name="Normal 4 2" xfId="372"/>
    <cellStyle name="Normal 4 2 2" xfId="373"/>
    <cellStyle name="Normal 4 2 2 2" xfId="374"/>
    <cellStyle name="Normal 4 2 3" xfId="375"/>
    <cellStyle name="Normal 4 2 4" xfId="376"/>
    <cellStyle name="Normal 4 3" xfId="377"/>
    <cellStyle name="Normal 4 3 2" xfId="378"/>
    <cellStyle name="Normal 4 3 3" xfId="379"/>
    <cellStyle name="Normal 4 4" xfId="380"/>
    <cellStyle name="Normal 4 5" xfId="381"/>
    <cellStyle name="Normal 4 6" xfId="382"/>
    <cellStyle name="Normal 5 2" xfId="383"/>
    <cellStyle name="Normal 5 3" xfId="384"/>
    <cellStyle name="Normal 5 3 2" xfId="385"/>
    <cellStyle name="Normal 5 3 3" xfId="386"/>
    <cellStyle name="Normal 5 4" xfId="387"/>
    <cellStyle name="Normal 5 5" xfId="388"/>
    <cellStyle name="Normal 5 5 2" xfId="389"/>
    <cellStyle name="Normal 6" xfId="390"/>
    <cellStyle name="Normal 6 2" xfId="391"/>
    <cellStyle name="Normal 6 3" xfId="392"/>
    <cellStyle name="Normal 6 4" xfId="393"/>
    <cellStyle name="Normal 6 5" xfId="394"/>
    <cellStyle name="Normal 7 2" xfId="395"/>
    <cellStyle name="Normal 7 2 2" xfId="396"/>
    <cellStyle name="Normal 7 2 2 2" xfId="397"/>
    <cellStyle name="Normal 7 2 3" xfId="398"/>
    <cellStyle name="Normal 7 2 4" xfId="399"/>
    <cellStyle name="Normal 7 2 5" xfId="400"/>
    <cellStyle name="Normal 7 3" xfId="401"/>
    <cellStyle name="Normal 7 4" xfId="402"/>
    <cellStyle name="Normal 7 4 2" xfId="403"/>
    <cellStyle name="Normal 7 4 3" xfId="404"/>
    <cellStyle name="Normal 7 5" xfId="405"/>
    <cellStyle name="Normal 7 5 2" xfId="406"/>
    <cellStyle name="Normal 7 5 3" xfId="407"/>
    <cellStyle name="Normal 7 5 4" xfId="408"/>
    <cellStyle name="Normal 7 6" xfId="409"/>
    <cellStyle name="Normal 7 7" xfId="410"/>
    <cellStyle name="Normal 8 2" xfId="411"/>
    <cellStyle name="Normal 9" xfId="412"/>
    <cellStyle name="Normal 9 2" xfId="413"/>
    <cellStyle name="Normal 9 2 2" xfId="414"/>
    <cellStyle name="Normal 9 3" xfId="415"/>
    <cellStyle name="Normal 9 4" xfId="416"/>
    <cellStyle name="Normal 9 5" xfId="417"/>
    <cellStyle name="Normal 9 6" xfId="418"/>
    <cellStyle name="Normal_debt" xfId="419"/>
    <cellStyle name="Normal_lpform" xfId="420"/>
  </cellStyles>
  <dxfs count="300">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6"/>
  <sheetViews>
    <sheetView topLeftCell="A100" zoomScale="80" workbookViewId="0">
      <selection activeCell="L18" sqref="L18"/>
    </sheetView>
  </sheetViews>
  <sheetFormatPr defaultColWidth="8.88671875" defaultRowHeight="15.75"/>
  <cols>
    <col min="1" max="1" width="75.77734375" style="68" customWidth="1"/>
    <col min="2" max="16384" width="8.88671875" style="68"/>
  </cols>
  <sheetData>
    <row r="1" spans="1:1">
      <c r="A1" s="67" t="s">
        <v>175</v>
      </c>
    </row>
    <row r="3" spans="1:1" ht="39.75" customHeight="1">
      <c r="A3" s="2" t="s">
        <v>981</v>
      </c>
    </row>
    <row r="4" spans="1:1">
      <c r="A4" s="69"/>
    </row>
    <row r="5" spans="1:1" ht="49.5" customHeight="1">
      <c r="A5" s="70" t="s">
        <v>176</v>
      </c>
    </row>
    <row r="6" spans="1:1">
      <c r="A6" s="70"/>
    </row>
    <row r="7" spans="1:1" ht="85.5" customHeight="1">
      <c r="A7" s="70" t="s">
        <v>931</v>
      </c>
    </row>
    <row r="8" spans="1:1">
      <c r="A8" s="70"/>
    </row>
    <row r="9" spans="1:1" ht="32.25" customHeight="1">
      <c r="A9" s="70" t="s">
        <v>136</v>
      </c>
    </row>
    <row r="11" spans="1:1" ht="51" customHeight="1">
      <c r="A11" s="70" t="s">
        <v>239</v>
      </c>
    </row>
    <row r="13" spans="1:1">
      <c r="A13" s="67" t="s">
        <v>185</v>
      </c>
    </row>
    <row r="14" spans="1:1">
      <c r="A14" s="67"/>
    </row>
    <row r="15" spans="1:1">
      <c r="A15" s="69" t="s">
        <v>186</v>
      </c>
    </row>
    <row r="17" spans="1:1" ht="43.5" customHeight="1">
      <c r="A17" s="71" t="s">
        <v>341</v>
      </c>
    </row>
    <row r="18" spans="1:1" ht="9" customHeight="1">
      <c r="A18" s="71"/>
    </row>
    <row r="20" spans="1:1">
      <c r="A20" s="67" t="s">
        <v>254</v>
      </c>
    </row>
    <row r="22" spans="1:1" ht="31.5">
      <c r="A22" s="70" t="s">
        <v>137</v>
      </c>
    </row>
    <row r="23" spans="1:1">
      <c r="A23" s="70"/>
    </row>
    <row r="24" spans="1:1">
      <c r="A24" s="72" t="s">
        <v>138</v>
      </c>
    </row>
    <row r="25" spans="1:1" ht="12" customHeight="1">
      <c r="A25" s="70"/>
    </row>
    <row r="26" spans="1:1">
      <c r="A26" s="73" t="s">
        <v>60</v>
      </c>
    </row>
    <row r="27" spans="1:1">
      <c r="A27" s="74"/>
    </row>
    <row r="28" spans="1:1" ht="84.75" customHeight="1">
      <c r="A28" s="75" t="s">
        <v>157</v>
      </c>
    </row>
    <row r="29" spans="1:1" ht="12.75" customHeight="1">
      <c r="A29" s="76"/>
    </row>
    <row r="30" spans="1:1">
      <c r="A30" s="77" t="s">
        <v>139</v>
      </c>
    </row>
    <row r="31" spans="1:1">
      <c r="A31" s="76"/>
    </row>
    <row r="32" spans="1:1">
      <c r="A32" s="78" t="s">
        <v>184</v>
      </c>
    </row>
    <row r="33" spans="1:1">
      <c r="A33" s="76"/>
    </row>
    <row r="34" spans="1:1">
      <c r="A34" s="70" t="s">
        <v>340</v>
      </c>
    </row>
    <row r="36" spans="1:1">
      <c r="A36" s="67" t="s">
        <v>0</v>
      </c>
    </row>
    <row r="38" spans="1:1" ht="66.75" customHeight="1">
      <c r="A38" s="70" t="s">
        <v>754</v>
      </c>
    </row>
    <row r="39" spans="1:1" ht="35.25" customHeight="1">
      <c r="A39" s="70" t="s">
        <v>78</v>
      </c>
    </row>
    <row r="40" spans="1:1" ht="41.25" customHeight="1">
      <c r="A40" s="70" t="s">
        <v>246</v>
      </c>
    </row>
    <row r="41" spans="1:1" ht="53.25" customHeight="1">
      <c r="A41" s="79" t="s">
        <v>247</v>
      </c>
    </row>
    <row r="43" spans="1:1" ht="84" customHeight="1">
      <c r="A43" s="70" t="s">
        <v>755</v>
      </c>
    </row>
    <row r="44" spans="1:1" ht="53.25" customHeight="1">
      <c r="A44" s="70" t="s">
        <v>140</v>
      </c>
    </row>
    <row r="45" spans="1:1" ht="98.25" customHeight="1">
      <c r="A45" s="70" t="s">
        <v>240</v>
      </c>
    </row>
    <row r="46" spans="1:1" ht="15.75" customHeight="1">
      <c r="A46" s="70"/>
    </row>
    <row r="47" spans="1:1" ht="75.75" customHeight="1">
      <c r="A47" s="767" t="s">
        <v>932</v>
      </c>
    </row>
    <row r="48" spans="1:1" ht="68.25" customHeight="1">
      <c r="A48" s="424" t="s">
        <v>628</v>
      </c>
    </row>
    <row r="49" spans="1:1" ht="68.25" customHeight="1">
      <c r="A49" s="768" t="s">
        <v>933</v>
      </c>
    </row>
    <row r="50" spans="1:1" ht="13.5" customHeight="1">
      <c r="A50"/>
    </row>
    <row r="51" spans="1:1" ht="70.5" customHeight="1">
      <c r="A51" s="70" t="s">
        <v>629</v>
      </c>
    </row>
    <row r="52" spans="1:1" ht="39.75" customHeight="1">
      <c r="A52" s="70" t="s">
        <v>630</v>
      </c>
    </row>
    <row r="53" spans="1:1" ht="84.75" customHeight="1">
      <c r="A53" s="70" t="s">
        <v>631</v>
      </c>
    </row>
    <row r="54" spans="1:1" ht="29.25" customHeight="1">
      <c r="A54" s="551" t="s">
        <v>756</v>
      </c>
    </row>
    <row r="55" spans="1:1" ht="102" customHeight="1">
      <c r="A55" s="551" t="s">
        <v>968</v>
      </c>
    </row>
    <row r="56" spans="1:1" ht="13.5" customHeight="1">
      <c r="A56" s="70"/>
    </row>
    <row r="57" spans="1:1" ht="75" customHeight="1">
      <c r="A57" s="70" t="s">
        <v>934</v>
      </c>
    </row>
    <row r="58" spans="1:1" ht="117" customHeight="1">
      <c r="A58" s="70" t="s">
        <v>632</v>
      </c>
    </row>
    <row r="59" spans="1:1" ht="57.75" customHeight="1">
      <c r="A59" s="70" t="s">
        <v>633</v>
      </c>
    </row>
    <row r="60" spans="1:1" ht="8.25" customHeight="1">
      <c r="A60" s="70"/>
    </row>
    <row r="61" spans="1:1" ht="73.5" customHeight="1">
      <c r="A61" s="769" t="s">
        <v>935</v>
      </c>
    </row>
    <row r="62" spans="1:1" ht="15.75" customHeight="1">
      <c r="A62"/>
    </row>
    <row r="63" spans="1:1" ht="78.75" customHeight="1">
      <c r="A63" s="70" t="s">
        <v>634</v>
      </c>
    </row>
    <row r="64" spans="1:1" ht="36" customHeight="1">
      <c r="A64" s="70" t="s">
        <v>641</v>
      </c>
    </row>
    <row r="65" spans="1:1" ht="86.25" customHeight="1">
      <c r="A65" s="70" t="s">
        <v>642</v>
      </c>
    </row>
    <row r="66" spans="1:1" s="70" customFormat="1" ht="32.25" customHeight="1">
      <c r="A66" s="423" t="s">
        <v>643</v>
      </c>
    </row>
    <row r="67" spans="1:1" ht="6" customHeight="1">
      <c r="A67"/>
    </row>
    <row r="68" spans="1:1" ht="67.5" customHeight="1">
      <c r="A68" s="70" t="s">
        <v>635</v>
      </c>
    </row>
    <row r="69" spans="1:1" ht="7.5" customHeight="1"/>
    <row r="70" spans="1:1" ht="79.5" customHeight="1">
      <c r="A70" s="70" t="s">
        <v>636</v>
      </c>
    </row>
    <row r="71" spans="1:1" ht="14.25" customHeight="1">
      <c r="A71"/>
    </row>
    <row r="72" spans="1:1" ht="159.75" customHeight="1">
      <c r="A72" s="769" t="s">
        <v>936</v>
      </c>
    </row>
    <row r="73" spans="1:1" ht="105" customHeight="1">
      <c r="A73" s="70" t="s">
        <v>937</v>
      </c>
    </row>
    <row r="74" spans="1:1" ht="80.25" customHeight="1">
      <c r="A74" s="769" t="s">
        <v>938</v>
      </c>
    </row>
    <row r="75" spans="1:1" ht="100.5" customHeight="1">
      <c r="A75" s="770" t="s">
        <v>939</v>
      </c>
    </row>
    <row r="76" spans="1:1" ht="90" customHeight="1">
      <c r="A76" s="770" t="s">
        <v>940</v>
      </c>
    </row>
    <row r="77" spans="1:1" ht="99.75" customHeight="1">
      <c r="A77" s="770" t="s">
        <v>941</v>
      </c>
    </row>
    <row r="78" spans="1:1" ht="135" customHeight="1">
      <c r="A78" s="70" t="s">
        <v>942</v>
      </c>
    </row>
    <row r="79" spans="1:1" ht="106.5" customHeight="1">
      <c r="A79" s="769" t="s">
        <v>943</v>
      </c>
    </row>
    <row r="80" spans="1:1" ht="140.25" customHeight="1">
      <c r="A80" s="70" t="s">
        <v>944</v>
      </c>
    </row>
    <row r="81" spans="1:1" ht="133.5" customHeight="1">
      <c r="A81" s="70" t="s">
        <v>945</v>
      </c>
    </row>
    <row r="82" spans="1:1" ht="70.5" customHeight="1">
      <c r="A82" s="70" t="s">
        <v>946</v>
      </c>
    </row>
    <row r="83" spans="1:1" ht="110.25" customHeight="1">
      <c r="A83" s="70" t="s">
        <v>947</v>
      </c>
    </row>
    <row r="84" spans="1:1" ht="60" customHeight="1">
      <c r="A84" s="70" t="s">
        <v>948</v>
      </c>
    </row>
    <row r="85" spans="1:1" ht="105.75" customHeight="1">
      <c r="A85" s="70" t="s">
        <v>949</v>
      </c>
    </row>
    <row r="86" spans="1:1" ht="114.75" customHeight="1">
      <c r="A86" s="552" t="s">
        <v>950</v>
      </c>
    </row>
    <row r="87" spans="1:1" ht="126.75" customHeight="1">
      <c r="A87" s="553" t="s">
        <v>951</v>
      </c>
    </row>
    <row r="88" spans="1:1" ht="64.5" customHeight="1">
      <c r="A88" s="554" t="s">
        <v>952</v>
      </c>
    </row>
    <row r="89" spans="1:1" ht="85.5" customHeight="1">
      <c r="A89" s="769" t="s">
        <v>953</v>
      </c>
    </row>
    <row r="90" spans="1:1" ht="63" customHeight="1">
      <c r="A90" s="771" t="s">
        <v>637</v>
      </c>
    </row>
    <row r="91" spans="1:1" ht="41.25" customHeight="1">
      <c r="A91" s="770" t="s">
        <v>954</v>
      </c>
    </row>
    <row r="92" spans="1:1" ht="129.75" customHeight="1">
      <c r="A92" s="770" t="s">
        <v>955</v>
      </c>
    </row>
    <row r="93" spans="1:1" ht="99" customHeight="1">
      <c r="A93" s="770" t="s">
        <v>956</v>
      </c>
    </row>
    <row r="94" spans="1:1" ht="92.25" customHeight="1">
      <c r="A94" s="772" t="s">
        <v>957</v>
      </c>
    </row>
    <row r="95" spans="1:1" ht="117.75" customHeight="1">
      <c r="A95" s="773" t="s">
        <v>958</v>
      </c>
    </row>
    <row r="96" spans="1:1" ht="23.25" customHeight="1"/>
    <row r="97" spans="1:1" ht="156" customHeight="1">
      <c r="A97" s="70" t="s">
        <v>959</v>
      </c>
    </row>
    <row r="98" spans="1:1" ht="136.5" customHeight="1">
      <c r="A98" s="70" t="s">
        <v>960</v>
      </c>
    </row>
    <row r="99" spans="1:1" ht="69.75" customHeight="1">
      <c r="A99" s="70" t="s">
        <v>961</v>
      </c>
    </row>
    <row r="100" spans="1:1" ht="41.25" customHeight="1">
      <c r="A100" s="70" t="s">
        <v>962</v>
      </c>
    </row>
    <row r="101" spans="1:1" ht="12.75" customHeight="1"/>
    <row r="102" spans="1:1" ht="80.25" customHeight="1">
      <c r="A102" s="769" t="s">
        <v>963</v>
      </c>
    </row>
    <row r="103" spans="1:1" ht="15.75" customHeight="1">
      <c r="A103" s="774"/>
    </row>
    <row r="104" spans="1:1" ht="75.75" customHeight="1">
      <c r="A104" s="770" t="s">
        <v>964</v>
      </c>
    </row>
    <row r="105" spans="1:1" ht="123" customHeight="1">
      <c r="A105" s="770" t="s">
        <v>965</v>
      </c>
    </row>
    <row r="106" spans="1:1" ht="118.5" customHeight="1">
      <c r="A106" s="770" t="s">
        <v>966</v>
      </c>
    </row>
  </sheetData>
  <sheetProtection sheet="1"/>
  <phoneticPr fontId="0" type="noConversion"/>
  <pageMargins left="0.5" right="0.5" top="0.5" bottom="0.5" header="0.5" footer="0"/>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workbookViewId="0">
      <selection activeCell="G43" sqref="G43"/>
    </sheetView>
  </sheetViews>
  <sheetFormatPr defaultColWidth="8.88671875" defaultRowHeight="15.75"/>
  <cols>
    <col min="1" max="1" width="3.44140625" style="3" customWidth="1"/>
    <col min="2" max="2" width="22.33203125" style="3" customWidth="1"/>
    <col min="3" max="3" width="9.44140625" style="3" customWidth="1"/>
    <col min="4" max="4" width="9.21875" style="3" customWidth="1"/>
    <col min="5" max="5" width="8.109375" style="3" customWidth="1"/>
    <col min="6" max="6" width="12.77734375" style="3" customWidth="1"/>
    <col min="7" max="7" width="13.21875" style="3" customWidth="1"/>
    <col min="8" max="13" width="9.77734375" style="3" customWidth="1"/>
    <col min="14" max="16384" width="8.88671875" style="3"/>
  </cols>
  <sheetData>
    <row r="1" spans="2:13">
      <c r="B1" s="14" t="str">
        <f>inputPrYr!$D$3</f>
        <v>City of Bonner Springs</v>
      </c>
      <c r="C1" s="6"/>
      <c r="D1" s="6"/>
      <c r="E1" s="6"/>
      <c r="F1" s="6"/>
      <c r="G1" s="6"/>
      <c r="H1" s="6"/>
      <c r="I1" s="6"/>
      <c r="J1" s="6"/>
      <c r="K1" s="6"/>
      <c r="L1" s="6"/>
      <c r="M1" s="29">
        <f>inputPrYr!$C$10</f>
        <v>2014</v>
      </c>
    </row>
    <row r="2" spans="2:13">
      <c r="B2" s="14"/>
      <c r="C2" s="6"/>
      <c r="D2" s="6"/>
      <c r="E2" s="6"/>
      <c r="F2" s="6"/>
      <c r="G2" s="6"/>
      <c r="H2" s="6"/>
      <c r="I2" s="6"/>
      <c r="J2" s="6"/>
      <c r="K2" s="6"/>
      <c r="L2" s="6"/>
      <c r="M2" s="8"/>
    </row>
    <row r="3" spans="2:13">
      <c r="B3" s="15" t="s">
        <v>8</v>
      </c>
      <c r="C3" s="10"/>
      <c r="D3" s="10"/>
      <c r="E3" s="10"/>
      <c r="F3" s="10"/>
      <c r="G3" s="10"/>
      <c r="H3" s="10"/>
      <c r="I3" s="10"/>
      <c r="J3" s="10"/>
      <c r="K3" s="10"/>
      <c r="L3" s="10"/>
      <c r="M3" s="10"/>
    </row>
    <row r="4" spans="2:13">
      <c r="B4" s="6"/>
      <c r="C4" s="26"/>
      <c r="D4" s="26"/>
      <c r="E4" s="26"/>
      <c r="F4" s="26"/>
      <c r="G4" s="26"/>
      <c r="H4" s="26"/>
      <c r="I4" s="26"/>
      <c r="J4" s="26"/>
      <c r="K4" s="26"/>
      <c r="L4" s="26"/>
      <c r="M4" s="26"/>
    </row>
    <row r="5" spans="2:13">
      <c r="B5" s="647"/>
      <c r="C5" s="16" t="s">
        <v>317</v>
      </c>
      <c r="D5" s="16" t="s">
        <v>317</v>
      </c>
      <c r="E5" s="16" t="s">
        <v>331</v>
      </c>
      <c r="F5" s="16"/>
      <c r="G5" s="65" t="s">
        <v>100</v>
      </c>
      <c r="H5" s="6"/>
      <c r="I5" s="6"/>
      <c r="J5" s="18" t="s">
        <v>318</v>
      </c>
      <c r="K5" s="17"/>
      <c r="L5" s="18" t="s">
        <v>318</v>
      </c>
      <c r="M5" s="17"/>
    </row>
    <row r="6" spans="2:13">
      <c r="B6" s="19" t="s">
        <v>863</v>
      </c>
      <c r="C6" s="19" t="s">
        <v>319</v>
      </c>
      <c r="D6" s="19" t="s">
        <v>101</v>
      </c>
      <c r="E6" s="19" t="s">
        <v>320</v>
      </c>
      <c r="F6" s="19" t="s">
        <v>275</v>
      </c>
      <c r="G6" s="66" t="s">
        <v>102</v>
      </c>
      <c r="H6" s="902" t="s">
        <v>321</v>
      </c>
      <c r="I6" s="903"/>
      <c r="J6" s="904">
        <f>M1-1</f>
        <v>2013</v>
      </c>
      <c r="K6" s="905"/>
      <c r="L6" s="904">
        <f>M1</f>
        <v>2014</v>
      </c>
      <c r="M6" s="905"/>
    </row>
    <row r="7" spans="2:13">
      <c r="B7" s="20" t="s">
        <v>864</v>
      </c>
      <c r="C7" s="20" t="s">
        <v>322</v>
      </c>
      <c r="D7" s="20" t="s">
        <v>103</v>
      </c>
      <c r="E7" s="20" t="s">
        <v>297</v>
      </c>
      <c r="F7" s="20" t="s">
        <v>323</v>
      </c>
      <c r="G7" s="34" t="str">
        <f>CONCATENATE("Jan 1,",M1-1,"")</f>
        <v>Jan 1,2013</v>
      </c>
      <c r="H7" s="21" t="s">
        <v>331</v>
      </c>
      <c r="I7" s="21" t="s">
        <v>333</v>
      </c>
      <c r="J7" s="21" t="s">
        <v>331</v>
      </c>
      <c r="K7" s="21" t="s">
        <v>333</v>
      </c>
      <c r="L7" s="21" t="s">
        <v>331</v>
      </c>
      <c r="M7" s="21" t="s">
        <v>333</v>
      </c>
    </row>
    <row r="8" spans="2:13">
      <c r="B8" s="22" t="s">
        <v>324</v>
      </c>
      <c r="C8" s="13"/>
      <c r="D8" s="13"/>
      <c r="E8" s="23"/>
      <c r="F8" s="24"/>
      <c r="G8" s="24"/>
      <c r="H8" s="13"/>
      <c r="I8" s="13"/>
      <c r="J8" s="24"/>
      <c r="K8" s="24"/>
      <c r="L8" s="24"/>
      <c r="M8" s="24"/>
    </row>
    <row r="9" spans="2:13">
      <c r="B9" s="4" t="s">
        <v>1096</v>
      </c>
      <c r="C9" s="429">
        <v>38047</v>
      </c>
      <c r="D9" s="429">
        <v>45536</v>
      </c>
      <c r="E9" s="38" t="s">
        <v>1104</v>
      </c>
      <c r="F9" s="39">
        <v>1400000</v>
      </c>
      <c r="G9" s="40">
        <v>975000</v>
      </c>
      <c r="H9" s="41" t="s">
        <v>1105</v>
      </c>
      <c r="I9" s="41">
        <v>41518</v>
      </c>
      <c r="J9" s="40">
        <v>41412</v>
      </c>
      <c r="K9" s="40">
        <v>65000</v>
      </c>
      <c r="L9" s="40">
        <v>39105</v>
      </c>
      <c r="M9" s="40">
        <v>70000</v>
      </c>
    </row>
    <row r="10" spans="2:13">
      <c r="B10" s="4" t="s">
        <v>1097</v>
      </c>
      <c r="C10" s="429">
        <v>38474</v>
      </c>
      <c r="D10" s="429">
        <v>42248</v>
      </c>
      <c r="E10" s="38">
        <v>3.55</v>
      </c>
      <c r="F10" s="39">
        <v>3500000</v>
      </c>
      <c r="G10" s="40">
        <v>1240000</v>
      </c>
      <c r="H10" s="41" t="s">
        <v>1105</v>
      </c>
      <c r="I10" s="41">
        <v>41518</v>
      </c>
      <c r="J10" s="40">
        <v>46968</v>
      </c>
      <c r="K10" s="40">
        <v>395000</v>
      </c>
      <c r="L10" s="40">
        <v>31168.76</v>
      </c>
      <c r="M10" s="40">
        <v>415000</v>
      </c>
    </row>
    <row r="11" spans="2:13">
      <c r="B11" s="4" t="s">
        <v>1098</v>
      </c>
      <c r="C11" s="429">
        <v>39047</v>
      </c>
      <c r="D11" s="429">
        <v>42795</v>
      </c>
      <c r="E11" s="38">
        <v>3.75</v>
      </c>
      <c r="F11" s="39">
        <v>3500000</v>
      </c>
      <c r="G11" s="40">
        <v>2015000</v>
      </c>
      <c r="H11" s="41" t="s">
        <v>1105</v>
      </c>
      <c r="I11" s="41">
        <v>41334</v>
      </c>
      <c r="J11" s="40">
        <v>66530</v>
      </c>
      <c r="K11" s="40">
        <v>370000</v>
      </c>
      <c r="L11" s="40">
        <v>52940</v>
      </c>
      <c r="M11" s="40">
        <v>385000</v>
      </c>
    </row>
    <row r="12" spans="2:13">
      <c r="B12" s="4" t="s">
        <v>1099</v>
      </c>
      <c r="C12" s="429">
        <v>39295</v>
      </c>
      <c r="D12" s="429">
        <v>44805</v>
      </c>
      <c r="E12" s="38">
        <v>4.17</v>
      </c>
      <c r="F12" s="39">
        <v>1120000</v>
      </c>
      <c r="G12" s="40">
        <v>830000</v>
      </c>
      <c r="H12" s="41" t="s">
        <v>1105</v>
      </c>
      <c r="I12" s="41">
        <v>41518</v>
      </c>
      <c r="J12" s="40">
        <v>33884</v>
      </c>
      <c r="K12" s="40">
        <v>70000</v>
      </c>
      <c r="L12" s="40">
        <v>31153.759999999998</v>
      </c>
      <c r="M12" s="40">
        <v>70000</v>
      </c>
    </row>
    <row r="13" spans="2:13">
      <c r="B13" s="4" t="s">
        <v>1100</v>
      </c>
      <c r="C13" s="429">
        <v>39479</v>
      </c>
      <c r="D13" s="429">
        <v>46997</v>
      </c>
      <c r="E13" s="38">
        <v>4.04</v>
      </c>
      <c r="F13" s="39">
        <v>1680000</v>
      </c>
      <c r="G13" s="40">
        <v>1480000</v>
      </c>
      <c r="H13" s="41" t="s">
        <v>1105</v>
      </c>
      <c r="I13" s="41">
        <v>41518</v>
      </c>
      <c r="J13" s="40">
        <v>59160</v>
      </c>
      <c r="K13" s="40">
        <v>65000</v>
      </c>
      <c r="L13" s="40">
        <v>56722.5</v>
      </c>
      <c r="M13" s="40">
        <v>70000</v>
      </c>
    </row>
    <row r="14" spans="2:13">
      <c r="B14" s="4" t="s">
        <v>1101</v>
      </c>
      <c r="C14" s="429">
        <v>40042</v>
      </c>
      <c r="D14" s="429">
        <v>47362</v>
      </c>
      <c r="E14" s="38">
        <v>3.65</v>
      </c>
      <c r="F14" s="39">
        <v>7605000</v>
      </c>
      <c r="G14" s="40">
        <v>5890000</v>
      </c>
      <c r="H14" s="41" t="s">
        <v>1105</v>
      </c>
      <c r="I14" s="41">
        <v>41518</v>
      </c>
      <c r="J14" s="40">
        <v>201882</v>
      </c>
      <c r="K14" s="40">
        <v>600000</v>
      </c>
      <c r="L14" s="40">
        <v>188382.5</v>
      </c>
      <c r="M14" s="40">
        <v>625000</v>
      </c>
    </row>
    <row r="15" spans="2:13">
      <c r="B15" s="4" t="s">
        <v>1102</v>
      </c>
      <c r="C15" s="429">
        <v>40583</v>
      </c>
      <c r="D15" s="429">
        <v>47727</v>
      </c>
      <c r="E15" s="38">
        <v>3.13</v>
      </c>
      <c r="F15" s="39">
        <v>8765000</v>
      </c>
      <c r="G15" s="40">
        <v>8215000</v>
      </c>
      <c r="H15" s="41" t="s">
        <v>1105</v>
      </c>
      <c r="I15" s="41">
        <v>41518</v>
      </c>
      <c r="J15" s="40">
        <v>256943</v>
      </c>
      <c r="K15" s="40">
        <v>415000</v>
      </c>
      <c r="L15" s="40">
        <v>248642.5</v>
      </c>
      <c r="M15" s="40">
        <v>425000</v>
      </c>
    </row>
    <row r="16" spans="2:13">
      <c r="B16" s="4"/>
      <c r="C16" s="429"/>
      <c r="D16" s="429"/>
      <c r="E16" s="38"/>
      <c r="F16" s="39"/>
      <c r="G16" s="40"/>
      <c r="H16" s="41"/>
      <c r="I16" s="41"/>
      <c r="J16" s="40"/>
      <c r="K16" s="40"/>
      <c r="L16" s="40"/>
      <c r="M16" s="40"/>
    </row>
    <row r="17" spans="2:13">
      <c r="B17" s="4"/>
      <c r="C17" s="429"/>
      <c r="D17" s="429"/>
      <c r="E17" s="38"/>
      <c r="F17" s="39"/>
      <c r="G17" s="40"/>
      <c r="H17" s="41"/>
      <c r="I17" s="41"/>
      <c r="J17" s="40"/>
      <c r="K17" s="40"/>
      <c r="L17" s="40"/>
      <c r="M17" s="40"/>
    </row>
    <row r="18" spans="2:13">
      <c r="B18" s="4"/>
      <c r="C18" s="429"/>
      <c r="D18" s="429"/>
      <c r="E18" s="38"/>
      <c r="F18" s="39"/>
      <c r="G18" s="40"/>
      <c r="H18" s="41"/>
      <c r="I18" s="41"/>
      <c r="J18" s="40"/>
      <c r="K18" s="40"/>
      <c r="L18" s="40"/>
      <c r="M18" s="40"/>
    </row>
    <row r="19" spans="2:13">
      <c r="B19" s="4"/>
      <c r="C19" s="429"/>
      <c r="D19" s="429"/>
      <c r="E19" s="38"/>
      <c r="F19" s="39"/>
      <c r="G19" s="40"/>
      <c r="H19" s="41"/>
      <c r="I19" s="41"/>
      <c r="J19" s="40"/>
      <c r="K19" s="40"/>
      <c r="L19" s="40"/>
      <c r="M19" s="40"/>
    </row>
    <row r="20" spans="2:13">
      <c r="B20" s="25" t="s">
        <v>325</v>
      </c>
      <c r="C20" s="42"/>
      <c r="D20" s="42"/>
      <c r="E20" s="43"/>
      <c r="F20" s="44"/>
      <c r="G20" s="56">
        <f>SUM(G9:G19)</f>
        <v>20645000</v>
      </c>
      <c r="H20" s="45"/>
      <c r="I20" s="45"/>
      <c r="J20" s="56">
        <f>SUM(J9:J19)</f>
        <v>706779</v>
      </c>
      <c r="K20" s="56">
        <f>SUM(K9:K19)</f>
        <v>1980000</v>
      </c>
      <c r="L20" s="56">
        <f>SUM(L9:L19)</f>
        <v>648115.02</v>
      </c>
      <c r="M20" s="56">
        <f>SUM(M9:M19)</f>
        <v>2060000</v>
      </c>
    </row>
    <row r="21" spans="2:13">
      <c r="B21" s="22" t="s">
        <v>326</v>
      </c>
      <c r="C21" s="46"/>
      <c r="D21" s="46"/>
      <c r="E21" s="47"/>
      <c r="F21" s="37"/>
      <c r="G21" s="37"/>
      <c r="H21" s="48"/>
      <c r="I21" s="48"/>
      <c r="J21" s="37"/>
      <c r="K21" s="37"/>
      <c r="L21" s="37"/>
      <c r="M21" s="37"/>
    </row>
    <row r="22" spans="2:13">
      <c r="B22" s="4"/>
      <c r="C22" s="429"/>
      <c r="D22" s="429"/>
      <c r="E22" s="38"/>
      <c r="F22" s="39"/>
      <c r="G22" s="40"/>
      <c r="H22" s="41"/>
      <c r="I22" s="41"/>
      <c r="J22" s="40"/>
      <c r="K22" s="40"/>
      <c r="L22" s="40"/>
      <c r="M22" s="40"/>
    </row>
    <row r="23" spans="2:13">
      <c r="B23" s="4"/>
      <c r="C23" s="429"/>
      <c r="D23" s="429"/>
      <c r="E23" s="38"/>
      <c r="F23" s="39"/>
      <c r="G23" s="40"/>
      <c r="H23" s="41"/>
      <c r="I23" s="41"/>
      <c r="J23" s="40"/>
      <c r="K23" s="40"/>
      <c r="L23" s="40"/>
      <c r="M23" s="40"/>
    </row>
    <row r="24" spans="2:13">
      <c r="B24" s="4"/>
      <c r="C24" s="429"/>
      <c r="D24" s="429"/>
      <c r="E24" s="38"/>
      <c r="F24" s="39"/>
      <c r="G24" s="40"/>
      <c r="H24" s="41"/>
      <c r="I24" s="41"/>
      <c r="J24" s="40"/>
      <c r="K24" s="40"/>
      <c r="L24" s="40"/>
      <c r="M24" s="40"/>
    </row>
    <row r="25" spans="2:13">
      <c r="B25" s="4"/>
      <c r="C25" s="429"/>
      <c r="D25" s="429"/>
      <c r="E25" s="38"/>
      <c r="F25" s="39"/>
      <c r="G25" s="40"/>
      <c r="H25" s="41"/>
      <c r="I25" s="41"/>
      <c r="J25" s="40"/>
      <c r="K25" s="40"/>
      <c r="L25" s="40"/>
      <c r="M25" s="40"/>
    </row>
    <row r="26" spans="2:13">
      <c r="B26" s="4"/>
      <c r="C26" s="429"/>
      <c r="D26" s="429"/>
      <c r="E26" s="38"/>
      <c r="F26" s="39"/>
      <c r="G26" s="40"/>
      <c r="H26" s="41"/>
      <c r="I26" s="41"/>
      <c r="J26" s="40"/>
      <c r="K26" s="40"/>
      <c r="L26" s="40"/>
      <c r="M26" s="40"/>
    </row>
    <row r="27" spans="2:13">
      <c r="B27" s="4"/>
      <c r="C27" s="429"/>
      <c r="D27" s="429"/>
      <c r="E27" s="38"/>
      <c r="F27" s="39"/>
      <c r="G27" s="40"/>
      <c r="H27" s="41"/>
      <c r="I27" s="41"/>
      <c r="J27" s="40"/>
      <c r="K27" s="40"/>
      <c r="L27" s="40"/>
      <c r="M27" s="40"/>
    </row>
    <row r="28" spans="2:13">
      <c r="B28" s="4"/>
      <c r="C28" s="429"/>
      <c r="D28" s="429"/>
      <c r="E28" s="38"/>
      <c r="F28" s="39"/>
      <c r="G28" s="40"/>
      <c r="H28" s="41"/>
      <c r="I28" s="41"/>
      <c r="J28" s="40"/>
      <c r="K28" s="40"/>
      <c r="L28" s="40"/>
      <c r="M28" s="40"/>
    </row>
    <row r="29" spans="2:13">
      <c r="B29" s="4"/>
      <c r="C29" s="429"/>
      <c r="D29" s="429"/>
      <c r="E29" s="38"/>
      <c r="F29" s="39"/>
      <c r="G29" s="40"/>
      <c r="H29" s="41"/>
      <c r="I29" s="41"/>
      <c r="J29" s="40"/>
      <c r="K29" s="40"/>
      <c r="L29" s="40"/>
      <c r="M29" s="40"/>
    </row>
    <row r="30" spans="2:13">
      <c r="B30" s="4"/>
      <c r="C30" s="429"/>
      <c r="D30" s="429"/>
      <c r="E30" s="38"/>
      <c r="F30" s="39"/>
      <c r="G30" s="40"/>
      <c r="H30" s="41"/>
      <c r="I30" s="41"/>
      <c r="J30" s="40"/>
      <c r="K30" s="40"/>
      <c r="L30" s="40"/>
      <c r="M30" s="40"/>
    </row>
    <row r="31" spans="2:13">
      <c r="B31" s="4"/>
      <c r="C31" s="429"/>
      <c r="D31" s="429"/>
      <c r="E31" s="38"/>
      <c r="F31" s="39"/>
      <c r="G31" s="40"/>
      <c r="H31" s="41"/>
      <c r="I31" s="41"/>
      <c r="J31" s="40"/>
      <c r="K31" s="40"/>
      <c r="L31" s="40"/>
      <c r="M31" s="40"/>
    </row>
    <row r="32" spans="2:13">
      <c r="B32" s="25" t="s">
        <v>327</v>
      </c>
      <c r="C32" s="42"/>
      <c r="D32" s="42"/>
      <c r="E32" s="49"/>
      <c r="F32" s="44"/>
      <c r="G32" s="57">
        <f>SUM(G22:G31)</f>
        <v>0</v>
      </c>
      <c r="H32" s="45"/>
      <c r="I32" s="45"/>
      <c r="J32" s="57">
        <f>SUM(J22:J31)</f>
        <v>0</v>
      </c>
      <c r="K32" s="57">
        <f>SUM(K22:K31)</f>
        <v>0</v>
      </c>
      <c r="L32" s="56">
        <f>SUM(L22:L31)</f>
        <v>0</v>
      </c>
      <c r="M32" s="57">
        <f>SUM(M22:M31)</f>
        <v>0</v>
      </c>
    </row>
    <row r="33" spans="2:29">
      <c r="B33" s="22" t="s">
        <v>328</v>
      </c>
      <c r="C33" s="46"/>
      <c r="D33" s="46"/>
      <c r="E33" s="47"/>
      <c r="F33" s="37"/>
      <c r="G33" s="50"/>
      <c r="H33" s="48"/>
      <c r="I33" s="48"/>
      <c r="J33" s="37"/>
      <c r="K33" s="37"/>
      <c r="L33" s="37"/>
      <c r="M33" s="37"/>
    </row>
    <row r="34" spans="2:29">
      <c r="B34" s="4" t="s">
        <v>1103</v>
      </c>
      <c r="C34" s="429">
        <v>41228</v>
      </c>
      <c r="D34" s="429">
        <v>41760</v>
      </c>
      <c r="E34" s="38">
        <v>0.45</v>
      </c>
      <c r="F34" s="39">
        <v>1750000</v>
      </c>
      <c r="G34" s="40">
        <v>1750000</v>
      </c>
      <c r="H34" s="41" t="s">
        <v>874</v>
      </c>
      <c r="I34" s="41" t="s">
        <v>874</v>
      </c>
      <c r="J34" s="40">
        <v>0</v>
      </c>
      <c r="K34" s="40">
        <v>0</v>
      </c>
      <c r="L34" s="40">
        <v>11506.25</v>
      </c>
      <c r="M34" s="40">
        <v>1750000</v>
      </c>
    </row>
    <row r="35" spans="2:29">
      <c r="B35" s="4"/>
      <c r="C35" s="429"/>
      <c r="D35" s="429"/>
      <c r="E35" s="38"/>
      <c r="F35" s="39"/>
      <c r="G35" s="40"/>
      <c r="H35" s="41"/>
      <c r="I35" s="41"/>
      <c r="J35" s="40"/>
      <c r="K35" s="40"/>
      <c r="L35" s="40"/>
      <c r="M35" s="40"/>
    </row>
    <row r="36" spans="2:29">
      <c r="B36" s="4"/>
      <c r="C36" s="429"/>
      <c r="D36" s="429"/>
      <c r="E36" s="38"/>
      <c r="F36" s="39"/>
      <c r="G36" s="40"/>
      <c r="H36" s="41"/>
      <c r="I36" s="41"/>
      <c r="J36" s="40"/>
      <c r="K36" s="40"/>
      <c r="L36" s="40"/>
      <c r="M36" s="40"/>
    </row>
    <row r="37" spans="2:29">
      <c r="B37" s="4"/>
      <c r="C37" s="429"/>
      <c r="D37" s="429"/>
      <c r="E37" s="38"/>
      <c r="F37" s="39"/>
      <c r="G37" s="40"/>
      <c r="H37" s="41"/>
      <c r="I37" s="41"/>
      <c r="J37" s="40"/>
      <c r="K37" s="40"/>
      <c r="L37" s="40"/>
      <c r="M37" s="40"/>
    </row>
    <row r="38" spans="2:29">
      <c r="B38" s="4"/>
      <c r="C38" s="429"/>
      <c r="D38" s="429"/>
      <c r="E38" s="38"/>
      <c r="F38" s="39"/>
      <c r="G38" s="40"/>
      <c r="H38" s="41"/>
      <c r="I38" s="41"/>
      <c r="J38" s="40"/>
      <c r="K38" s="40"/>
      <c r="L38" s="40"/>
      <c r="M38" s="40"/>
    </row>
    <row r="39" spans="2:29">
      <c r="B39" s="4"/>
      <c r="C39" s="429"/>
      <c r="D39" s="429"/>
      <c r="E39" s="38"/>
      <c r="F39" s="39"/>
      <c r="G39" s="40"/>
      <c r="H39" s="41"/>
      <c r="I39" s="41"/>
      <c r="J39" s="40"/>
      <c r="K39" s="40"/>
      <c r="L39" s="40"/>
      <c r="M39" s="40"/>
    </row>
    <row r="40" spans="2:29">
      <c r="B40" s="4"/>
      <c r="C40" s="429"/>
      <c r="D40" s="429"/>
      <c r="E40" s="38"/>
      <c r="F40" s="39"/>
      <c r="G40" s="40"/>
      <c r="H40" s="41"/>
      <c r="I40" s="41"/>
      <c r="J40" s="40"/>
      <c r="K40" s="40"/>
      <c r="L40" s="40"/>
      <c r="M40" s="40"/>
    </row>
    <row r="41" spans="2:29">
      <c r="B41" s="4"/>
      <c r="C41" s="429"/>
      <c r="D41" s="429"/>
      <c r="E41" s="38"/>
      <c r="F41" s="39"/>
      <c r="G41" s="40"/>
      <c r="H41" s="41"/>
      <c r="I41" s="41"/>
      <c r="J41" s="40"/>
      <c r="K41" s="40"/>
      <c r="L41" s="40"/>
      <c r="M41" s="40"/>
      <c r="N41" s="1"/>
      <c r="O41" s="1"/>
      <c r="P41" s="1"/>
      <c r="Q41" s="1"/>
      <c r="R41" s="1"/>
      <c r="S41" s="1"/>
      <c r="T41" s="1"/>
      <c r="U41" s="1"/>
      <c r="V41" s="1"/>
      <c r="W41" s="1"/>
      <c r="X41" s="1"/>
      <c r="Y41" s="1"/>
      <c r="Z41" s="1"/>
      <c r="AA41" s="1"/>
      <c r="AB41" s="1"/>
      <c r="AC41" s="1"/>
    </row>
    <row r="42" spans="2:29">
      <c r="B42" s="25" t="s">
        <v>104</v>
      </c>
      <c r="C42" s="36"/>
      <c r="D42" s="36"/>
      <c r="E42" s="49"/>
      <c r="F42" s="44"/>
      <c r="G42" s="57">
        <f>SUM(G34:G41)</f>
        <v>1750000</v>
      </c>
      <c r="H42" s="44"/>
      <c r="I42" s="44"/>
      <c r="J42" s="57">
        <f>SUM(J34:J41)</f>
        <v>0</v>
      </c>
      <c r="K42" s="57">
        <f>SUM(K34:K41)</f>
        <v>0</v>
      </c>
      <c r="L42" s="57">
        <f>SUM(L34:L41)</f>
        <v>11506.25</v>
      </c>
      <c r="M42" s="57">
        <f>SUM(M34:M41)</f>
        <v>1750000</v>
      </c>
    </row>
    <row r="43" spans="2:29">
      <c r="B43" s="25" t="s">
        <v>329</v>
      </c>
      <c r="C43" s="36"/>
      <c r="D43" s="36"/>
      <c r="E43" s="36"/>
      <c r="F43" s="44"/>
      <c r="G43" s="57">
        <f>SUM(G20+G32+G42)</f>
        <v>22395000</v>
      </c>
      <c r="H43" s="44"/>
      <c r="I43" s="44"/>
      <c r="J43" s="57">
        <f>SUM(J20+J32+J42)</f>
        <v>706779</v>
      </c>
      <c r="K43" s="57">
        <f>SUM(K20+K32+K42)</f>
        <v>1980000</v>
      </c>
      <c r="L43" s="57">
        <f>SUM(L20+L32+L42)</f>
        <v>659621.27</v>
      </c>
      <c r="M43" s="57">
        <f>SUM(M20+M32+M42)</f>
        <v>3810000</v>
      </c>
    </row>
    <row r="44" spans="2:29">
      <c r="B44" s="1"/>
      <c r="C44" s="1"/>
      <c r="D44" s="1"/>
      <c r="E44" s="1"/>
      <c r="F44" s="1"/>
      <c r="G44" s="1"/>
      <c r="H44" s="1"/>
      <c r="I44" s="1"/>
      <c r="J44" s="1"/>
      <c r="K44" s="1"/>
      <c r="L44" s="1"/>
      <c r="M44" s="1"/>
    </row>
    <row r="45" spans="2:29">
      <c r="F45" s="5"/>
      <c r="G45" s="5"/>
      <c r="J45" s="5"/>
      <c r="K45" s="5"/>
      <c r="L45" s="5"/>
      <c r="M45" s="5"/>
    </row>
    <row r="46" spans="2:29">
      <c r="F46" s="1"/>
      <c r="H46" s="35"/>
      <c r="N46" s="1"/>
    </row>
    <row r="47" spans="2:29">
      <c r="B47" s="1"/>
      <c r="C47" s="1"/>
      <c r="D47" s="1"/>
      <c r="E47" s="1"/>
      <c r="F47" s="1"/>
      <c r="G47" s="1"/>
      <c r="H47" s="1"/>
      <c r="I47" s="1"/>
      <c r="J47" s="1"/>
      <c r="K47" s="1"/>
      <c r="L47" s="1"/>
      <c r="M47" s="1"/>
    </row>
    <row r="48" spans="2:29">
      <c r="B48" s="1"/>
      <c r="C48" s="1"/>
      <c r="D48" s="1"/>
      <c r="E48" s="1"/>
      <c r="F48" s="1"/>
      <c r="G48" s="1"/>
      <c r="H48" s="1"/>
      <c r="I48" s="1"/>
      <c r="J48" s="1"/>
      <c r="K48" s="1"/>
      <c r="L48" s="1"/>
      <c r="M48" s="1"/>
    </row>
  </sheetData>
  <mergeCells count="3">
    <mergeCell ref="H6:I6"/>
    <mergeCell ref="J6:K6"/>
    <mergeCell ref="L6:M6"/>
  </mergeCells>
  <phoneticPr fontId="0" type="noConversion"/>
  <pageMargins left="0.5" right="0.25" top="1" bottom="0.5" header="0.5" footer="0.25"/>
  <pageSetup scale="72" orientation="landscape" blackAndWhite="1" horizontalDpi="120" verticalDpi="14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topLeftCell="A2" zoomScale="75" workbookViewId="0">
      <selection activeCell="J22" sqref="J22"/>
    </sheetView>
  </sheetViews>
  <sheetFormatPr defaultColWidth="8.88671875" defaultRowHeight="15.75"/>
  <cols>
    <col min="1" max="1" width="8.88671875" style="80"/>
    <col min="2" max="2" width="23.5546875" style="80" customWidth="1"/>
    <col min="3" max="5" width="9.77734375" style="80" customWidth="1"/>
    <col min="6" max="6" width="18.33203125" style="80" customWidth="1"/>
    <col min="7" max="9" width="15.77734375" style="80" customWidth="1"/>
    <col min="10" max="16384" width="8.88671875" style="80"/>
  </cols>
  <sheetData>
    <row r="1" spans="2:9">
      <c r="B1" s="253" t="str">
        <f>inputPrYr!$D$3</f>
        <v>City of Bonner Springs</v>
      </c>
      <c r="C1" s="84"/>
      <c r="D1" s="84"/>
      <c r="E1" s="84"/>
      <c r="F1" s="84"/>
      <c r="G1" s="84"/>
      <c r="H1" s="84"/>
      <c r="I1" s="277">
        <f>inputPrYr!C10</f>
        <v>2014</v>
      </c>
    </row>
    <row r="2" spans="2:9">
      <c r="B2" s="253"/>
      <c r="C2" s="84"/>
      <c r="D2" s="84"/>
      <c r="E2" s="84"/>
      <c r="F2" s="84"/>
      <c r="G2" s="84"/>
      <c r="H2" s="84"/>
      <c r="I2" s="228"/>
    </row>
    <row r="3" spans="2:9">
      <c r="B3" s="84"/>
      <c r="C3" s="84"/>
      <c r="D3" s="84"/>
      <c r="E3" s="84"/>
      <c r="F3" s="84"/>
      <c r="G3" s="84"/>
      <c r="H3" s="84"/>
      <c r="I3" s="197"/>
    </row>
    <row r="4" spans="2:9">
      <c r="B4" s="278" t="s">
        <v>2</v>
      </c>
      <c r="C4" s="94"/>
      <c r="D4" s="94"/>
      <c r="E4" s="94"/>
      <c r="F4" s="94"/>
      <c r="G4" s="94"/>
      <c r="H4" s="94"/>
      <c r="I4" s="94"/>
    </row>
    <row r="5" spans="2:9">
      <c r="B5" s="99"/>
      <c r="C5" s="279"/>
      <c r="D5" s="279"/>
      <c r="E5" s="279"/>
      <c r="F5" s="279"/>
      <c r="G5" s="279"/>
      <c r="H5" s="279"/>
      <c r="I5" s="279"/>
    </row>
    <row r="6" spans="2:9">
      <c r="B6" s="211"/>
      <c r="C6" s="211"/>
      <c r="D6" s="211"/>
      <c r="E6" s="211"/>
      <c r="F6" s="256" t="s">
        <v>259</v>
      </c>
      <c r="G6" s="211"/>
      <c r="H6" s="211"/>
      <c r="I6" s="211"/>
    </row>
    <row r="7" spans="2:9">
      <c r="B7" s="212"/>
      <c r="C7" s="280"/>
      <c r="D7" s="280" t="s">
        <v>330</v>
      </c>
      <c r="E7" s="280" t="s">
        <v>331</v>
      </c>
      <c r="F7" s="280" t="s">
        <v>275</v>
      </c>
      <c r="G7" s="280" t="s">
        <v>333</v>
      </c>
      <c r="H7" s="280" t="s">
        <v>334</v>
      </c>
      <c r="I7" s="280" t="s">
        <v>334</v>
      </c>
    </row>
    <row r="8" spans="2:9">
      <c r="B8" s="280" t="s">
        <v>861</v>
      </c>
      <c r="C8" s="280" t="s">
        <v>335</v>
      </c>
      <c r="D8" s="280" t="s">
        <v>336</v>
      </c>
      <c r="E8" s="280" t="s">
        <v>320</v>
      </c>
      <c r="F8" s="280" t="s">
        <v>337</v>
      </c>
      <c r="G8" s="280" t="s">
        <v>39</v>
      </c>
      <c r="H8" s="280" t="s">
        <v>338</v>
      </c>
      <c r="I8" s="280" t="s">
        <v>338</v>
      </c>
    </row>
    <row r="9" spans="2:9">
      <c r="B9" s="258" t="s">
        <v>862</v>
      </c>
      <c r="C9" s="258" t="s">
        <v>317</v>
      </c>
      <c r="D9" s="281" t="s">
        <v>339</v>
      </c>
      <c r="E9" s="258" t="s">
        <v>297</v>
      </c>
      <c r="F9" s="281" t="s">
        <v>63</v>
      </c>
      <c r="G9" s="282" t="str">
        <f>CONCATENATE("Jan 1,",I1-1,"")</f>
        <v>Jan 1,2013</v>
      </c>
      <c r="H9" s="258">
        <f>I1-1</f>
        <v>2013</v>
      </c>
      <c r="I9" s="258">
        <f>I1</f>
        <v>2014</v>
      </c>
    </row>
    <row r="10" spans="2:9">
      <c r="B10" s="108" t="s">
        <v>1106</v>
      </c>
      <c r="C10" s="428">
        <v>38957</v>
      </c>
      <c r="D10" s="284">
        <v>84</v>
      </c>
      <c r="E10" s="285">
        <v>4.4000000000000004</v>
      </c>
      <c r="F10" s="286">
        <v>946877</v>
      </c>
      <c r="G10" s="286">
        <v>115918</v>
      </c>
      <c r="H10" s="286">
        <v>115918</v>
      </c>
      <c r="I10" s="286">
        <v>0</v>
      </c>
    </row>
    <row r="11" spans="2:9">
      <c r="B11" s="108"/>
      <c r="C11" s="428"/>
      <c r="D11" s="284"/>
      <c r="E11" s="285"/>
      <c r="F11" s="286"/>
      <c r="G11" s="286"/>
      <c r="H11" s="286"/>
      <c r="I11" s="286"/>
    </row>
    <row r="12" spans="2:9">
      <c r="B12" s="108"/>
      <c r="C12" s="283"/>
      <c r="D12" s="284"/>
      <c r="E12" s="285"/>
      <c r="F12" s="286"/>
      <c r="G12" s="286"/>
      <c r="H12" s="286"/>
      <c r="I12" s="286"/>
    </row>
    <row r="13" spans="2:9">
      <c r="B13" s="108"/>
      <c r="C13" s="283"/>
      <c r="D13" s="284"/>
      <c r="E13" s="285"/>
      <c r="F13" s="286"/>
      <c r="G13" s="286"/>
      <c r="H13" s="286"/>
      <c r="I13" s="286"/>
    </row>
    <row r="14" spans="2:9">
      <c r="B14" s="108"/>
      <c r="C14" s="283"/>
      <c r="D14" s="284"/>
      <c r="E14" s="285"/>
      <c r="F14" s="286"/>
      <c r="G14" s="286"/>
      <c r="H14" s="286"/>
      <c r="I14" s="286"/>
    </row>
    <row r="15" spans="2:9">
      <c r="B15" s="108"/>
      <c r="C15" s="283"/>
      <c r="D15" s="284"/>
      <c r="E15" s="285"/>
      <c r="F15" s="286"/>
      <c r="G15" s="286"/>
      <c r="H15" s="286"/>
      <c r="I15" s="286"/>
    </row>
    <row r="16" spans="2:9">
      <c r="B16" s="108"/>
      <c r="C16" s="283"/>
      <c r="D16" s="284"/>
      <c r="E16" s="285"/>
      <c r="F16" s="286"/>
      <c r="G16" s="286"/>
      <c r="H16" s="286"/>
      <c r="I16" s="286"/>
    </row>
    <row r="17" spans="2:9">
      <c r="B17" s="108"/>
      <c r="C17" s="283"/>
      <c r="D17" s="284"/>
      <c r="E17" s="285"/>
      <c r="F17" s="286"/>
      <c r="G17" s="286"/>
      <c r="H17" s="286"/>
      <c r="I17" s="286"/>
    </row>
    <row r="18" spans="2:9">
      <c r="B18" s="108"/>
      <c r="C18" s="283"/>
      <c r="D18" s="284"/>
      <c r="E18" s="285"/>
      <c r="F18" s="286"/>
      <c r="G18" s="286"/>
      <c r="H18" s="286"/>
      <c r="I18" s="286"/>
    </row>
    <row r="19" spans="2:9">
      <c r="B19" s="108"/>
      <c r="C19" s="283"/>
      <c r="D19" s="284"/>
      <c r="E19" s="285"/>
      <c r="F19" s="286"/>
      <c r="G19" s="286"/>
      <c r="H19" s="286"/>
      <c r="I19" s="286"/>
    </row>
    <row r="20" spans="2:9">
      <c r="B20" s="108"/>
      <c r="C20" s="283"/>
      <c r="D20" s="284"/>
      <c r="E20" s="285"/>
      <c r="F20" s="286"/>
      <c r="G20" s="286"/>
      <c r="H20" s="286"/>
      <c r="I20" s="286"/>
    </row>
    <row r="21" spans="2:9">
      <c r="B21" s="108"/>
      <c r="C21" s="283"/>
      <c r="D21" s="284"/>
      <c r="E21" s="285"/>
      <c r="F21" s="286"/>
      <c r="G21" s="286"/>
      <c r="H21" s="286"/>
      <c r="I21" s="286"/>
    </row>
    <row r="22" spans="2:9">
      <c r="B22" s="108"/>
      <c r="C22" s="283"/>
      <c r="D22" s="284"/>
      <c r="E22" s="285"/>
      <c r="F22" s="286"/>
      <c r="G22" s="286"/>
      <c r="H22" s="286"/>
      <c r="I22" s="286"/>
    </row>
    <row r="23" spans="2:9">
      <c r="B23" s="108"/>
      <c r="C23" s="283"/>
      <c r="D23" s="284"/>
      <c r="E23" s="285"/>
      <c r="F23" s="286"/>
      <c r="G23" s="286"/>
      <c r="H23" s="286"/>
      <c r="I23" s="286"/>
    </row>
    <row r="24" spans="2:9">
      <c r="B24" s="108"/>
      <c r="C24" s="283"/>
      <c r="D24" s="284"/>
      <c r="E24" s="285"/>
      <c r="F24" s="286"/>
      <c r="G24" s="286"/>
      <c r="H24" s="286"/>
      <c r="I24" s="286"/>
    </row>
    <row r="25" spans="2:9">
      <c r="B25" s="108"/>
      <c r="C25" s="283"/>
      <c r="D25" s="284"/>
      <c r="E25" s="285"/>
      <c r="F25" s="286"/>
      <c r="G25" s="286"/>
      <c r="H25" s="286"/>
      <c r="I25" s="286"/>
    </row>
    <row r="26" spans="2:9">
      <c r="B26" s="108"/>
      <c r="C26" s="283"/>
      <c r="D26" s="284"/>
      <c r="E26" s="285"/>
      <c r="F26" s="286"/>
      <c r="G26" s="286"/>
      <c r="H26" s="286"/>
      <c r="I26" s="286"/>
    </row>
    <row r="27" spans="2:9">
      <c r="B27" s="108"/>
      <c r="C27" s="283"/>
      <c r="D27" s="284"/>
      <c r="E27" s="285"/>
      <c r="F27" s="286"/>
      <c r="G27" s="286"/>
      <c r="H27" s="286"/>
      <c r="I27" s="286"/>
    </row>
    <row r="28" spans="2:9" ht="16.5" thickBot="1">
      <c r="B28" s="287"/>
      <c r="C28" s="173"/>
      <c r="D28" s="173"/>
      <c r="E28" s="173"/>
      <c r="F28" s="646" t="s">
        <v>271</v>
      </c>
      <c r="G28" s="288">
        <f>SUM(G10:G27)</f>
        <v>115918</v>
      </c>
      <c r="H28" s="288">
        <f>SUM(H10:H27)</f>
        <v>115918</v>
      </c>
      <c r="I28" s="288">
        <f>SUM(I10:I27)</f>
        <v>0</v>
      </c>
    </row>
    <row r="29" spans="2:9" ht="16.5" thickTop="1">
      <c r="B29" s="84"/>
      <c r="C29" s="84"/>
      <c r="D29" s="84"/>
      <c r="E29" s="84"/>
      <c r="F29" s="84"/>
      <c r="G29" s="84"/>
      <c r="H29" s="253"/>
      <c r="I29" s="253"/>
    </row>
    <row r="30" spans="2:9">
      <c r="B30" s="289" t="s">
        <v>191</v>
      </c>
      <c r="C30" s="176"/>
      <c r="D30" s="176"/>
      <c r="E30" s="176"/>
      <c r="F30" s="176"/>
      <c r="G30" s="176"/>
      <c r="H30" s="253"/>
      <c r="I30" s="253"/>
    </row>
  </sheetData>
  <phoneticPr fontId="0" type="noConversion"/>
  <pageMargins left="0.75" right="0.25" top="1" bottom="0.5" header="0.5" footer="0.5"/>
  <pageSetup scale="81" orientation="landscape" blackAndWhite="1" horizontalDpi="120" verticalDpi="144"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K30" sqref="K30"/>
    </sheetView>
  </sheetViews>
  <sheetFormatPr defaultColWidth="8.88671875" defaultRowHeight="15"/>
  <cols>
    <col min="1" max="1" width="2.5546875" style="623" customWidth="1"/>
    <col min="2" max="4" width="8.88671875" style="623"/>
    <col min="5" max="5" width="9.6640625" style="623" customWidth="1"/>
    <col min="6" max="6" width="8.88671875" style="623"/>
    <col min="7" max="7" width="9.6640625" style="623" customWidth="1"/>
    <col min="8" max="16384" width="8.88671875" style="623"/>
  </cols>
  <sheetData>
    <row r="1" spans="2:9" ht="15.75">
      <c r="B1" s="622"/>
      <c r="C1" s="622"/>
      <c r="D1" s="622"/>
      <c r="E1" s="622"/>
      <c r="F1" s="622"/>
      <c r="G1" s="622"/>
      <c r="H1" s="622"/>
      <c r="I1" s="622"/>
    </row>
    <row r="2" spans="2:9" ht="15.75">
      <c r="B2" s="908" t="s">
        <v>810</v>
      </c>
      <c r="C2" s="908"/>
      <c r="D2" s="908"/>
      <c r="E2" s="908"/>
      <c r="F2" s="908"/>
      <c r="G2" s="908"/>
      <c r="H2" s="908"/>
      <c r="I2" s="908"/>
    </row>
    <row r="3" spans="2:9" ht="15.75">
      <c r="B3" s="908" t="s">
        <v>811</v>
      </c>
      <c r="C3" s="908"/>
      <c r="D3" s="908"/>
      <c r="E3" s="908"/>
      <c r="F3" s="908"/>
      <c r="G3" s="908"/>
      <c r="H3" s="908"/>
      <c r="I3" s="908"/>
    </row>
    <row r="4" spans="2:9" ht="15.75">
      <c r="B4" s="624"/>
      <c r="C4" s="624"/>
      <c r="D4" s="624"/>
      <c r="E4" s="624"/>
      <c r="F4" s="624"/>
      <c r="G4" s="624"/>
      <c r="H4" s="624"/>
      <c r="I4" s="624"/>
    </row>
    <row r="5" spans="2:9" ht="15.75">
      <c r="B5" s="909" t="str">
        <f>CONCATENATE("Budgeted Year: ",inputPrYr!C10,"")</f>
        <v>Budgeted Year: 2014</v>
      </c>
      <c r="C5" s="909"/>
      <c r="D5" s="909"/>
      <c r="E5" s="909"/>
      <c r="F5" s="909"/>
      <c r="G5" s="909"/>
      <c r="H5" s="909"/>
      <c r="I5" s="909"/>
    </row>
    <row r="6" spans="2:9" ht="15.75">
      <c r="B6" s="625"/>
      <c r="C6" s="624"/>
      <c r="D6" s="624"/>
      <c r="E6" s="624"/>
      <c r="F6" s="624"/>
      <c r="G6" s="624"/>
      <c r="H6" s="624"/>
      <c r="I6" s="624"/>
    </row>
    <row r="7" spans="2:9" ht="15.75">
      <c r="B7" s="625" t="str">
        <f>CONCATENATE("Library found in: ",inputPrYr!D3,"")</f>
        <v>Library found in: City of Bonner Springs</v>
      </c>
      <c r="C7" s="624"/>
      <c r="D7" s="624"/>
      <c r="E7" s="624"/>
      <c r="F7" s="624"/>
      <c r="G7" s="624"/>
      <c r="H7" s="624"/>
      <c r="I7" s="624"/>
    </row>
    <row r="8" spans="2:9" ht="15.75">
      <c r="B8" s="625" t="str">
        <f>inputPrYr!D4</f>
        <v>Wyandotte County</v>
      </c>
      <c r="C8" s="624"/>
      <c r="D8" s="624"/>
      <c r="E8" s="624"/>
      <c r="F8" s="624"/>
      <c r="G8" s="624"/>
      <c r="H8" s="624"/>
      <c r="I8" s="624"/>
    </row>
    <row r="9" spans="2:9" ht="15.75">
      <c r="B9" s="624"/>
      <c r="C9" s="624"/>
      <c r="D9" s="624"/>
      <c r="E9" s="624"/>
      <c r="F9" s="624"/>
      <c r="G9" s="624"/>
      <c r="H9" s="624"/>
      <c r="I9" s="624"/>
    </row>
    <row r="10" spans="2:9" ht="39" customHeight="1">
      <c r="B10" s="910" t="s">
        <v>812</v>
      </c>
      <c r="C10" s="910"/>
      <c r="D10" s="910"/>
      <c r="E10" s="910"/>
      <c r="F10" s="910"/>
      <c r="G10" s="910"/>
      <c r="H10" s="910"/>
      <c r="I10" s="910"/>
    </row>
    <row r="11" spans="2:9" ht="15.75">
      <c r="B11" s="624"/>
      <c r="C11" s="624"/>
      <c r="D11" s="624"/>
      <c r="E11" s="624"/>
      <c r="F11" s="624"/>
      <c r="G11" s="624"/>
      <c r="H11" s="624"/>
      <c r="I11" s="624"/>
    </row>
    <row r="12" spans="2:9" ht="15.75">
      <c r="B12" s="626" t="s">
        <v>813</v>
      </c>
      <c r="C12" s="624"/>
      <c r="D12" s="624"/>
      <c r="E12" s="624"/>
      <c r="F12" s="624"/>
      <c r="G12" s="624"/>
      <c r="H12" s="624"/>
      <c r="I12" s="624"/>
    </row>
    <row r="13" spans="2:9" ht="15.75">
      <c r="B13" s="624"/>
      <c r="C13" s="624"/>
      <c r="D13" s="624"/>
      <c r="E13" s="627" t="s">
        <v>807</v>
      </c>
      <c r="F13" s="624"/>
      <c r="G13" s="627" t="s">
        <v>814</v>
      </c>
      <c r="H13" s="624"/>
      <c r="I13" s="624"/>
    </row>
    <row r="14" spans="2:9" ht="15.75">
      <c r="B14" s="624"/>
      <c r="C14" s="624"/>
      <c r="D14" s="624"/>
      <c r="E14" s="628">
        <f>inputPrYr!C10-1</f>
        <v>2013</v>
      </c>
      <c r="F14" s="624"/>
      <c r="G14" s="628">
        <f>inputPrYr!C10</f>
        <v>2014</v>
      </c>
      <c r="H14" s="624"/>
      <c r="I14" s="624"/>
    </row>
    <row r="15" spans="2:9" ht="15.75">
      <c r="B15" s="625">
        <f>DebtSvs!B56</f>
        <v>0</v>
      </c>
      <c r="C15" s="624"/>
      <c r="D15" s="624"/>
      <c r="E15" s="629">
        <f>DebtSvs!D56</f>
        <v>0</v>
      </c>
      <c r="F15" s="624"/>
      <c r="G15" s="629">
        <f>DebtSvs!E89</f>
        <v>0</v>
      </c>
      <c r="H15" s="624"/>
      <c r="I15" s="624"/>
    </row>
    <row r="16" spans="2:9" ht="15.75">
      <c r="B16" s="625">
        <f>DebtSvs!B57</f>
        <v>0</v>
      </c>
      <c r="C16" s="624"/>
      <c r="D16" s="624"/>
      <c r="E16" s="629">
        <f>DebtSvs!D58</f>
        <v>0</v>
      </c>
      <c r="F16" s="624"/>
      <c r="G16" s="629">
        <f>DebtSvs!E58</f>
        <v>0</v>
      </c>
      <c r="H16" s="624"/>
      <c r="I16" s="624"/>
    </row>
    <row r="17" spans="2:9" ht="15.75">
      <c r="B17" s="625">
        <f>DebtSvs!B58</f>
        <v>0</v>
      </c>
      <c r="C17" s="624"/>
      <c r="D17" s="624"/>
      <c r="E17" s="629">
        <f>DebtSvs!D59</f>
        <v>0</v>
      </c>
      <c r="F17" s="624"/>
      <c r="G17" s="629">
        <f>DebtSvs!E59</f>
        <v>0</v>
      </c>
      <c r="H17" s="624"/>
      <c r="I17" s="624"/>
    </row>
    <row r="18" spans="2:9" ht="15.75">
      <c r="B18" s="625">
        <f>DebtSvs!B59</f>
        <v>0</v>
      </c>
      <c r="C18" s="624"/>
      <c r="D18" s="624"/>
      <c r="E18" s="629">
        <f>DebtSvs!D60</f>
        <v>0</v>
      </c>
      <c r="F18" s="624"/>
      <c r="G18" s="629">
        <f>DebtSvs!E60</f>
        <v>0</v>
      </c>
      <c r="H18" s="624"/>
      <c r="I18" s="624"/>
    </row>
    <row r="19" spans="2:9" ht="15.75">
      <c r="B19" s="625">
        <f>DebtSvs!B60</f>
        <v>0</v>
      </c>
      <c r="C19" s="624"/>
      <c r="D19" s="624"/>
      <c r="E19" s="629">
        <f>DebtSvs!D61</f>
        <v>0</v>
      </c>
      <c r="F19" s="624"/>
      <c r="G19" s="629">
        <f>DebtSvs!E61</f>
        <v>0</v>
      </c>
      <c r="H19" s="624"/>
      <c r="I19" s="624"/>
    </row>
    <row r="20" spans="2:9" ht="15.75">
      <c r="B20" s="624" t="s">
        <v>89</v>
      </c>
      <c r="C20" s="624"/>
      <c r="D20" s="624"/>
      <c r="E20" s="629">
        <v>0</v>
      </c>
      <c r="F20" s="624"/>
      <c r="G20" s="629">
        <v>0</v>
      </c>
      <c r="H20" s="624"/>
      <c r="I20" s="624"/>
    </row>
    <row r="21" spans="2:9" ht="15.75">
      <c r="B21" s="624"/>
      <c r="C21" s="624"/>
      <c r="D21" s="624"/>
      <c r="E21" s="629">
        <v>0</v>
      </c>
      <c r="F21" s="624"/>
      <c r="G21" s="629">
        <v>0</v>
      </c>
      <c r="H21" s="624"/>
      <c r="I21" s="624"/>
    </row>
    <row r="22" spans="2:9" ht="15.75">
      <c r="B22" s="624" t="s">
        <v>815</v>
      </c>
      <c r="C22" s="624"/>
      <c r="D22" s="624"/>
      <c r="E22" s="630">
        <f>SUM(E15:E21)</f>
        <v>0</v>
      </c>
      <c r="F22" s="624"/>
      <c r="G22" s="630">
        <f>SUM(G15:G21)</f>
        <v>0</v>
      </c>
      <c r="H22" s="624"/>
      <c r="I22" s="624"/>
    </row>
    <row r="23" spans="2:9" ht="15.75">
      <c r="B23" s="624" t="s">
        <v>816</v>
      </c>
      <c r="C23" s="624"/>
      <c r="D23" s="624"/>
      <c r="E23" s="631">
        <f>G22-E22</f>
        <v>0</v>
      </c>
      <c r="F23" s="624"/>
      <c r="G23" s="632"/>
      <c r="H23" s="624"/>
      <c r="I23" s="624"/>
    </row>
    <row r="24" spans="2:9" ht="15.75">
      <c r="B24" s="624" t="s">
        <v>817</v>
      </c>
      <c r="C24" s="624"/>
      <c r="D24" s="633" t="str">
        <f>IF((G22-E22)&gt;0,"Qualify","Not Qualify")</f>
        <v>Not Qualify</v>
      </c>
      <c r="E24" s="624"/>
      <c r="F24" s="624"/>
      <c r="G24" s="624"/>
      <c r="H24" s="624"/>
      <c r="I24" s="624"/>
    </row>
    <row r="25" spans="2:9" ht="15.75">
      <c r="B25" s="624"/>
      <c r="C25" s="624"/>
      <c r="D25" s="624"/>
      <c r="E25" s="624"/>
      <c r="F25" s="624"/>
      <c r="G25" s="624"/>
      <c r="H25" s="624"/>
      <c r="I25" s="624"/>
    </row>
    <row r="26" spans="2:9" ht="15.75">
      <c r="B26" s="626" t="s">
        <v>818</v>
      </c>
      <c r="C26" s="624"/>
      <c r="D26" s="624"/>
      <c r="E26" s="624"/>
      <c r="F26" s="624"/>
      <c r="G26" s="624"/>
      <c r="H26" s="624"/>
      <c r="I26" s="624"/>
    </row>
    <row r="27" spans="2:9" ht="15.75">
      <c r="B27" s="624" t="s">
        <v>819</v>
      </c>
      <c r="C27" s="624"/>
      <c r="D27" s="624"/>
      <c r="E27" s="629">
        <f>summ!D50</f>
        <v>66216245</v>
      </c>
      <c r="F27" s="624"/>
      <c r="G27" s="629">
        <f>summ!F50</f>
        <v>65580249</v>
      </c>
      <c r="H27" s="624"/>
      <c r="I27" s="624"/>
    </row>
    <row r="28" spans="2:9" ht="15.75">
      <c r="B28" s="624" t="s">
        <v>820</v>
      </c>
      <c r="C28" s="624"/>
      <c r="D28" s="624"/>
      <c r="E28" s="634" t="str">
        <f>IF(G27-E27&gt;=0,"No","Yes")</f>
        <v>Yes</v>
      </c>
      <c r="F28" s="624"/>
      <c r="G28" s="624"/>
      <c r="H28" s="624"/>
      <c r="I28" s="624"/>
    </row>
    <row r="29" spans="2:9" ht="15.75">
      <c r="B29" s="624" t="s">
        <v>821</v>
      </c>
      <c r="C29" s="624"/>
      <c r="D29" s="624"/>
      <c r="E29" s="627">
        <f>summ!E15</f>
        <v>4.9450000000000003</v>
      </c>
      <c r="F29" s="624"/>
      <c r="G29" s="635">
        <f>summ!H15</f>
        <v>5.1558000000000002</v>
      </c>
      <c r="H29" s="624"/>
      <c r="I29" s="624"/>
    </row>
    <row r="30" spans="2:9" ht="15.75">
      <c r="B30" s="624" t="s">
        <v>822</v>
      </c>
      <c r="C30" s="624"/>
      <c r="D30" s="624"/>
      <c r="E30" s="636">
        <f>G29-E29</f>
        <v>0.21079999999999988</v>
      </c>
      <c r="F30" s="624"/>
      <c r="G30" s="624"/>
      <c r="H30" s="624"/>
      <c r="I30" s="624"/>
    </row>
    <row r="31" spans="2:9" ht="15.75">
      <c r="B31" s="624" t="s">
        <v>817</v>
      </c>
      <c r="C31" s="624"/>
      <c r="D31" s="637" t="str">
        <f>IF(E30&gt;=0,"Qualify","Not Qualify")</f>
        <v>Qualify</v>
      </c>
      <c r="E31" s="624"/>
      <c r="F31" s="624"/>
      <c r="G31" s="624"/>
      <c r="H31" s="624"/>
      <c r="I31" s="624"/>
    </row>
    <row r="32" spans="2:9" ht="15.75">
      <c r="B32" s="624"/>
      <c r="C32" s="624"/>
      <c r="D32" s="624"/>
      <c r="E32" s="624"/>
      <c r="F32" s="624"/>
      <c r="G32" s="624"/>
      <c r="H32" s="624"/>
      <c r="I32" s="624"/>
    </row>
    <row r="33" spans="2:9" ht="15.75">
      <c r="B33" s="624" t="s">
        <v>823</v>
      </c>
      <c r="C33" s="624"/>
      <c r="D33" s="624"/>
      <c r="E33" s="624"/>
      <c r="F33" s="638" t="str">
        <f>IF(D24="Not Qualify",IF(D31="Not Qualify",IF(D31="Not Qualify","Not Qualify","Qualify"),"Qualify"),"Qualify")</f>
        <v>Qualify</v>
      </c>
      <c r="G33" s="624"/>
      <c r="H33" s="624"/>
      <c r="I33" s="624"/>
    </row>
    <row r="34" spans="2:9" ht="15.75">
      <c r="B34" s="624"/>
      <c r="C34" s="624"/>
      <c r="D34" s="624"/>
      <c r="E34" s="624"/>
      <c r="F34" s="624"/>
      <c r="G34" s="624"/>
      <c r="H34" s="624"/>
      <c r="I34" s="624"/>
    </row>
    <row r="35" spans="2:9" ht="15.75">
      <c r="B35" s="624"/>
      <c r="C35" s="624"/>
      <c r="D35" s="624"/>
      <c r="E35" s="624"/>
      <c r="F35" s="624"/>
      <c r="G35" s="624"/>
      <c r="H35" s="624"/>
      <c r="I35" s="624"/>
    </row>
    <row r="36" spans="2:9" ht="37.5" customHeight="1">
      <c r="B36" s="910" t="s">
        <v>824</v>
      </c>
      <c r="C36" s="910"/>
      <c r="D36" s="910"/>
      <c r="E36" s="910"/>
      <c r="F36" s="910"/>
      <c r="G36" s="910"/>
      <c r="H36" s="910"/>
      <c r="I36" s="910"/>
    </row>
    <row r="37" spans="2:9" ht="15.75">
      <c r="B37" s="624"/>
      <c r="C37" s="624"/>
      <c r="D37" s="624"/>
      <c r="E37" s="624"/>
      <c r="F37" s="624"/>
      <c r="G37" s="624"/>
      <c r="H37" s="624"/>
      <c r="I37" s="624"/>
    </row>
    <row r="38" spans="2:9" ht="15.75">
      <c r="B38" s="624"/>
      <c r="C38" s="624"/>
      <c r="D38" s="624"/>
      <c r="E38" s="624"/>
      <c r="F38" s="624"/>
      <c r="G38" s="624"/>
      <c r="H38" s="624"/>
      <c r="I38" s="624"/>
    </row>
    <row r="39" spans="2:9" ht="15.75">
      <c r="B39" s="624"/>
      <c r="C39" s="624"/>
      <c r="D39" s="624"/>
      <c r="E39" s="624"/>
      <c r="F39" s="624"/>
      <c r="G39" s="624"/>
      <c r="H39" s="624"/>
      <c r="I39" s="624"/>
    </row>
    <row r="40" spans="2:9" ht="15.75">
      <c r="B40" s="624"/>
      <c r="C40" s="624"/>
      <c r="D40" s="624"/>
      <c r="E40" s="639" t="s">
        <v>290</v>
      </c>
      <c r="F40" s="640">
        <v>7</v>
      </c>
      <c r="G40" s="624"/>
      <c r="H40" s="624"/>
      <c r="I40" s="624"/>
    </row>
    <row r="41" spans="2:9" ht="15.75">
      <c r="B41" s="624"/>
      <c r="C41" s="624"/>
      <c r="D41" s="624"/>
      <c r="E41" s="624"/>
      <c r="F41" s="624"/>
      <c r="G41" s="624"/>
      <c r="H41" s="624"/>
      <c r="I41" s="624"/>
    </row>
    <row r="42" spans="2:9" ht="15.75">
      <c r="B42" s="624"/>
      <c r="C42" s="624"/>
      <c r="D42" s="624"/>
      <c r="E42" s="624"/>
      <c r="F42" s="624"/>
      <c r="G42" s="624"/>
      <c r="H42" s="624"/>
      <c r="I42" s="624"/>
    </row>
    <row r="43" spans="2:9" ht="15.75">
      <c r="B43" s="906" t="s">
        <v>825</v>
      </c>
      <c r="C43" s="907"/>
      <c r="D43" s="907"/>
      <c r="E43" s="907"/>
      <c r="F43" s="907"/>
      <c r="G43" s="907"/>
      <c r="H43" s="907"/>
      <c r="I43" s="907"/>
    </row>
    <row r="44" spans="2:9" ht="15.75">
      <c r="B44" s="624"/>
      <c r="C44" s="624"/>
      <c r="D44" s="624"/>
      <c r="E44" s="624"/>
      <c r="F44" s="624"/>
      <c r="G44" s="624"/>
      <c r="H44" s="624"/>
      <c r="I44" s="624"/>
    </row>
    <row r="45" spans="2:9" ht="15.75">
      <c r="B45" s="641" t="s">
        <v>826</v>
      </c>
      <c r="C45" s="624"/>
      <c r="D45" s="624"/>
      <c r="E45" s="624"/>
      <c r="F45" s="624"/>
      <c r="G45" s="624"/>
      <c r="H45" s="624"/>
      <c r="I45" s="624"/>
    </row>
    <row r="46" spans="2:9" ht="15.75">
      <c r="B46" s="641" t="str">
        <f>CONCATENATE("sources in your ",G14," library fund is not equal to or greater than the amount from the same")</f>
        <v>sources in your 2014 library fund is not equal to or greater than the amount from the same</v>
      </c>
      <c r="C46" s="624"/>
      <c r="D46" s="624"/>
      <c r="E46" s="624"/>
      <c r="F46" s="624"/>
      <c r="G46" s="624"/>
      <c r="H46" s="624"/>
      <c r="I46" s="624"/>
    </row>
    <row r="47" spans="2:9" ht="15.75">
      <c r="B47" s="641" t="str">
        <f>CONCATENATE("sources in ",E14,".")</f>
        <v>sources in 2013.</v>
      </c>
      <c r="C47" s="622"/>
      <c r="D47" s="622"/>
      <c r="E47" s="622"/>
      <c r="F47" s="622"/>
      <c r="G47" s="622"/>
      <c r="H47" s="622"/>
      <c r="I47" s="622"/>
    </row>
    <row r="48" spans="2:9" ht="15.75">
      <c r="B48" s="622"/>
      <c r="C48" s="622"/>
      <c r="D48" s="622"/>
      <c r="E48" s="622"/>
      <c r="F48" s="622"/>
      <c r="G48" s="622"/>
      <c r="H48" s="622"/>
      <c r="I48" s="622"/>
    </row>
    <row r="49" spans="2:9" ht="15.75">
      <c r="B49" s="641" t="s">
        <v>827</v>
      </c>
      <c r="C49" s="641"/>
      <c r="D49" s="642"/>
      <c r="E49" s="642"/>
      <c r="F49" s="642"/>
      <c r="G49" s="642"/>
      <c r="H49" s="642"/>
      <c r="I49" s="642"/>
    </row>
    <row r="50" spans="2:9" ht="15.75">
      <c r="B50" s="641" t="s">
        <v>828</v>
      </c>
      <c r="C50" s="641"/>
      <c r="D50" s="642"/>
      <c r="E50" s="642"/>
      <c r="F50" s="642"/>
      <c r="G50" s="642"/>
      <c r="H50" s="642"/>
      <c r="I50" s="642"/>
    </row>
    <row r="51" spans="2:9" ht="15.75">
      <c r="B51" s="641" t="s">
        <v>829</v>
      </c>
      <c r="C51" s="641"/>
      <c r="D51" s="642"/>
      <c r="E51" s="642"/>
      <c r="F51" s="642"/>
      <c r="G51" s="642"/>
      <c r="H51" s="642"/>
      <c r="I51" s="642"/>
    </row>
    <row r="52" spans="2:9">
      <c r="B52" s="642"/>
      <c r="C52" s="642"/>
      <c r="D52" s="642"/>
      <c r="E52" s="642"/>
      <c r="F52" s="642"/>
      <c r="G52" s="642"/>
      <c r="H52" s="642"/>
      <c r="I52" s="642"/>
    </row>
    <row r="53" spans="2:9" ht="15.75">
      <c r="B53" s="643" t="s">
        <v>830</v>
      </c>
      <c r="C53" s="642"/>
      <c r="D53" s="642"/>
      <c r="E53" s="642"/>
      <c r="F53" s="642"/>
      <c r="G53" s="642"/>
      <c r="H53" s="642"/>
      <c r="I53" s="642"/>
    </row>
    <row r="54" spans="2:9">
      <c r="B54" s="642"/>
      <c r="C54" s="642"/>
      <c r="D54" s="642"/>
      <c r="E54" s="642"/>
      <c r="F54" s="642"/>
      <c r="G54" s="642"/>
      <c r="H54" s="642"/>
      <c r="I54" s="642"/>
    </row>
    <row r="55" spans="2:9" ht="15.75">
      <c r="B55" s="641" t="s">
        <v>831</v>
      </c>
      <c r="C55" s="642"/>
      <c r="D55" s="642"/>
      <c r="E55" s="642"/>
      <c r="F55" s="642"/>
      <c r="G55" s="642"/>
      <c r="H55" s="642"/>
      <c r="I55" s="642"/>
    </row>
    <row r="56" spans="2:9" ht="15.75">
      <c r="B56" s="641" t="s">
        <v>832</v>
      </c>
      <c r="C56" s="642"/>
      <c r="D56" s="642"/>
      <c r="E56" s="642"/>
      <c r="F56" s="642"/>
      <c r="G56" s="642"/>
      <c r="H56" s="642"/>
      <c r="I56" s="642"/>
    </row>
    <row r="57" spans="2:9">
      <c r="B57" s="642"/>
      <c r="C57" s="642"/>
      <c r="D57" s="642"/>
      <c r="E57" s="642"/>
      <c r="F57" s="642"/>
      <c r="G57" s="642"/>
      <c r="H57" s="642"/>
      <c r="I57" s="642"/>
    </row>
    <row r="58" spans="2:9" ht="15.75">
      <c r="B58" s="643" t="s">
        <v>833</v>
      </c>
      <c r="C58" s="641"/>
      <c r="D58" s="641"/>
      <c r="E58" s="641"/>
      <c r="F58" s="641"/>
      <c r="G58" s="642"/>
      <c r="H58" s="642"/>
      <c r="I58" s="642"/>
    </row>
    <row r="59" spans="2:9" ht="15.75">
      <c r="B59" s="641"/>
      <c r="C59" s="641"/>
      <c r="D59" s="641"/>
      <c r="E59" s="641"/>
      <c r="F59" s="641"/>
      <c r="G59" s="642"/>
      <c r="H59" s="642"/>
      <c r="I59" s="642"/>
    </row>
    <row r="60" spans="2:9" ht="15.75">
      <c r="B60" s="641" t="s">
        <v>834</v>
      </c>
      <c r="C60" s="641"/>
      <c r="D60" s="641"/>
      <c r="E60" s="641"/>
      <c r="F60" s="641"/>
      <c r="G60" s="642"/>
      <c r="H60" s="642"/>
      <c r="I60" s="642"/>
    </row>
    <row r="61" spans="2:9" ht="15.75">
      <c r="B61" s="641" t="s">
        <v>835</v>
      </c>
      <c r="C61" s="641"/>
      <c r="D61" s="641"/>
      <c r="E61" s="641"/>
      <c r="F61" s="641"/>
      <c r="G61" s="642"/>
      <c r="H61" s="642"/>
      <c r="I61" s="642"/>
    </row>
    <row r="62" spans="2:9" ht="15.75">
      <c r="B62" s="641" t="s">
        <v>836</v>
      </c>
      <c r="C62" s="641"/>
      <c r="D62" s="641"/>
      <c r="E62" s="641"/>
      <c r="F62" s="641"/>
      <c r="G62" s="642"/>
      <c r="H62" s="642"/>
      <c r="I62" s="642"/>
    </row>
    <row r="63" spans="2:9" ht="15.75">
      <c r="B63" s="641" t="s">
        <v>837</v>
      </c>
      <c r="C63" s="641"/>
      <c r="D63" s="641"/>
      <c r="E63" s="641"/>
      <c r="F63" s="641"/>
      <c r="G63" s="642"/>
      <c r="H63" s="642"/>
      <c r="I63" s="642"/>
    </row>
    <row r="64" spans="2:9">
      <c r="B64" s="644"/>
      <c r="C64" s="644"/>
      <c r="D64" s="644"/>
      <c r="E64" s="644"/>
      <c r="F64" s="644"/>
      <c r="G64" s="642"/>
      <c r="H64" s="642"/>
      <c r="I64" s="642"/>
    </row>
    <row r="65" spans="2:9" ht="15.75">
      <c r="B65" s="641" t="s">
        <v>838</v>
      </c>
      <c r="C65" s="644"/>
      <c r="D65" s="644"/>
      <c r="E65" s="644"/>
      <c r="F65" s="644"/>
      <c r="G65" s="642"/>
      <c r="H65" s="642"/>
      <c r="I65" s="642"/>
    </row>
    <row r="66" spans="2:9" ht="15.75">
      <c r="B66" s="641" t="s">
        <v>839</v>
      </c>
      <c r="C66" s="644"/>
      <c r="D66" s="644"/>
      <c r="E66" s="644"/>
      <c r="F66" s="644"/>
      <c r="G66" s="642"/>
      <c r="H66" s="642"/>
      <c r="I66" s="642"/>
    </row>
    <row r="67" spans="2:9">
      <c r="B67" s="644"/>
      <c r="C67" s="644"/>
      <c r="D67" s="644"/>
      <c r="E67" s="644"/>
      <c r="F67" s="644"/>
      <c r="G67" s="642"/>
      <c r="H67" s="642"/>
      <c r="I67" s="642"/>
    </row>
    <row r="68" spans="2:9" ht="15.75">
      <c r="B68" s="641" t="s">
        <v>840</v>
      </c>
      <c r="C68" s="644"/>
      <c r="D68" s="644"/>
      <c r="E68" s="644"/>
      <c r="F68" s="644"/>
      <c r="G68" s="642"/>
      <c r="H68" s="642"/>
      <c r="I68" s="642"/>
    </row>
    <row r="69" spans="2:9" ht="15.75">
      <c r="B69" s="641" t="s">
        <v>841</v>
      </c>
      <c r="C69" s="644"/>
      <c r="D69" s="644"/>
      <c r="E69" s="644"/>
      <c r="F69" s="644"/>
      <c r="G69" s="642"/>
      <c r="H69" s="642"/>
      <c r="I69" s="642"/>
    </row>
    <row r="70" spans="2:9">
      <c r="B70" s="644"/>
      <c r="C70" s="644"/>
      <c r="D70" s="644"/>
      <c r="E70" s="644"/>
      <c r="F70" s="644"/>
      <c r="G70" s="642"/>
      <c r="H70" s="642"/>
      <c r="I70" s="642"/>
    </row>
    <row r="71" spans="2:9" ht="15.75">
      <c r="B71" s="643" t="s">
        <v>842</v>
      </c>
      <c r="C71" s="644"/>
      <c r="D71" s="644"/>
      <c r="E71" s="644"/>
      <c r="F71" s="644"/>
      <c r="G71" s="642"/>
      <c r="H71" s="642"/>
      <c r="I71" s="642"/>
    </row>
    <row r="72" spans="2:9">
      <c r="B72" s="644"/>
      <c r="C72" s="644"/>
      <c r="D72" s="644"/>
      <c r="E72" s="644"/>
      <c r="F72" s="644"/>
      <c r="G72" s="642"/>
      <c r="H72" s="642"/>
      <c r="I72" s="642"/>
    </row>
    <row r="73" spans="2:9" ht="15.75">
      <c r="B73" s="641" t="s">
        <v>843</v>
      </c>
      <c r="C73" s="644"/>
      <c r="D73" s="644"/>
      <c r="E73" s="644"/>
      <c r="F73" s="644"/>
      <c r="G73" s="642"/>
      <c r="H73" s="642"/>
      <c r="I73" s="642"/>
    </row>
    <row r="74" spans="2:9" ht="15.75">
      <c r="B74" s="641" t="s">
        <v>844</v>
      </c>
      <c r="C74" s="644"/>
      <c r="D74" s="644"/>
      <c r="E74" s="644"/>
      <c r="F74" s="644"/>
      <c r="G74" s="642"/>
      <c r="H74" s="642"/>
      <c r="I74" s="642"/>
    </row>
    <row r="75" spans="2:9">
      <c r="B75" s="644"/>
      <c r="C75" s="644"/>
      <c r="D75" s="644"/>
      <c r="E75" s="644"/>
      <c r="F75" s="644"/>
      <c r="G75" s="642"/>
      <c r="H75" s="642"/>
      <c r="I75" s="642"/>
    </row>
    <row r="76" spans="2:9" ht="15.75">
      <c r="B76" s="643" t="s">
        <v>845</v>
      </c>
      <c r="C76" s="644"/>
      <c r="D76" s="644"/>
      <c r="E76" s="644"/>
      <c r="F76" s="644"/>
      <c r="G76" s="642"/>
      <c r="H76" s="642"/>
      <c r="I76" s="642"/>
    </row>
    <row r="77" spans="2:9">
      <c r="B77" s="644"/>
      <c r="C77" s="644"/>
      <c r="D77" s="644"/>
      <c r="E77" s="644"/>
      <c r="F77" s="644"/>
      <c r="G77" s="642"/>
      <c r="H77" s="642"/>
      <c r="I77" s="642"/>
    </row>
    <row r="78" spans="2:9" ht="15.75">
      <c r="B78" s="641" t="str">
        <f>CONCATENATE("If the ",G14," municipal budget has not been published and has not been submitted to the County")</f>
        <v>If the 2014 municipal budget has not been published and has not been submitted to the County</v>
      </c>
      <c r="C78" s="644"/>
      <c r="D78" s="644"/>
      <c r="E78" s="644"/>
      <c r="F78" s="644"/>
      <c r="G78" s="642"/>
      <c r="H78" s="642"/>
      <c r="I78" s="642"/>
    </row>
    <row r="79" spans="2:9" ht="15.75">
      <c r="B79" s="641" t="s">
        <v>846</v>
      </c>
      <c r="C79" s="644"/>
      <c r="D79" s="644"/>
      <c r="E79" s="644"/>
      <c r="F79" s="644"/>
      <c r="G79" s="642"/>
      <c r="H79" s="642"/>
      <c r="I79" s="642"/>
    </row>
    <row r="80" spans="2:9">
      <c r="B80" s="644"/>
      <c r="C80" s="644"/>
      <c r="D80" s="644"/>
      <c r="E80" s="644"/>
      <c r="F80" s="644"/>
      <c r="G80" s="642"/>
      <c r="H80" s="642"/>
      <c r="I80" s="642"/>
    </row>
    <row r="81" spans="2:9" ht="15.75">
      <c r="B81" s="643" t="s">
        <v>427</v>
      </c>
      <c r="C81" s="644"/>
      <c r="D81" s="644"/>
      <c r="E81" s="644"/>
      <c r="F81" s="644"/>
      <c r="G81" s="642"/>
      <c r="H81" s="642"/>
      <c r="I81" s="642"/>
    </row>
    <row r="82" spans="2:9">
      <c r="B82" s="644"/>
      <c r="C82" s="644"/>
      <c r="D82" s="644"/>
      <c r="E82" s="644"/>
      <c r="F82" s="644"/>
      <c r="G82" s="642"/>
      <c r="H82" s="642"/>
      <c r="I82" s="642"/>
    </row>
    <row r="83" spans="2:9" ht="15.75">
      <c r="B83" s="641" t="s">
        <v>847</v>
      </c>
      <c r="C83" s="644"/>
      <c r="D83" s="644"/>
      <c r="E83" s="644"/>
      <c r="F83" s="644"/>
      <c r="G83" s="642"/>
      <c r="H83" s="642"/>
      <c r="I83" s="642"/>
    </row>
    <row r="84" spans="2:9" ht="15.75">
      <c r="B84" s="641" t="str">
        <f>CONCATENATE("Budget Year ",G14," is equal to or greater than that for Current Year Estimate ",E14,".")</f>
        <v>Budget Year 2014 is equal to or greater than that for Current Year Estimate 2013.</v>
      </c>
      <c r="C84" s="644"/>
      <c r="D84" s="644"/>
      <c r="E84" s="644"/>
      <c r="F84" s="644"/>
      <c r="G84" s="642"/>
      <c r="H84" s="642"/>
      <c r="I84" s="642"/>
    </row>
    <row r="85" spans="2:9">
      <c r="B85" s="644"/>
      <c r="C85" s="644"/>
      <c r="D85" s="644"/>
      <c r="E85" s="644"/>
      <c r="F85" s="644"/>
      <c r="G85" s="642"/>
      <c r="H85" s="642"/>
      <c r="I85" s="642"/>
    </row>
    <row r="86" spans="2:9" ht="15.75">
      <c r="B86" s="641" t="s">
        <v>848</v>
      </c>
      <c r="C86" s="644"/>
      <c r="D86" s="644"/>
      <c r="E86" s="644"/>
      <c r="F86" s="644"/>
      <c r="G86" s="642"/>
      <c r="H86" s="642"/>
      <c r="I86" s="642"/>
    </row>
    <row r="87" spans="2:9" ht="15.75">
      <c r="B87" s="641" t="s">
        <v>849</v>
      </c>
      <c r="C87" s="644"/>
      <c r="D87" s="644"/>
      <c r="E87" s="644"/>
      <c r="F87" s="644"/>
      <c r="G87" s="642"/>
      <c r="H87" s="642"/>
      <c r="I87" s="642"/>
    </row>
    <row r="88" spans="2:9" ht="15.75">
      <c r="B88" s="641" t="s">
        <v>850</v>
      </c>
      <c r="C88" s="644"/>
      <c r="D88" s="644"/>
      <c r="E88" s="644"/>
      <c r="F88" s="644"/>
      <c r="G88" s="642"/>
      <c r="H88" s="642"/>
      <c r="I88" s="642"/>
    </row>
    <row r="89" spans="2:9" ht="15.75">
      <c r="B89" s="641" t="str">
        <f>CONCATENATE("purpose for the previous (",E14,") year.")</f>
        <v>purpose for the previous (2013) year.</v>
      </c>
      <c r="C89" s="644"/>
      <c r="D89" s="644"/>
      <c r="E89" s="644"/>
      <c r="F89" s="644"/>
      <c r="G89" s="642"/>
      <c r="H89" s="642"/>
      <c r="I89" s="642"/>
    </row>
    <row r="90" spans="2:9">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2014 is budgeted. Often this line is budgeted at $0 or left</v>
      </c>
      <c r="C91" s="644"/>
      <c r="D91" s="644"/>
      <c r="E91" s="644"/>
      <c r="F91" s="644"/>
      <c r="G91" s="642"/>
      <c r="H91" s="642"/>
      <c r="I91" s="642"/>
    </row>
    <row r="92" spans="2:9" ht="15.75">
      <c r="B92" s="641" t="s">
        <v>851</v>
      </c>
      <c r="C92" s="644"/>
      <c r="D92" s="644"/>
      <c r="E92" s="644"/>
      <c r="F92" s="644"/>
      <c r="G92" s="642"/>
      <c r="H92" s="642"/>
      <c r="I92" s="642"/>
    </row>
    <row r="93" spans="2:9" ht="15.75">
      <c r="B93" s="641" t="s">
        <v>852</v>
      </c>
      <c r="C93" s="644"/>
      <c r="D93" s="644"/>
      <c r="E93" s="644"/>
      <c r="F93" s="644"/>
      <c r="G93" s="642"/>
      <c r="H93" s="642"/>
      <c r="I93" s="642"/>
    </row>
    <row r="94" spans="2:9" ht="15.75">
      <c r="B94" s="641" t="s">
        <v>853</v>
      </c>
      <c r="C94" s="644"/>
      <c r="D94" s="644"/>
      <c r="E94" s="644"/>
      <c r="F94" s="644"/>
      <c r="G94" s="642"/>
      <c r="H94" s="642"/>
      <c r="I94" s="642"/>
    </row>
    <row r="95" spans="2:9">
      <c r="B95" s="644"/>
      <c r="C95" s="644"/>
      <c r="D95" s="644"/>
      <c r="E95" s="644"/>
      <c r="F95" s="644"/>
      <c r="G95" s="642"/>
      <c r="H95" s="642"/>
      <c r="I95" s="642"/>
    </row>
    <row r="96" spans="2:9" ht="15.75">
      <c r="B96" s="643" t="s">
        <v>854</v>
      </c>
      <c r="C96" s="644"/>
      <c r="D96" s="644"/>
      <c r="E96" s="644"/>
      <c r="F96" s="644"/>
      <c r="G96" s="642"/>
      <c r="H96" s="642"/>
      <c r="I96" s="642"/>
    </row>
    <row r="97" spans="2:9">
      <c r="B97" s="644"/>
      <c r="C97" s="644"/>
      <c r="D97" s="644"/>
      <c r="E97" s="644"/>
      <c r="F97" s="644"/>
      <c r="G97" s="642"/>
      <c r="H97" s="642"/>
      <c r="I97" s="642"/>
    </row>
    <row r="98" spans="2:9" ht="15.75">
      <c r="B98" s="641" t="s">
        <v>855</v>
      </c>
      <c r="C98" s="644"/>
      <c r="D98" s="644"/>
      <c r="E98" s="644"/>
      <c r="F98" s="644"/>
      <c r="G98" s="642"/>
      <c r="H98" s="642"/>
      <c r="I98" s="642"/>
    </row>
    <row r="99" spans="2:9" ht="15.75">
      <c r="B99" s="641" t="s">
        <v>856</v>
      </c>
      <c r="C99" s="644"/>
      <c r="D99" s="644"/>
      <c r="E99" s="644"/>
      <c r="F99" s="644"/>
      <c r="G99" s="642"/>
      <c r="H99" s="642"/>
      <c r="I99" s="642"/>
    </row>
    <row r="100" spans="2:9">
      <c r="B100" s="644"/>
      <c r="C100" s="644"/>
      <c r="D100" s="644"/>
      <c r="E100" s="644"/>
      <c r="F100" s="644"/>
      <c r="G100" s="642"/>
      <c r="H100" s="642"/>
      <c r="I100" s="642"/>
    </row>
    <row r="101" spans="2:9" ht="15.75">
      <c r="B101" s="641" t="s">
        <v>857</v>
      </c>
      <c r="C101" s="644"/>
      <c r="D101" s="644"/>
      <c r="E101" s="644"/>
      <c r="F101" s="644"/>
      <c r="G101" s="642"/>
      <c r="H101" s="642"/>
      <c r="I101" s="642"/>
    </row>
    <row r="102" spans="2:9" ht="15.75">
      <c r="B102" s="641" t="s">
        <v>858</v>
      </c>
      <c r="C102" s="644"/>
      <c r="D102" s="644"/>
      <c r="E102" s="644"/>
      <c r="F102" s="644"/>
      <c r="G102" s="642"/>
      <c r="H102" s="642"/>
      <c r="I102" s="642"/>
    </row>
    <row r="103" spans="2:9" ht="15.75">
      <c r="B103" s="641" t="s">
        <v>859</v>
      </c>
      <c r="C103" s="644"/>
      <c r="D103" s="644"/>
      <c r="E103" s="644"/>
      <c r="F103" s="644"/>
      <c r="G103" s="642"/>
      <c r="H103" s="642"/>
      <c r="I103" s="642"/>
    </row>
    <row r="104" spans="2:9" ht="15.75">
      <c r="B104" s="641" t="s">
        <v>860</v>
      </c>
      <c r="C104" s="644"/>
      <c r="D104" s="644"/>
      <c r="E104" s="644"/>
      <c r="F104" s="644"/>
      <c r="G104" s="642"/>
      <c r="H104" s="642"/>
      <c r="I104" s="642"/>
    </row>
    <row r="105" spans="2:9" ht="15.75">
      <c r="B105" s="776" t="s">
        <v>971</v>
      </c>
      <c r="C105" s="777"/>
      <c r="D105" s="777"/>
      <c r="E105" s="777"/>
      <c r="F105" s="777"/>
      <c r="G105" s="642"/>
      <c r="H105" s="642"/>
      <c r="I105" s="642"/>
    </row>
    <row r="108" spans="2:9">
      <c r="G108" s="64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dimension ref="B1:K115"/>
  <sheetViews>
    <sheetView zoomScaleNormal="100" workbookViewId="0">
      <selection activeCell="I6" sqref="I6"/>
    </sheetView>
  </sheetViews>
  <sheetFormatPr defaultColWidth="8.88671875" defaultRowHeight="15.75"/>
  <cols>
    <col min="1" max="1" width="2.44140625" style="80" customWidth="1"/>
    <col min="2" max="2" width="31.109375" style="80" customWidth="1"/>
    <col min="3" max="3" width="14.109375" style="80" customWidth="1"/>
    <col min="4" max="4" width="14.77734375" style="80" customWidth="1"/>
    <col min="5" max="5" width="14.109375" style="80" customWidth="1"/>
    <col min="6" max="6" width="8.109375" style="80" customWidth="1"/>
    <col min="7" max="7" width="10.21875" style="80" customWidth="1"/>
    <col min="8" max="8" width="8.88671875" style="80" customWidth="1"/>
    <col min="9" max="9" width="5" style="80" customWidth="1"/>
    <col min="10" max="10" width="10" style="80" customWidth="1"/>
    <col min="11" max="16384" width="8.88671875" style="80"/>
  </cols>
  <sheetData>
    <row r="1" spans="2:11">
      <c r="B1" s="253" t="str">
        <f>inputPrYr!D3</f>
        <v>City of Bonner Springs</v>
      </c>
      <c r="C1" s="84"/>
      <c r="D1" s="84"/>
      <c r="E1" s="277">
        <f>inputPrYr!C10</f>
        <v>2014</v>
      </c>
    </row>
    <row r="2" spans="2:11">
      <c r="B2" s="497" t="s">
        <v>6</v>
      </c>
      <c r="C2" s="379"/>
      <c r="D2" s="379"/>
      <c r="E2" s="379"/>
    </row>
    <row r="3" spans="2:11">
      <c r="B3" s="231" t="s">
        <v>282</v>
      </c>
      <c r="C3" s="614" t="s">
        <v>806</v>
      </c>
      <c r="D3" s="615" t="s">
        <v>807</v>
      </c>
      <c r="E3" s="204" t="s">
        <v>808</v>
      </c>
    </row>
    <row r="4" spans="2:11">
      <c r="B4" s="561" t="str">
        <f>inputPrYr!B22</f>
        <v>General</v>
      </c>
      <c r="C4" s="440" t="str">
        <f>CONCATENATE("Actual for ",E1-2,"")</f>
        <v>Actual for 2012</v>
      </c>
      <c r="D4" s="440" t="str">
        <f>CONCATENATE("Estimate for ",E1-1,"")</f>
        <v>Estimate for 2013</v>
      </c>
      <c r="E4" s="268" t="str">
        <f>CONCATENATE("Year for ",E1,"")</f>
        <v>Year for 2014</v>
      </c>
      <c r="K4" s="620"/>
    </row>
    <row r="5" spans="2:11">
      <c r="B5" s="360" t="s">
        <v>57</v>
      </c>
      <c r="C5" s="432">
        <v>2391879</v>
      </c>
      <c r="D5" s="437">
        <f>C80</f>
        <v>2505573.7300000004</v>
      </c>
      <c r="E5" s="346">
        <f>D80</f>
        <v>1479087.7300000004</v>
      </c>
    </row>
    <row r="6" spans="2:11">
      <c r="B6" s="361" t="s">
        <v>59</v>
      </c>
      <c r="C6" s="218"/>
      <c r="D6" s="218"/>
      <c r="E6" s="124"/>
    </row>
    <row r="7" spans="2:11">
      <c r="B7" s="360" t="s">
        <v>283</v>
      </c>
      <c r="C7" s="432">
        <v>1193239</v>
      </c>
      <c r="D7" s="437">
        <v>1165374</v>
      </c>
      <c r="E7" s="380" t="s">
        <v>272</v>
      </c>
    </row>
    <row r="8" spans="2:11">
      <c r="B8" s="360" t="s">
        <v>285</v>
      </c>
      <c r="C8" s="432">
        <v>140320</v>
      </c>
      <c r="D8" s="432">
        <v>145732</v>
      </c>
      <c r="E8" s="346">
        <f>mvalloc!D8</f>
        <v>146747.25</v>
      </c>
    </row>
    <row r="9" spans="2:11">
      <c r="B9" s="360" t="s">
        <v>286</v>
      </c>
      <c r="C9" s="432">
        <v>946.91</v>
      </c>
      <c r="D9" s="432">
        <v>982</v>
      </c>
      <c r="E9" s="346">
        <f>mvalloc!E8</f>
        <v>939</v>
      </c>
    </row>
    <row r="10" spans="2:11">
      <c r="B10" s="360" t="s">
        <v>38</v>
      </c>
      <c r="C10" s="432">
        <v>1043.82</v>
      </c>
      <c r="D10" s="432">
        <v>1424</v>
      </c>
      <c r="E10" s="346">
        <f>mvalloc!F8</f>
        <v>976.62999999999988</v>
      </c>
    </row>
    <row r="11" spans="2:11">
      <c r="B11" s="360" t="s">
        <v>1124</v>
      </c>
      <c r="C11" s="432">
        <v>1793570</v>
      </c>
      <c r="D11" s="432">
        <v>1772000</v>
      </c>
      <c r="E11" s="346">
        <v>1668570</v>
      </c>
    </row>
    <row r="12" spans="2:11">
      <c r="B12" s="360" t="s">
        <v>1209</v>
      </c>
      <c r="C12" s="432">
        <v>941768</v>
      </c>
      <c r="D12" s="432">
        <v>940000</v>
      </c>
      <c r="E12" s="346">
        <v>940000</v>
      </c>
    </row>
    <row r="13" spans="2:11">
      <c r="B13" s="360" t="s">
        <v>1210</v>
      </c>
      <c r="C13" s="432">
        <v>439772</v>
      </c>
      <c r="D13" s="432">
        <v>574500</v>
      </c>
      <c r="E13" s="346">
        <v>528000</v>
      </c>
    </row>
    <row r="14" spans="2:11">
      <c r="B14" s="381" t="s">
        <v>1211</v>
      </c>
      <c r="C14" s="432">
        <v>675717</v>
      </c>
      <c r="D14" s="432">
        <v>636000</v>
      </c>
      <c r="E14" s="106">
        <v>636000</v>
      </c>
    </row>
    <row r="15" spans="2:11">
      <c r="B15" s="381" t="s">
        <v>1212</v>
      </c>
      <c r="C15" s="432">
        <v>285475</v>
      </c>
      <c r="D15" s="432">
        <v>260000</v>
      </c>
      <c r="E15" s="106">
        <v>260000</v>
      </c>
    </row>
    <row r="16" spans="2:11">
      <c r="B16" s="448" t="s">
        <v>1213</v>
      </c>
      <c r="C16" s="432">
        <v>14537</v>
      </c>
      <c r="D16" s="432">
        <v>28000</v>
      </c>
      <c r="E16" s="106">
        <v>28000</v>
      </c>
    </row>
    <row r="17" spans="2:5">
      <c r="B17" s="448" t="s">
        <v>1156</v>
      </c>
      <c r="C17" s="432">
        <v>45741</v>
      </c>
      <c r="D17" s="432">
        <v>83000</v>
      </c>
      <c r="E17" s="106">
        <v>125700</v>
      </c>
    </row>
    <row r="18" spans="2:5">
      <c r="B18" s="448" t="s">
        <v>331</v>
      </c>
      <c r="C18" s="432">
        <v>8180</v>
      </c>
      <c r="D18" s="432">
        <v>5500</v>
      </c>
      <c r="E18" s="106">
        <v>5500</v>
      </c>
    </row>
    <row r="19" spans="2:5">
      <c r="B19" s="381" t="s">
        <v>1214</v>
      </c>
      <c r="C19" s="432">
        <v>99188</v>
      </c>
      <c r="D19" s="432">
        <v>100845</v>
      </c>
      <c r="E19" s="106">
        <v>100845</v>
      </c>
    </row>
    <row r="20" spans="2:5">
      <c r="B20" s="381" t="s">
        <v>1139</v>
      </c>
      <c r="C20" s="432">
        <v>50560</v>
      </c>
      <c r="D20" s="432">
        <v>45000</v>
      </c>
      <c r="E20" s="106">
        <v>45000</v>
      </c>
    </row>
    <row r="21" spans="2:5">
      <c r="B21" s="381" t="s">
        <v>1215</v>
      </c>
      <c r="C21" s="432">
        <v>94616</v>
      </c>
      <c r="D21" s="432">
        <v>61000</v>
      </c>
      <c r="E21" s="106">
        <v>61000</v>
      </c>
    </row>
    <row r="22" spans="2:5">
      <c r="B22" s="381" t="s">
        <v>1216</v>
      </c>
      <c r="C22" s="432">
        <v>25417</v>
      </c>
      <c r="D22" s="432">
        <v>25841</v>
      </c>
      <c r="E22" s="106">
        <v>25841</v>
      </c>
    </row>
    <row r="23" spans="2:5">
      <c r="B23" s="381" t="s">
        <v>1217</v>
      </c>
      <c r="C23" s="432">
        <v>46254</v>
      </c>
      <c r="D23" s="432">
        <v>42000</v>
      </c>
      <c r="E23" s="106">
        <v>42000</v>
      </c>
    </row>
    <row r="24" spans="2:5">
      <c r="B24" s="381" t="s">
        <v>1218</v>
      </c>
      <c r="C24" s="432">
        <v>68500</v>
      </c>
      <c r="D24" s="432">
        <v>67000</v>
      </c>
      <c r="E24" s="106">
        <v>67000</v>
      </c>
    </row>
    <row r="25" spans="2:5">
      <c r="B25" s="381" t="s">
        <v>1219</v>
      </c>
      <c r="C25" s="432">
        <v>24770</v>
      </c>
      <c r="D25" s="432">
        <v>25000</v>
      </c>
      <c r="E25" s="106">
        <v>25000</v>
      </c>
    </row>
    <row r="26" spans="2:5">
      <c r="B26" s="381" t="s">
        <v>1109</v>
      </c>
      <c r="C26" s="432">
        <v>34635</v>
      </c>
      <c r="D26" s="432">
        <v>38046</v>
      </c>
      <c r="E26" s="106">
        <v>45389</v>
      </c>
    </row>
    <row r="27" spans="2:5">
      <c r="B27" s="381" t="s">
        <v>1089</v>
      </c>
      <c r="C27" s="432">
        <v>27560</v>
      </c>
      <c r="D27" s="432">
        <v>33300</v>
      </c>
      <c r="E27" s="106">
        <v>15300</v>
      </c>
    </row>
    <row r="28" spans="2:5">
      <c r="B28" s="381" t="s">
        <v>1220</v>
      </c>
      <c r="C28" s="432">
        <v>27386</v>
      </c>
      <c r="D28" s="432">
        <v>25000</v>
      </c>
      <c r="E28" s="106">
        <v>24000</v>
      </c>
    </row>
    <row r="29" spans="2:5">
      <c r="B29" s="381" t="s">
        <v>1221</v>
      </c>
      <c r="C29" s="432">
        <v>4996</v>
      </c>
      <c r="D29" s="432">
        <v>5000</v>
      </c>
      <c r="E29" s="106">
        <v>5000</v>
      </c>
    </row>
    <row r="30" spans="2:5">
      <c r="B30" s="381" t="s">
        <v>1222</v>
      </c>
      <c r="C30" s="432">
        <v>24090</v>
      </c>
      <c r="D30" s="432">
        <v>36300</v>
      </c>
      <c r="E30" s="106">
        <v>27300</v>
      </c>
    </row>
    <row r="31" spans="2:5">
      <c r="B31" s="381" t="s">
        <v>1172</v>
      </c>
      <c r="C31" s="432">
        <v>5095</v>
      </c>
      <c r="D31" s="432">
        <v>1000</v>
      </c>
      <c r="E31" s="106">
        <v>1000</v>
      </c>
    </row>
    <row r="32" spans="2:5">
      <c r="B32" s="381" t="s">
        <v>181</v>
      </c>
      <c r="C32" s="432">
        <v>0</v>
      </c>
      <c r="D32" s="432">
        <v>-74781</v>
      </c>
      <c r="E32" s="106">
        <v>-81268</v>
      </c>
    </row>
    <row r="33" spans="2:5">
      <c r="B33" s="381" t="s">
        <v>1223</v>
      </c>
      <c r="C33" s="432">
        <v>87045</v>
      </c>
      <c r="D33" s="432">
        <v>96660</v>
      </c>
      <c r="E33" s="106">
        <v>97460</v>
      </c>
    </row>
    <row r="34" spans="2:5">
      <c r="B34" s="381" t="s">
        <v>1224</v>
      </c>
      <c r="C34" s="432">
        <v>29015</v>
      </c>
      <c r="D34" s="432">
        <v>33233</v>
      </c>
      <c r="E34" s="106">
        <v>33500</v>
      </c>
    </row>
    <row r="35" spans="2:5">
      <c r="B35" s="381" t="s">
        <v>1225</v>
      </c>
      <c r="C35" s="432">
        <v>30500</v>
      </c>
      <c r="D35" s="432">
        <v>10500</v>
      </c>
      <c r="E35" s="106">
        <v>10500</v>
      </c>
    </row>
    <row r="36" spans="2:5">
      <c r="B36" s="381" t="s">
        <v>1226</v>
      </c>
      <c r="C36" s="432">
        <v>50800</v>
      </c>
      <c r="D36" s="432">
        <v>54325</v>
      </c>
      <c r="E36" s="106">
        <v>56250</v>
      </c>
    </row>
    <row r="37" spans="2:5">
      <c r="B37" s="381" t="s">
        <v>260</v>
      </c>
      <c r="C37" s="432"/>
      <c r="D37" s="432"/>
      <c r="E37" s="106"/>
    </row>
    <row r="38" spans="2:5">
      <c r="B38" s="362" t="s">
        <v>260</v>
      </c>
      <c r="C38" s="432"/>
      <c r="D38" s="432"/>
      <c r="E38" s="115"/>
    </row>
    <row r="39" spans="2:5">
      <c r="B39" s="352" t="s">
        <v>182</v>
      </c>
      <c r="C39" s="432"/>
      <c r="D39" s="432"/>
      <c r="E39" s="106"/>
    </row>
    <row r="40" spans="2:5">
      <c r="B40" s="352" t="s">
        <v>668</v>
      </c>
      <c r="C40" s="433" t="str">
        <f>IF(C41*0.1&lt;C39,"Exceed 10% Rule","")</f>
        <v/>
      </c>
      <c r="D40" s="433" t="str">
        <f>IF(D41*0.1&lt;D39,"Exceed 10% Rule","")</f>
        <v/>
      </c>
      <c r="E40" s="375" t="str">
        <f>IF(E41*0.1+E86&lt;E39,"Exceed 10% Rule","")</f>
        <v/>
      </c>
    </row>
    <row r="41" spans="2:5">
      <c r="B41" s="354" t="s">
        <v>288</v>
      </c>
      <c r="C41" s="436">
        <f>SUM(C7:C39)</f>
        <v>6270736.7300000004</v>
      </c>
      <c r="D41" s="436">
        <f>SUM(D7:D39)</f>
        <v>6237781</v>
      </c>
      <c r="E41" s="356">
        <f>SUM(E8:E39)</f>
        <v>4941549.88</v>
      </c>
    </row>
    <row r="42" spans="2:5">
      <c r="B42" s="354" t="s">
        <v>289</v>
      </c>
      <c r="C42" s="436">
        <f>C5+C41</f>
        <v>8662615.7300000004</v>
      </c>
      <c r="D42" s="436">
        <f>D5+D41</f>
        <v>8743354.7300000004</v>
      </c>
      <c r="E42" s="356">
        <f>E5+E41</f>
        <v>6420637.6100000003</v>
      </c>
    </row>
    <row r="43" spans="2:5">
      <c r="B43" s="84"/>
      <c r="C43" s="84"/>
      <c r="D43" s="84"/>
      <c r="E43" s="84"/>
    </row>
    <row r="44" spans="2:5">
      <c r="B44" s="173"/>
      <c r="C44" s="197" t="s">
        <v>298</v>
      </c>
      <c r="D44" s="231">
        <f>IF(inputPrYr!D24&gt;0,8,7)</f>
        <v>8</v>
      </c>
      <c r="E44" s="173"/>
    </row>
    <row r="45" spans="2:5">
      <c r="B45" s="173"/>
      <c r="C45" s="173"/>
      <c r="D45" s="173"/>
      <c r="E45" s="173"/>
    </row>
    <row r="46" spans="2:5">
      <c r="B46" s="253" t="str">
        <f>inputPrYr!D3</f>
        <v>City of Bonner Springs</v>
      </c>
      <c r="C46" s="84"/>
      <c r="D46" s="84"/>
      <c r="E46" s="228"/>
    </row>
    <row r="47" spans="2:5">
      <c r="B47" s="84"/>
      <c r="C47" s="84"/>
      <c r="D47" s="84"/>
      <c r="E47" s="197"/>
    </row>
    <row r="48" spans="2:5">
      <c r="B48" s="287" t="s">
        <v>5</v>
      </c>
      <c r="C48" s="279"/>
      <c r="D48" s="279"/>
      <c r="E48" s="279"/>
    </row>
    <row r="49" spans="2:5">
      <c r="B49" s="84" t="s">
        <v>282</v>
      </c>
      <c r="C49" s="573" t="s">
        <v>301</v>
      </c>
      <c r="D49" s="574" t="s">
        <v>79</v>
      </c>
      <c r="E49" s="575" t="s">
        <v>80</v>
      </c>
    </row>
    <row r="50" spans="2:5">
      <c r="B50" s="114" t="str">
        <f>inputPrYr!B22</f>
        <v>General</v>
      </c>
      <c r="C50" s="435" t="str">
        <f>C4</f>
        <v>Actual for 2012</v>
      </c>
      <c r="D50" s="435" t="str">
        <f>D4</f>
        <v>Estimate for 2013</v>
      </c>
      <c r="E50" s="359" t="str">
        <f>E4</f>
        <v>Year for 2014</v>
      </c>
    </row>
    <row r="51" spans="2:5">
      <c r="B51" s="382" t="s">
        <v>289</v>
      </c>
      <c r="C51" s="434">
        <f>C42</f>
        <v>8662615.7300000004</v>
      </c>
      <c r="D51" s="434">
        <f>D42</f>
        <v>8743354.7300000004</v>
      </c>
      <c r="E51" s="119">
        <f>E42</f>
        <v>6420637.6100000003</v>
      </c>
    </row>
    <row r="52" spans="2:5">
      <c r="B52" s="361" t="s">
        <v>291</v>
      </c>
      <c r="C52" s="218"/>
      <c r="D52" s="218"/>
      <c r="E52" s="124"/>
    </row>
    <row r="53" spans="2:5">
      <c r="B53" s="383" t="str">
        <f>'GenDetail '!A5</f>
        <v>Bonner Beautiful</v>
      </c>
      <c r="C53" s="756">
        <f>'GenDetail '!B10</f>
        <v>4649</v>
      </c>
      <c r="D53" s="756">
        <f>'GenDetail '!C10</f>
        <v>6290</v>
      </c>
      <c r="E53" s="757">
        <f>'GenDetail '!D10</f>
        <v>6290</v>
      </c>
    </row>
    <row r="54" spans="2:5">
      <c r="B54" s="383" t="str">
        <f>'GenDetail '!A11</f>
        <v>Budget &amp; Finance</v>
      </c>
      <c r="C54" s="756">
        <f>'GenDetail '!B16</f>
        <v>289971</v>
      </c>
      <c r="D54" s="756">
        <f>'GenDetail '!C16</f>
        <v>316424</v>
      </c>
      <c r="E54" s="757">
        <f>'GenDetail '!D16</f>
        <v>323052</v>
      </c>
    </row>
    <row r="55" spans="2:5">
      <c r="B55" s="383" t="str">
        <f>'GenDetail '!A17</f>
        <v>Building Codes</v>
      </c>
      <c r="C55" s="756">
        <f>'GenDetail '!B22</f>
        <v>110993</v>
      </c>
      <c r="D55" s="756">
        <f>'GenDetail '!C22</f>
        <v>120145</v>
      </c>
      <c r="E55" s="757">
        <f>'GenDetail '!D22</f>
        <v>125512</v>
      </c>
    </row>
    <row r="56" spans="2:5">
      <c r="B56" s="383" t="str">
        <f>'GenDetail '!A23</f>
        <v>Cemetery</v>
      </c>
      <c r="C56" s="756">
        <f>'GenDetail '!B28</f>
        <v>66653</v>
      </c>
      <c r="D56" s="756">
        <f>'GenDetail '!C28</f>
        <v>70186</v>
      </c>
      <c r="E56" s="757">
        <f>'GenDetail '!D28</f>
        <v>71078</v>
      </c>
    </row>
    <row r="57" spans="2:5">
      <c r="B57" s="383" t="str">
        <f>'GenDetail '!A29</f>
        <v>City Band</v>
      </c>
      <c r="C57" s="756">
        <f>'GenDetail '!B34</f>
        <v>7348</v>
      </c>
      <c r="D57" s="756">
        <f>'GenDetail '!C34</f>
        <v>9180</v>
      </c>
      <c r="E57" s="757">
        <f>'GenDetail '!D34</f>
        <v>8980</v>
      </c>
    </row>
    <row r="58" spans="2:5">
      <c r="B58" s="383" t="str">
        <f>'GenDetail '!A35</f>
        <v>City Clerk</v>
      </c>
      <c r="C58" s="756">
        <f>'GenDetail '!B40</f>
        <v>328259</v>
      </c>
      <c r="D58" s="756">
        <f>'GenDetail '!C40</f>
        <v>380732</v>
      </c>
      <c r="E58" s="757">
        <f>'GenDetail '!D40</f>
        <v>264774</v>
      </c>
    </row>
    <row r="59" spans="2:5">
      <c r="B59" s="383" t="str">
        <f>'GenDetail '!A41</f>
        <v>City Council</v>
      </c>
      <c r="C59" s="756">
        <f>'GenDetail '!B46</f>
        <v>20976</v>
      </c>
      <c r="D59" s="756">
        <f>'GenDetail '!C46</f>
        <v>23315</v>
      </c>
      <c r="E59" s="757">
        <f>'GenDetail '!D46</f>
        <v>21705</v>
      </c>
    </row>
    <row r="60" spans="2:5">
      <c r="B60" s="383" t="str">
        <f>'GenDetail '!A47</f>
        <v>City Manager</v>
      </c>
      <c r="C60" s="756">
        <f>'GenDetail '!B52</f>
        <v>410423</v>
      </c>
      <c r="D60" s="756">
        <f>'GenDetail '!C52</f>
        <v>428585</v>
      </c>
      <c r="E60" s="757">
        <f>'GenDetail '!D52</f>
        <v>427180</v>
      </c>
    </row>
    <row r="61" spans="2:5">
      <c r="B61" s="383" t="str">
        <f>'GenDetail '!A53</f>
        <v>Custodial</v>
      </c>
      <c r="C61" s="801">
        <f>'GenDetail '!B58</f>
        <v>72129</v>
      </c>
      <c r="D61" s="801">
        <f>'GenDetail '!C58</f>
        <v>85465</v>
      </c>
      <c r="E61" s="801">
        <f>'GenDetail '!D58</f>
        <v>86576</v>
      </c>
    </row>
    <row r="62" spans="2:5">
      <c r="B62" s="383" t="str">
        <f>'GenDetail '!A67</f>
        <v>Fire</v>
      </c>
      <c r="C62" s="756">
        <f>'GenDetail '!B72</f>
        <v>171397</v>
      </c>
      <c r="D62" s="756">
        <f>'GenDetail '!C72</f>
        <v>209975</v>
      </c>
      <c r="E62" s="757">
        <f>'GenDetail '!D72</f>
        <v>212820</v>
      </c>
    </row>
    <row r="63" spans="2:5">
      <c r="B63" s="383" t="str">
        <f>'GenDetail '!A73</f>
        <v>Municipal Court</v>
      </c>
      <c r="C63" s="756">
        <f>'GenDetail '!B78</f>
        <v>164461</v>
      </c>
      <c r="D63" s="756">
        <f>'GenDetail '!C78</f>
        <v>194111</v>
      </c>
      <c r="E63" s="757">
        <f>'GenDetail '!D78</f>
        <v>189370</v>
      </c>
    </row>
    <row r="64" spans="2:5">
      <c r="B64" s="383" t="str">
        <f>'GenDetail '!A79</f>
        <v>Parks &amp; Recreation</v>
      </c>
      <c r="C64" s="756">
        <f>'GenDetail '!B84</f>
        <v>475058</v>
      </c>
      <c r="D64" s="756">
        <f>'GenDetail '!C84</f>
        <v>556186</v>
      </c>
      <c r="E64" s="757">
        <f>'GenDetail '!D84</f>
        <v>631043</v>
      </c>
    </row>
    <row r="65" spans="2:11">
      <c r="B65" s="383" t="str">
        <f>'GenDetail '!A85</f>
        <v>Planning</v>
      </c>
      <c r="C65" s="756">
        <f>'GenDetail '!B90</f>
        <v>106690</v>
      </c>
      <c r="D65" s="756">
        <f>'GenDetail '!C90</f>
        <v>116550</v>
      </c>
      <c r="E65" s="757">
        <f>'GenDetail '!D90</f>
        <v>119938</v>
      </c>
    </row>
    <row r="66" spans="2:11">
      <c r="B66" s="383" t="str">
        <f>'GenDetail '!A91</f>
        <v>Police</v>
      </c>
      <c r="C66" s="756">
        <f>'GenDetail '!B96</f>
        <v>2304058</v>
      </c>
      <c r="D66" s="756">
        <f>'GenDetail '!C96</f>
        <v>2479088</v>
      </c>
      <c r="E66" s="757">
        <f>'GenDetail '!D96</f>
        <v>2634901</v>
      </c>
    </row>
    <row r="67" spans="2:11">
      <c r="B67" s="383" t="str">
        <f>'GenDetail '!A97</f>
        <v>Project Manager</v>
      </c>
      <c r="C67" s="756">
        <f>'GenDetail '!B102</f>
        <v>84104</v>
      </c>
      <c r="D67" s="756">
        <f>'GenDetail '!C102</f>
        <v>89281</v>
      </c>
      <c r="E67" s="757">
        <f>'GenDetail '!D102</f>
        <v>98299</v>
      </c>
    </row>
    <row r="68" spans="2:11">
      <c r="B68" s="383" t="str">
        <f>'GenDetail '!A103</f>
        <v>Property Maintenance Codes</v>
      </c>
      <c r="C68" s="756">
        <f>'GenDetail '!B108</f>
        <v>59501</v>
      </c>
      <c r="D68" s="756">
        <f>'GenDetail '!C108</f>
        <v>68459</v>
      </c>
      <c r="E68" s="757">
        <f>'GenDetail '!D108</f>
        <v>70642</v>
      </c>
    </row>
    <row r="69" spans="2:11">
      <c r="B69" s="383" t="str">
        <f>'GenDetail '!A109</f>
        <v>Public Works</v>
      </c>
      <c r="C69" s="756">
        <f>'GenDetail '!B114</f>
        <v>683957</v>
      </c>
      <c r="D69" s="756">
        <f>'GenDetail '!C114</f>
        <v>917780</v>
      </c>
      <c r="E69" s="757">
        <f>'GenDetail '!D114</f>
        <v>983729</v>
      </c>
    </row>
    <row r="70" spans="2:11">
      <c r="B70" s="383" t="str">
        <f>'GenDetail '!A115</f>
        <v>Transfers &amp; Contingencies</v>
      </c>
      <c r="C70" s="756">
        <f>'GenDetail '!B118</f>
        <v>796415</v>
      </c>
      <c r="D70" s="756">
        <f>'GenDetail '!C118</f>
        <v>832790</v>
      </c>
      <c r="E70" s="756">
        <f>'GenDetail '!D118</f>
        <v>820110</v>
      </c>
      <c r="G70" s="917" t="str">
        <f>CONCATENATE("Desired Carryover Into ",E1+1,"")</f>
        <v>Desired Carryover Into 2015</v>
      </c>
      <c r="H70" s="918"/>
      <c r="I70" s="918"/>
      <c r="J70" s="919"/>
    </row>
    <row r="71" spans="2:11">
      <c r="B71" s="383"/>
      <c r="C71" s="756"/>
      <c r="D71" s="756"/>
      <c r="E71" s="757"/>
      <c r="G71" s="681"/>
      <c r="H71" s="682"/>
      <c r="I71" s="682"/>
      <c r="J71" s="683"/>
    </row>
    <row r="72" spans="2:11">
      <c r="B72" s="384" t="s">
        <v>669</v>
      </c>
      <c r="C72" s="758">
        <f>SUM(C53:C70)</f>
        <v>6157042</v>
      </c>
      <c r="D72" s="758">
        <f t="shared" ref="D72:E72" si="0">SUM(D53:D70)</f>
        <v>6904542</v>
      </c>
      <c r="E72" s="758">
        <f t="shared" si="0"/>
        <v>7095999</v>
      </c>
      <c r="G72" s="684" t="s">
        <v>673</v>
      </c>
      <c r="H72" s="685"/>
      <c r="I72" s="685"/>
      <c r="J72" s="686">
        <v>0</v>
      </c>
    </row>
    <row r="73" spans="2:11">
      <c r="B73" s="348"/>
      <c r="C73" s="432"/>
      <c r="D73" s="432"/>
      <c r="E73" s="106"/>
      <c r="G73" s="687" t="s">
        <v>674</v>
      </c>
      <c r="H73" s="688"/>
      <c r="I73" s="689"/>
      <c r="J73" s="690" t="str">
        <f>IF(J72=0,"",ROUND((J72+E86-G84)/inputOth!B14*1000,3)-G89)</f>
        <v/>
      </c>
    </row>
    <row r="74" spans="2:11">
      <c r="B74" s="348"/>
      <c r="C74" s="432"/>
      <c r="D74" s="432"/>
      <c r="E74" s="106"/>
      <c r="G74" s="691" t="str">
        <f>CONCATENATE("",E1," Tot Exp/Non-Appr Must Be:")</f>
        <v>2014 Tot Exp/Non-Appr Must Be:</v>
      </c>
      <c r="H74" s="692"/>
      <c r="I74" s="693"/>
      <c r="J74" s="694">
        <f>IF(J72&gt;0,IF(E83&lt;E42,IF(J72=G84,E83,((J72-G84)*(1-D85))+E42),E83+(J72-G84)),0)</f>
        <v>0</v>
      </c>
    </row>
    <row r="75" spans="2:11">
      <c r="B75" s="348"/>
      <c r="C75" s="432"/>
      <c r="D75" s="432"/>
      <c r="E75" s="106"/>
      <c r="G75" s="695" t="s">
        <v>891</v>
      </c>
      <c r="H75" s="696"/>
      <c r="I75" s="696"/>
      <c r="J75" s="697">
        <f>IF(J72&gt;0,J74-E83,0)</f>
        <v>0</v>
      </c>
    </row>
    <row r="76" spans="2:11">
      <c r="B76" s="352" t="s">
        <v>181</v>
      </c>
      <c r="C76" s="432"/>
      <c r="D76" s="432"/>
      <c r="E76" s="111" t="str">
        <f>nhood!E6</f>
        <v/>
      </c>
      <c r="G76" s="917" t="str">
        <f>CONCATENATE("Projected Carryover Into ",E1+1,"")</f>
        <v>Projected Carryover Into 2015</v>
      </c>
      <c r="H76" s="920"/>
      <c r="I76" s="920"/>
      <c r="J76" s="921"/>
    </row>
    <row r="77" spans="2:11">
      <c r="B77" s="352" t="s">
        <v>182</v>
      </c>
      <c r="C77" s="432">
        <f>'GenDetail '!B120</f>
        <v>0</v>
      </c>
      <c r="D77" s="432">
        <f>'GenDetail '!C120</f>
        <v>359725</v>
      </c>
      <c r="E77" s="432">
        <f>'GenDetail '!D120</f>
        <v>370220</v>
      </c>
      <c r="G77" s="681"/>
      <c r="H77" s="682"/>
      <c r="I77" s="682"/>
      <c r="J77" s="683"/>
    </row>
    <row r="78" spans="2:11">
      <c r="B78" s="352" t="s">
        <v>667</v>
      </c>
      <c r="C78" s="433" t="str">
        <f>IF(C79*0.1&lt;C77,"Exceed 10% Rule","")</f>
        <v/>
      </c>
      <c r="D78" s="433" t="str">
        <f>IF(D79*0.1&lt;D77,"Exceed 10% Rule","")</f>
        <v/>
      </c>
      <c r="E78" s="375" t="str">
        <f>IF(E79*0.1&lt;E77,"Exceed 10% Rule","")</f>
        <v/>
      </c>
      <c r="G78" s="698">
        <f>D80</f>
        <v>1479087.7300000004</v>
      </c>
      <c r="H78" s="699" t="str">
        <f>CONCATENATE("",E1-1," Ending Cash Balance (est.)")</f>
        <v>2013 Ending Cash Balance (est.)</v>
      </c>
      <c r="I78" s="700"/>
      <c r="J78" s="683"/>
    </row>
    <row r="79" spans="2:11">
      <c r="B79" s="354" t="s">
        <v>295</v>
      </c>
      <c r="C79" s="436">
        <f>SUM(C72:C77)</f>
        <v>6157042</v>
      </c>
      <c r="D79" s="436">
        <f>SUM(D72:D77)</f>
        <v>7264267</v>
      </c>
      <c r="E79" s="356">
        <f>SUM(E72:E77)</f>
        <v>7466219</v>
      </c>
      <c r="G79" s="698">
        <f>E41</f>
        <v>4941549.88</v>
      </c>
      <c r="H79" s="685" t="str">
        <f>CONCATENATE("",E1," Non-AV Receipts (est.)")</f>
        <v>2014 Non-AV Receipts (est.)</v>
      </c>
      <c r="I79" s="700"/>
      <c r="J79" s="683"/>
    </row>
    <row r="80" spans="2:11">
      <c r="B80" s="167" t="s">
        <v>58</v>
      </c>
      <c r="C80" s="434">
        <f>C42-C79</f>
        <v>2505573.7300000004</v>
      </c>
      <c r="D80" s="434">
        <f>D42-D79</f>
        <v>1479087.7300000004</v>
      </c>
      <c r="E80" s="380" t="s">
        <v>272</v>
      </c>
      <c r="G80" s="701">
        <f>IF(E85&gt;0,E84,E86)</f>
        <v>1418512.3899999997</v>
      </c>
      <c r="H80" s="685" t="str">
        <f>CONCATENATE("",E1," Ad Valorem Tax (est.)")</f>
        <v>2014 Ad Valorem Tax (est.)</v>
      </c>
      <c r="I80" s="700"/>
      <c r="J80" s="683"/>
      <c r="K80" s="702" t="str">
        <f>IF(G80=E86,"","Note: Does not include Delinquent Taxes")</f>
        <v>Note: Does not include Delinquent Taxes</v>
      </c>
    </row>
    <row r="81" spans="2:10">
      <c r="B81" s="197" t="str">
        <f>CONCATENATE("",E1-2,"/",E1-1," Budget Authority Amount:")</f>
        <v>2012/2013 Budget Authority Amount:</v>
      </c>
      <c r="C81" s="303">
        <f>inputOth!B73</f>
        <v>6803931</v>
      </c>
      <c r="D81" s="303">
        <f>inputPrYr!D22</f>
        <v>7264267</v>
      </c>
      <c r="E81" s="380" t="s">
        <v>272</v>
      </c>
      <c r="F81" s="365"/>
      <c r="G81" s="698">
        <f>SUM(G78:G80)</f>
        <v>7839150</v>
      </c>
      <c r="H81" s="685" t="str">
        <f>CONCATENATE("Total ",E1," Resources Available")</f>
        <v>Total 2014 Resources Available</v>
      </c>
      <c r="I81" s="700"/>
      <c r="J81" s="683"/>
    </row>
    <row r="82" spans="2:10">
      <c r="B82" s="197"/>
      <c r="C82" s="913" t="s">
        <v>670</v>
      </c>
      <c r="D82" s="914"/>
      <c r="E82" s="349">
        <v>372931</v>
      </c>
      <c r="F82" s="703" t="str">
        <f>IF((E79/0.95)-E79&lt;E82,"Exceeds 5% ","")</f>
        <v/>
      </c>
      <c r="G82" s="704"/>
      <c r="H82" s="685"/>
      <c r="I82" s="685"/>
      <c r="J82" s="683"/>
    </row>
    <row r="83" spans="2:10">
      <c r="B83" s="541" t="str">
        <f>CONCATENATE(C114,"     ",D114)</f>
        <v xml:space="preserve">     </v>
      </c>
      <c r="C83" s="915" t="s">
        <v>671</v>
      </c>
      <c r="D83" s="916"/>
      <c r="E83" s="124">
        <f>E79+E82</f>
        <v>7839150</v>
      </c>
      <c r="G83" s="701">
        <f>ROUND(C79*0.05+C79,0)</f>
        <v>6464894</v>
      </c>
      <c r="H83" s="685" t="str">
        <f>CONCATENATE("Less ",E1-2," Expenditures + 5%")</f>
        <v>Less 2012 Expenditures + 5%</v>
      </c>
      <c r="I83" s="700"/>
      <c r="J83" s="683"/>
    </row>
    <row r="84" spans="2:10">
      <c r="B84" s="541" t="str">
        <f>CONCATENATE(C115,"     ",D115)</f>
        <v xml:space="preserve">     </v>
      </c>
      <c r="C84" s="358"/>
      <c r="D84" s="228" t="s">
        <v>296</v>
      </c>
      <c r="E84" s="111">
        <f>IF(E83-E42&gt;0,E83-E42,0)</f>
        <v>1418512.3899999997</v>
      </c>
      <c r="G84" s="705">
        <f>G81-G83</f>
        <v>1374256</v>
      </c>
      <c r="H84" s="706" t="str">
        <f>CONCATENATE("Projected ",E1+1," Carryover (est.)")</f>
        <v>Projected 2015 Carryover (est.)</v>
      </c>
      <c r="I84" s="707"/>
      <c r="J84" s="708"/>
    </row>
    <row r="85" spans="2:10">
      <c r="B85" s="228"/>
      <c r="C85" s="493" t="s">
        <v>672</v>
      </c>
      <c r="D85" s="759">
        <f>inputOth!E58</f>
        <v>5.2630999999999997E-2</v>
      </c>
      <c r="E85" s="124">
        <f>ROUND(IF(D85&gt;0,(E84*D85),0),0)</f>
        <v>74658</v>
      </c>
    </row>
    <row r="86" spans="2:10" ht="16.5" thickBot="1">
      <c r="B86" s="84"/>
      <c r="C86" s="911" t="str">
        <f>CONCATENATE("Amount of  ",$E$1-1," Ad Valorem Tax")</f>
        <v>Amount of  2013 Ad Valorem Tax</v>
      </c>
      <c r="D86" s="912"/>
      <c r="E86" s="621">
        <f>E84+E85</f>
        <v>1493170.3899999997</v>
      </c>
      <c r="G86" s="922" t="s">
        <v>892</v>
      </c>
      <c r="H86" s="923"/>
      <c r="I86" s="923"/>
      <c r="J86" s="924"/>
    </row>
    <row r="87" spans="2:10" ht="16.5" thickTop="1">
      <c r="B87" s="84"/>
      <c r="C87" s="84"/>
      <c r="D87" s="84"/>
      <c r="E87" s="84"/>
      <c r="G87" s="709"/>
      <c r="H87" s="710"/>
      <c r="I87" s="711"/>
      <c r="J87" s="712"/>
    </row>
    <row r="88" spans="2:10">
      <c r="B88" s="173"/>
      <c r="C88" s="197" t="s">
        <v>298</v>
      </c>
      <c r="D88" s="231" t="str">
        <f>CONCATENATE("",D44,"a")</f>
        <v>8a</v>
      </c>
      <c r="E88" s="173"/>
      <c r="G88" s="713">
        <f>summ!H13</f>
        <v>22.768599999999999</v>
      </c>
      <c r="H88" s="710" t="str">
        <f>CONCATENATE("",E1," Fund Mill Rate")</f>
        <v>2014 Fund Mill Rate</v>
      </c>
      <c r="I88" s="711"/>
      <c r="J88" s="712"/>
    </row>
    <row r="89" spans="2:10">
      <c r="G89" s="714">
        <f>summ!E13</f>
        <v>18.533000000000001</v>
      </c>
      <c r="H89" s="710" t="str">
        <f>CONCATENATE("",E1-1," Fund Mill Rate")</f>
        <v>2013 Fund Mill Rate</v>
      </c>
      <c r="I89" s="711"/>
      <c r="J89" s="712"/>
    </row>
    <row r="90" spans="2:10">
      <c r="B90" s="144"/>
      <c r="G90" s="715">
        <f>summ!H45</f>
        <v>33.604999999999997</v>
      </c>
      <c r="H90" s="710" t="str">
        <f>CONCATENATE("Total ",E1," Mill Rate")</f>
        <v>Total 2014 Mill Rate</v>
      </c>
      <c r="I90" s="711"/>
      <c r="J90" s="712"/>
    </row>
    <row r="91" spans="2:10">
      <c r="G91" s="714">
        <f>summ!E45</f>
        <v>30.605</v>
      </c>
      <c r="H91" s="716" t="str">
        <f>CONCATENATE("Total ",E1-1," Mill Rate")</f>
        <v>Total 2013 Mill Rate</v>
      </c>
      <c r="I91" s="717"/>
      <c r="J91" s="718"/>
    </row>
    <row r="92" spans="2:10">
      <c r="G92" s="719"/>
      <c r="H92" s="720"/>
      <c r="I92" s="720"/>
      <c r="J92" s="721"/>
    </row>
    <row r="93" spans="2:10">
      <c r="B93" s="68"/>
      <c r="C93" s="68"/>
      <c r="G93" s="781" t="s">
        <v>976</v>
      </c>
      <c r="H93" s="780"/>
      <c r="I93" s="779" t="str">
        <f>cert!G50</f>
        <v>Yes</v>
      </c>
      <c r="J93" s="722" t="str">
        <f>IF(J92=0,"",ROUND((J92+E86-G86)/inputOth!B14*1000,3)-general!G88)</f>
        <v/>
      </c>
    </row>
    <row r="94" spans="2:10">
      <c r="G94" s="723"/>
      <c r="H94" s="520"/>
      <c r="I94" s="720"/>
      <c r="J94" s="724"/>
    </row>
    <row r="114" spans="3:4">
      <c r="C114" s="80" t="str">
        <f>IF(C79&gt;C81,"See Tab A","")</f>
        <v/>
      </c>
      <c r="D114" s="80" t="str">
        <f>IF(D79&gt;D81,"See Tab C","")</f>
        <v/>
      </c>
    </row>
    <row r="115" spans="3:4">
      <c r="C115" s="80" t="str">
        <f>IF(C80&lt;0,"See Tab B","")</f>
        <v/>
      </c>
      <c r="D115" s="80" t="str">
        <f>IF(D80&lt;0,"See Tab D","")</f>
        <v/>
      </c>
    </row>
  </sheetData>
  <mergeCells count="6">
    <mergeCell ref="C86:D86"/>
    <mergeCell ref="C82:D82"/>
    <mergeCell ref="C83:D83"/>
    <mergeCell ref="G70:J70"/>
    <mergeCell ref="G76:J76"/>
    <mergeCell ref="G86:J86"/>
  </mergeCells>
  <phoneticPr fontId="0" type="noConversion"/>
  <conditionalFormatting sqref="E82">
    <cfRule type="cellIs" dxfId="299" priority="3" stopIfTrue="1" operator="greaterThan">
      <formula>$E$79/0.95-$E$79</formula>
    </cfRule>
  </conditionalFormatting>
  <conditionalFormatting sqref="C79">
    <cfRule type="cellIs" dxfId="298" priority="4" stopIfTrue="1" operator="greaterThan">
      <formula>$C$81</formula>
    </cfRule>
  </conditionalFormatting>
  <conditionalFormatting sqref="C39">
    <cfRule type="cellIs" dxfId="297" priority="5" stopIfTrue="1" operator="greaterThan">
      <formula>$C$41*0.1</formula>
    </cfRule>
  </conditionalFormatting>
  <conditionalFormatting sqref="D39">
    <cfRule type="cellIs" dxfId="296" priority="6" stopIfTrue="1" operator="greaterThan">
      <formula>$D$41*0.1</formula>
    </cfRule>
  </conditionalFormatting>
  <conditionalFormatting sqref="C77:E77">
    <cfRule type="cellIs" dxfId="295" priority="7" stopIfTrue="1" operator="greaterThan">
      <formula>$C$79*0.1</formula>
    </cfRule>
  </conditionalFormatting>
  <conditionalFormatting sqref="D79">
    <cfRule type="cellIs" dxfId="294" priority="9" stopIfTrue="1" operator="greaterThan">
      <formula>$D$81</formula>
    </cfRule>
  </conditionalFormatting>
  <conditionalFormatting sqref="C80">
    <cfRule type="cellIs" dxfId="293" priority="10" stopIfTrue="1" operator="lessThan">
      <formula>0</formula>
    </cfRule>
  </conditionalFormatting>
  <conditionalFormatting sqref="D80">
    <cfRule type="cellIs" dxfId="292" priority="1" stopIfTrue="1" operator="lessThan">
      <formula>0</formula>
    </cfRule>
  </conditionalFormatting>
  <conditionalFormatting sqref="E39">
    <cfRule type="cellIs" dxfId="291" priority="29" stopIfTrue="1" operator="greaterThan">
      <formula>$E$41*0.1+$E$86</formula>
    </cfRule>
  </conditionalFormatting>
  <pageMargins left="0.25" right="0.25" top="0.5" bottom="0" header="0.25" footer="0.25"/>
  <pageSetup scale="95" fitToHeight="2" orientation="portrait" blackAndWhite="1" horizontalDpi="120" verticalDpi="144" r:id="rId1"/>
  <headerFooter alignWithMargins="0">
    <oddHeader>&amp;RState of Kansas
City</oddHeader>
  </headerFooter>
  <rowBreaks count="1" manualBreakCount="1">
    <brk id="45" max="16383" man="1"/>
  </rowBreaks>
</worksheet>
</file>

<file path=xl/worksheets/sheet14.xml><?xml version="1.0" encoding="utf-8"?>
<worksheet xmlns="http://schemas.openxmlformats.org/spreadsheetml/2006/main" xmlns:r="http://schemas.openxmlformats.org/officeDocument/2006/relationships">
  <dimension ref="A1:F125"/>
  <sheetViews>
    <sheetView zoomScaleNormal="100" workbookViewId="0">
      <selection activeCell="D123" sqref="D123"/>
    </sheetView>
  </sheetViews>
  <sheetFormatPr defaultColWidth="8.88671875" defaultRowHeight="15.75"/>
  <cols>
    <col min="1" max="1" width="28.33203125" style="68" customWidth="1"/>
    <col min="2" max="3" width="15.77734375" style="68" customWidth="1"/>
    <col min="4" max="4" width="16.109375" style="68" customWidth="1"/>
    <col min="5" max="16384" width="8.88671875" style="68"/>
  </cols>
  <sheetData>
    <row r="1" spans="1:4">
      <c r="A1" s="253" t="str">
        <f>inputPrYr!D3</f>
        <v>City of Bonner Springs</v>
      </c>
      <c r="B1" s="84"/>
      <c r="C1" s="231"/>
      <c r="D1" s="84">
        <f>inputPrYr!C10</f>
        <v>2014</v>
      </c>
    </row>
    <row r="2" spans="1:4">
      <c r="A2" s="231" t="s">
        <v>282</v>
      </c>
      <c r="B2" s="614" t="s">
        <v>806</v>
      </c>
      <c r="C2" s="615" t="s">
        <v>807</v>
      </c>
      <c r="D2" s="204" t="s">
        <v>808</v>
      </c>
    </row>
    <row r="3" spans="1:4">
      <c r="A3" s="99" t="s">
        <v>218</v>
      </c>
      <c r="B3" s="440" t="str">
        <f>CONCATENATE("Actual for ",D1-2,"")</f>
        <v>Actual for 2012</v>
      </c>
      <c r="C3" s="440" t="str">
        <f>CONCATENATE("Estimate for ",D1-1,"")</f>
        <v>Estimate for 2013</v>
      </c>
      <c r="D3" s="268" t="str">
        <f>CONCATENATE("Year for ",D1,"")</f>
        <v>Year for 2014</v>
      </c>
    </row>
    <row r="4" spans="1:4">
      <c r="A4" s="385" t="s">
        <v>291</v>
      </c>
      <c r="B4" s="124"/>
      <c r="C4" s="124"/>
      <c r="D4" s="124"/>
    </row>
    <row r="5" spans="1:4">
      <c r="A5" s="791" t="s">
        <v>1023</v>
      </c>
      <c r="B5" s="124"/>
      <c r="C5" s="124"/>
      <c r="D5" s="124"/>
    </row>
    <row r="6" spans="1:4">
      <c r="A6" s="386" t="s">
        <v>299</v>
      </c>
      <c r="B6" s="349">
        <v>0</v>
      </c>
      <c r="C6" s="349">
        <v>0</v>
      </c>
      <c r="D6" s="349">
        <v>0</v>
      </c>
    </row>
    <row r="7" spans="1:4">
      <c r="A7" s="386" t="s">
        <v>292</v>
      </c>
      <c r="B7" s="349">
        <v>1449</v>
      </c>
      <c r="C7" s="349">
        <v>3230</v>
      </c>
      <c r="D7" s="349">
        <v>2917</v>
      </c>
    </row>
    <row r="8" spans="1:4">
      <c r="A8" s="386" t="s">
        <v>293</v>
      </c>
      <c r="B8" s="349">
        <v>3200</v>
      </c>
      <c r="C8" s="349">
        <v>3060</v>
      </c>
      <c r="D8" s="349">
        <v>3373</v>
      </c>
    </row>
    <row r="9" spans="1:4">
      <c r="A9" s="386" t="s">
        <v>294</v>
      </c>
      <c r="B9" s="349">
        <v>0</v>
      </c>
      <c r="C9" s="349">
        <v>0</v>
      </c>
      <c r="D9" s="349">
        <v>0</v>
      </c>
    </row>
    <row r="10" spans="1:4">
      <c r="A10" s="385" t="s">
        <v>259</v>
      </c>
      <c r="B10" s="355">
        <f>SUM(B6:B9)</f>
        <v>4649</v>
      </c>
      <c r="C10" s="355">
        <f>SUM(C6:C9)</f>
        <v>6290</v>
      </c>
      <c r="D10" s="355">
        <f>SUM(D6:D9)</f>
        <v>6290</v>
      </c>
    </row>
    <row r="11" spans="1:4">
      <c r="A11" s="792" t="s">
        <v>1024</v>
      </c>
      <c r="B11" s="253"/>
      <c r="C11" s="253"/>
      <c r="D11" s="253"/>
    </row>
    <row r="12" spans="1:4">
      <c r="A12" s="386" t="s">
        <v>299</v>
      </c>
      <c r="B12" s="349">
        <v>245417</v>
      </c>
      <c r="C12" s="349">
        <v>270024</v>
      </c>
      <c r="D12" s="349">
        <v>275487</v>
      </c>
    </row>
    <row r="13" spans="1:4">
      <c r="A13" s="386" t="s">
        <v>292</v>
      </c>
      <c r="B13" s="349">
        <v>39285</v>
      </c>
      <c r="C13" s="349">
        <v>41700</v>
      </c>
      <c r="D13" s="349">
        <v>42515</v>
      </c>
    </row>
    <row r="14" spans="1:4">
      <c r="A14" s="386" t="s">
        <v>293</v>
      </c>
      <c r="B14" s="349">
        <v>4369</v>
      </c>
      <c r="C14" s="349">
        <v>4700</v>
      </c>
      <c r="D14" s="349">
        <v>5050</v>
      </c>
    </row>
    <row r="15" spans="1:4">
      <c r="A15" s="386" t="s">
        <v>294</v>
      </c>
      <c r="B15" s="349">
        <v>900</v>
      </c>
      <c r="C15" s="349">
        <v>0</v>
      </c>
      <c r="D15" s="349">
        <v>0</v>
      </c>
    </row>
    <row r="16" spans="1:4">
      <c r="A16" s="385" t="s">
        <v>259</v>
      </c>
      <c r="B16" s="355">
        <f>SUM(B12:B15)</f>
        <v>289971</v>
      </c>
      <c r="C16" s="355">
        <f>SUM(C12:C15)</f>
        <v>316424</v>
      </c>
      <c r="D16" s="355">
        <f>SUM(D12:D15)</f>
        <v>323052</v>
      </c>
    </row>
    <row r="17" spans="1:4">
      <c r="A17" s="792" t="s">
        <v>1025</v>
      </c>
      <c r="B17" s="253"/>
      <c r="C17" s="253"/>
      <c r="D17" s="253"/>
    </row>
    <row r="18" spans="1:4">
      <c r="A18" s="386" t="s">
        <v>299</v>
      </c>
      <c r="B18" s="349">
        <v>104766</v>
      </c>
      <c r="C18" s="349">
        <v>112850</v>
      </c>
      <c r="D18" s="349">
        <v>118901</v>
      </c>
    </row>
    <row r="19" spans="1:4">
      <c r="A19" s="386" t="s">
        <v>292</v>
      </c>
      <c r="B19" s="349">
        <v>3860</v>
      </c>
      <c r="C19" s="349">
        <v>4920</v>
      </c>
      <c r="D19" s="349">
        <v>4436</v>
      </c>
    </row>
    <row r="20" spans="1:4">
      <c r="A20" s="386" t="s">
        <v>293</v>
      </c>
      <c r="B20" s="349">
        <v>2367</v>
      </c>
      <c r="C20" s="349">
        <v>2375</v>
      </c>
      <c r="D20" s="349">
        <v>2175</v>
      </c>
    </row>
    <row r="21" spans="1:4">
      <c r="A21" s="386" t="s">
        <v>294</v>
      </c>
      <c r="B21" s="349">
        <v>0</v>
      </c>
      <c r="C21" s="349">
        <v>0</v>
      </c>
      <c r="D21" s="349">
        <v>0</v>
      </c>
    </row>
    <row r="22" spans="1:4">
      <c r="A22" s="385" t="s">
        <v>259</v>
      </c>
      <c r="B22" s="355">
        <f>SUM(B18:B21)</f>
        <v>110993</v>
      </c>
      <c r="C22" s="355">
        <f>SUM(C18:C21)</f>
        <v>120145</v>
      </c>
      <c r="D22" s="355">
        <f>SUM(D18:D21)</f>
        <v>125512</v>
      </c>
    </row>
    <row r="23" spans="1:4">
      <c r="A23" s="792" t="s">
        <v>1026</v>
      </c>
      <c r="B23" s="253"/>
      <c r="C23" s="253"/>
      <c r="D23" s="253"/>
    </row>
    <row r="24" spans="1:4">
      <c r="A24" s="386" t="s">
        <v>299</v>
      </c>
      <c r="B24" s="349">
        <v>57340</v>
      </c>
      <c r="C24" s="349">
        <v>61144</v>
      </c>
      <c r="D24" s="349">
        <v>61344</v>
      </c>
    </row>
    <row r="25" spans="1:4">
      <c r="A25" s="386" t="s">
        <v>292</v>
      </c>
      <c r="B25" s="349">
        <v>5002</v>
      </c>
      <c r="C25" s="349">
        <v>4027</v>
      </c>
      <c r="D25" s="349">
        <v>3709</v>
      </c>
    </row>
    <row r="26" spans="1:4">
      <c r="A26" s="386" t="s">
        <v>293</v>
      </c>
      <c r="B26" s="349">
        <v>4311</v>
      </c>
      <c r="C26" s="349">
        <v>5015</v>
      </c>
      <c r="D26" s="349">
        <v>5725</v>
      </c>
    </row>
    <row r="27" spans="1:4">
      <c r="A27" s="386" t="s">
        <v>294</v>
      </c>
      <c r="B27" s="349">
        <v>0</v>
      </c>
      <c r="C27" s="349">
        <v>0</v>
      </c>
      <c r="D27" s="349">
        <v>300</v>
      </c>
    </row>
    <row r="28" spans="1:4">
      <c r="A28" s="385" t="s">
        <v>259</v>
      </c>
      <c r="B28" s="355">
        <f>SUM(B24:B27)</f>
        <v>66653</v>
      </c>
      <c r="C28" s="355">
        <f>SUM(C24:C27)</f>
        <v>70186</v>
      </c>
      <c r="D28" s="355">
        <f>SUM(D24:D27)</f>
        <v>71078</v>
      </c>
    </row>
    <row r="29" spans="1:4">
      <c r="A29" s="792" t="s">
        <v>1027</v>
      </c>
      <c r="B29" s="253"/>
      <c r="C29" s="253"/>
      <c r="D29" s="253"/>
    </row>
    <row r="30" spans="1:4">
      <c r="A30" s="386" t="s">
        <v>299</v>
      </c>
      <c r="B30" s="349">
        <v>445</v>
      </c>
      <c r="C30" s="349">
        <v>550</v>
      </c>
      <c r="D30" s="349">
        <v>550</v>
      </c>
    </row>
    <row r="31" spans="1:4">
      <c r="A31" s="386" t="s">
        <v>292</v>
      </c>
      <c r="B31" s="349">
        <v>6379</v>
      </c>
      <c r="C31" s="349">
        <v>7420</v>
      </c>
      <c r="D31" s="349">
        <v>7420</v>
      </c>
    </row>
    <row r="32" spans="1:4">
      <c r="A32" s="386" t="s">
        <v>293</v>
      </c>
      <c r="B32" s="349">
        <v>524</v>
      </c>
      <c r="C32" s="349">
        <v>1210</v>
      </c>
      <c r="D32" s="349">
        <v>1010</v>
      </c>
    </row>
    <row r="33" spans="1:4">
      <c r="A33" s="386" t="s">
        <v>294</v>
      </c>
      <c r="B33" s="349">
        <v>0</v>
      </c>
      <c r="C33" s="349">
        <v>0</v>
      </c>
      <c r="D33" s="349">
        <v>0</v>
      </c>
    </row>
    <row r="34" spans="1:4">
      <c r="A34" s="385" t="s">
        <v>259</v>
      </c>
      <c r="B34" s="355">
        <f>SUM(B30:B33)</f>
        <v>7348</v>
      </c>
      <c r="C34" s="355">
        <f>SUM(C30:C33)</f>
        <v>9180</v>
      </c>
      <c r="D34" s="355">
        <f>SUM(D30:D33)</f>
        <v>8980</v>
      </c>
    </row>
    <row r="35" spans="1:4">
      <c r="A35" s="792" t="s">
        <v>71</v>
      </c>
      <c r="B35" s="253"/>
      <c r="C35" s="253"/>
      <c r="D35" s="253"/>
    </row>
    <row r="36" spans="1:4">
      <c r="A36" s="386" t="s">
        <v>299</v>
      </c>
      <c r="B36" s="349">
        <v>159522</v>
      </c>
      <c r="C36" s="349">
        <v>243524</v>
      </c>
      <c r="D36" s="349">
        <v>160415</v>
      </c>
    </row>
    <row r="37" spans="1:4">
      <c r="A37" s="386" t="s">
        <v>292</v>
      </c>
      <c r="B37" s="349">
        <v>95578</v>
      </c>
      <c r="C37" s="349">
        <v>125308</v>
      </c>
      <c r="D37" s="349">
        <v>94759</v>
      </c>
    </row>
    <row r="38" spans="1:4">
      <c r="A38" s="386" t="s">
        <v>293</v>
      </c>
      <c r="B38" s="349">
        <v>12044</v>
      </c>
      <c r="C38" s="349">
        <v>7400</v>
      </c>
      <c r="D38" s="349">
        <v>7400</v>
      </c>
    </row>
    <row r="39" spans="1:4">
      <c r="A39" s="386" t="s">
        <v>294</v>
      </c>
      <c r="B39" s="349">
        <v>61115</v>
      </c>
      <c r="C39" s="349">
        <v>4500</v>
      </c>
      <c r="D39" s="349">
        <v>2200</v>
      </c>
    </row>
    <row r="40" spans="1:4">
      <c r="A40" s="385" t="s">
        <v>259</v>
      </c>
      <c r="B40" s="355">
        <f>SUM(B36:B39)</f>
        <v>328259</v>
      </c>
      <c r="C40" s="355">
        <f>SUM(C36:C39)</f>
        <v>380732</v>
      </c>
      <c r="D40" s="355">
        <f>SUM(D36:D39)</f>
        <v>264774</v>
      </c>
    </row>
    <row r="41" spans="1:4">
      <c r="A41" s="792" t="s">
        <v>1028</v>
      </c>
      <c r="B41" s="253"/>
      <c r="C41" s="253"/>
      <c r="D41" s="253"/>
    </row>
    <row r="42" spans="1:4">
      <c r="A42" s="386" t="s">
        <v>299</v>
      </c>
      <c r="B42" s="349">
        <v>10070</v>
      </c>
      <c r="C42" s="349">
        <v>10070</v>
      </c>
      <c r="D42" s="349">
        <v>10130</v>
      </c>
    </row>
    <row r="43" spans="1:4">
      <c r="A43" s="386" t="s">
        <v>292</v>
      </c>
      <c r="B43" s="349">
        <v>7719</v>
      </c>
      <c r="C43" s="349">
        <v>8215</v>
      </c>
      <c r="D43" s="349">
        <v>7665</v>
      </c>
    </row>
    <row r="44" spans="1:4">
      <c r="A44" s="386" t="s">
        <v>293</v>
      </c>
      <c r="B44" s="349">
        <v>3187</v>
      </c>
      <c r="C44" s="349">
        <v>5030</v>
      </c>
      <c r="D44" s="349">
        <v>3910</v>
      </c>
    </row>
    <row r="45" spans="1:4">
      <c r="A45" s="386" t="s">
        <v>294</v>
      </c>
      <c r="B45" s="349">
        <v>0</v>
      </c>
      <c r="C45" s="349">
        <v>0</v>
      </c>
      <c r="D45" s="349">
        <v>0</v>
      </c>
    </row>
    <row r="46" spans="1:4">
      <c r="A46" s="385" t="s">
        <v>259</v>
      </c>
      <c r="B46" s="355">
        <f>SUM(B42:B45)</f>
        <v>20976</v>
      </c>
      <c r="C46" s="355">
        <f>SUM(C42:C45)</f>
        <v>23315</v>
      </c>
      <c r="D46" s="355">
        <f>SUM(D42:D45)</f>
        <v>21705</v>
      </c>
    </row>
    <row r="47" spans="1:4">
      <c r="A47" s="792" t="s">
        <v>1029</v>
      </c>
      <c r="B47" s="253"/>
      <c r="C47" s="253"/>
      <c r="D47" s="253"/>
    </row>
    <row r="48" spans="1:4">
      <c r="A48" s="386" t="s">
        <v>299</v>
      </c>
      <c r="B48" s="349">
        <v>359031</v>
      </c>
      <c r="C48" s="349">
        <v>380967</v>
      </c>
      <c r="D48" s="349">
        <v>375435</v>
      </c>
    </row>
    <row r="49" spans="1:4">
      <c r="A49" s="386" t="s">
        <v>292</v>
      </c>
      <c r="B49" s="349">
        <v>45652</v>
      </c>
      <c r="C49" s="349">
        <v>42575</v>
      </c>
      <c r="D49" s="349">
        <v>43150</v>
      </c>
    </row>
    <row r="50" spans="1:4">
      <c r="A50" s="386" t="s">
        <v>293</v>
      </c>
      <c r="B50" s="349">
        <v>5740</v>
      </c>
      <c r="C50" s="349">
        <v>5043</v>
      </c>
      <c r="D50" s="349">
        <v>8595</v>
      </c>
    </row>
    <row r="51" spans="1:4">
      <c r="A51" s="386" t="s">
        <v>294</v>
      </c>
      <c r="B51" s="349">
        <v>0</v>
      </c>
      <c r="C51" s="349">
        <v>0</v>
      </c>
      <c r="D51" s="349">
        <v>0</v>
      </c>
    </row>
    <row r="52" spans="1:4">
      <c r="A52" s="385" t="s">
        <v>259</v>
      </c>
      <c r="B52" s="355">
        <f>SUM(B48:B51)</f>
        <v>410423</v>
      </c>
      <c r="C52" s="355">
        <f>SUM(C48:C51)</f>
        <v>428585</v>
      </c>
      <c r="D52" s="355">
        <f>SUM(D48:D51)</f>
        <v>427180</v>
      </c>
    </row>
    <row r="53" spans="1:4">
      <c r="A53" s="792" t="s">
        <v>1030</v>
      </c>
      <c r="B53" s="253"/>
      <c r="C53" s="253"/>
      <c r="D53" s="253"/>
    </row>
    <row r="54" spans="1:4">
      <c r="A54" s="386" t="s">
        <v>299</v>
      </c>
      <c r="B54" s="349">
        <v>65806</v>
      </c>
      <c r="C54" s="349">
        <v>74340</v>
      </c>
      <c r="D54" s="349">
        <v>75751</v>
      </c>
    </row>
    <row r="55" spans="1:4">
      <c r="A55" s="386" t="s">
        <v>292</v>
      </c>
      <c r="B55" s="349">
        <v>602</v>
      </c>
      <c r="C55" s="349">
        <v>500</v>
      </c>
      <c r="D55" s="349">
        <v>500</v>
      </c>
    </row>
    <row r="56" spans="1:4">
      <c r="A56" s="386" t="s">
        <v>293</v>
      </c>
      <c r="B56" s="349">
        <v>5721</v>
      </c>
      <c r="C56" s="349">
        <v>10125</v>
      </c>
      <c r="D56" s="349">
        <v>10125</v>
      </c>
    </row>
    <row r="57" spans="1:4">
      <c r="A57" s="386" t="s">
        <v>294</v>
      </c>
      <c r="B57" s="349">
        <v>0</v>
      </c>
      <c r="C57" s="349">
        <v>500</v>
      </c>
      <c r="D57" s="349">
        <v>200</v>
      </c>
    </row>
    <row r="58" spans="1:4">
      <c r="A58" s="385" t="s">
        <v>259</v>
      </c>
      <c r="B58" s="355">
        <f>SUM(B54:B57)</f>
        <v>72129</v>
      </c>
      <c r="C58" s="355">
        <f>SUM(C54:C57)</f>
        <v>85465</v>
      </c>
      <c r="D58" s="355">
        <f>SUM(D54:D57)</f>
        <v>86576</v>
      </c>
    </row>
    <row r="59" spans="1:4">
      <c r="A59" s="84"/>
      <c r="B59" s="253"/>
      <c r="C59" s="253"/>
      <c r="D59" s="253"/>
    </row>
    <row r="60" spans="1:4" ht="16.5" thickBot="1">
      <c r="A60" s="385" t="s">
        <v>300</v>
      </c>
      <c r="B60" s="387">
        <f>B10+B16+B22+B28+B34+B40+B46+B52+B58</f>
        <v>1311401</v>
      </c>
      <c r="C60" s="387">
        <f t="shared" ref="C60:D60" si="0">C10+C16+C22+C28+C34+C40+C46+C52+C58</f>
        <v>1440322</v>
      </c>
      <c r="D60" s="387">
        <f t="shared" si="0"/>
        <v>1335147</v>
      </c>
    </row>
    <row r="61" spans="1:4" ht="16.5" thickTop="1">
      <c r="A61" s="197" t="s">
        <v>298</v>
      </c>
      <c r="B61" s="389" t="str">
        <f>CONCATENATE("",general!D44,"b")</f>
        <v>8b</v>
      </c>
      <c r="C61" s="253"/>
      <c r="D61" s="253"/>
    </row>
    <row r="62" spans="1:4">
      <c r="A62" s="388"/>
      <c r="B62" s="389"/>
      <c r="C62" s="389"/>
      <c r="D62" s="389"/>
    </row>
    <row r="63" spans="1:4">
      <c r="A63" s="389" t="str">
        <f>A1</f>
        <v>City of Bonner Springs</v>
      </c>
      <c r="B63" s="388"/>
      <c r="C63" s="390"/>
      <c r="D63" s="388">
        <f>D1</f>
        <v>2014</v>
      </c>
    </row>
    <row r="64" spans="1:4">
      <c r="A64" s="617" t="s">
        <v>282</v>
      </c>
      <c r="B64" s="577" t="str">
        <f t="shared" ref="B64:D65" si="1">B2</f>
        <v xml:space="preserve">Prior Year </v>
      </c>
      <c r="C64" s="577" t="str">
        <f t="shared" si="1"/>
        <v>Current Year</v>
      </c>
      <c r="D64" s="577" t="str">
        <f t="shared" si="1"/>
        <v xml:space="preserve">Proposed Budget </v>
      </c>
    </row>
    <row r="65" spans="1:6">
      <c r="A65" s="618" t="s">
        <v>394</v>
      </c>
      <c r="B65" s="619" t="str">
        <f t="shared" si="1"/>
        <v>Actual for 2012</v>
      </c>
      <c r="C65" s="619" t="str">
        <f t="shared" si="1"/>
        <v>Estimate for 2013</v>
      </c>
      <c r="D65" s="619" t="str">
        <f t="shared" si="1"/>
        <v>Year for 2014</v>
      </c>
    </row>
    <row r="66" spans="1:6">
      <c r="A66" s="391" t="s">
        <v>291</v>
      </c>
      <c r="B66" s="392"/>
      <c r="C66" s="392"/>
      <c r="D66" s="392"/>
    </row>
    <row r="67" spans="1:6">
      <c r="A67" s="793" t="s">
        <v>1031</v>
      </c>
      <c r="B67" s="392"/>
      <c r="C67" s="392"/>
      <c r="D67" s="392"/>
      <c r="F67" s="616"/>
    </row>
    <row r="68" spans="1:6">
      <c r="A68" s="393" t="s">
        <v>299</v>
      </c>
      <c r="B68" s="394">
        <v>69783</v>
      </c>
      <c r="C68" s="394">
        <v>91315</v>
      </c>
      <c r="D68" s="394">
        <v>106315</v>
      </c>
    </row>
    <row r="69" spans="1:6">
      <c r="A69" s="393" t="s">
        <v>292</v>
      </c>
      <c r="B69" s="394">
        <v>68132</v>
      </c>
      <c r="C69" s="394">
        <v>86110</v>
      </c>
      <c r="D69" s="394">
        <v>75455</v>
      </c>
    </row>
    <row r="70" spans="1:6">
      <c r="A70" s="393" t="s">
        <v>293</v>
      </c>
      <c r="B70" s="394">
        <v>28754</v>
      </c>
      <c r="C70" s="394">
        <v>30050</v>
      </c>
      <c r="D70" s="394">
        <v>30050</v>
      </c>
    </row>
    <row r="71" spans="1:6">
      <c r="A71" s="393" t="s">
        <v>294</v>
      </c>
      <c r="B71" s="394">
        <v>4728</v>
      </c>
      <c r="C71" s="394">
        <v>2500</v>
      </c>
      <c r="D71" s="394">
        <v>1000</v>
      </c>
    </row>
    <row r="72" spans="1:6">
      <c r="A72" s="391" t="s">
        <v>259</v>
      </c>
      <c r="B72" s="395">
        <f>SUM(B68:B71)</f>
        <v>171397</v>
      </c>
      <c r="C72" s="395">
        <f>SUM(C68:C71)</f>
        <v>209975</v>
      </c>
      <c r="D72" s="395">
        <f>SUM(D68:D71)</f>
        <v>212820</v>
      </c>
    </row>
    <row r="73" spans="1:6">
      <c r="A73" s="794" t="s">
        <v>1032</v>
      </c>
      <c r="B73" s="389"/>
      <c r="C73" s="389"/>
      <c r="D73" s="389"/>
    </row>
    <row r="74" spans="1:6">
      <c r="A74" s="393" t="s">
        <v>299</v>
      </c>
      <c r="B74" s="394">
        <v>94689</v>
      </c>
      <c r="C74" s="394">
        <v>109561</v>
      </c>
      <c r="D74" s="394">
        <v>102970</v>
      </c>
    </row>
    <row r="75" spans="1:6">
      <c r="A75" s="393" t="s">
        <v>292</v>
      </c>
      <c r="B75" s="394">
        <v>69772</v>
      </c>
      <c r="C75" s="394">
        <v>84550</v>
      </c>
      <c r="D75" s="394">
        <v>86400</v>
      </c>
    </row>
    <row r="76" spans="1:6">
      <c r="A76" s="393" t="s">
        <v>293</v>
      </c>
      <c r="B76" s="394">
        <v>0</v>
      </c>
      <c r="C76" s="394">
        <v>0</v>
      </c>
      <c r="D76" s="394">
        <v>0</v>
      </c>
    </row>
    <row r="77" spans="1:6">
      <c r="A77" s="393" t="s">
        <v>294</v>
      </c>
      <c r="B77" s="394">
        <v>0</v>
      </c>
      <c r="C77" s="394">
        <v>0</v>
      </c>
      <c r="D77" s="394">
        <v>0</v>
      </c>
    </row>
    <row r="78" spans="1:6">
      <c r="A78" s="391" t="s">
        <v>259</v>
      </c>
      <c r="B78" s="395">
        <f>SUM(B74:B77)</f>
        <v>164461</v>
      </c>
      <c r="C78" s="395">
        <f>SUM(C74:C77)</f>
        <v>194111</v>
      </c>
      <c r="D78" s="395">
        <f>SUM(D74:D77)</f>
        <v>189370</v>
      </c>
    </row>
    <row r="79" spans="1:6">
      <c r="A79" s="794" t="s">
        <v>1033</v>
      </c>
      <c r="B79" s="389"/>
      <c r="C79" s="389"/>
      <c r="D79" s="389"/>
    </row>
    <row r="80" spans="1:6">
      <c r="A80" s="393" t="s">
        <v>299</v>
      </c>
      <c r="B80" s="394">
        <v>346581</v>
      </c>
      <c r="C80" s="394">
        <v>405281</v>
      </c>
      <c r="D80" s="394">
        <v>422651</v>
      </c>
    </row>
    <row r="81" spans="1:4">
      <c r="A81" s="393" t="s">
        <v>292</v>
      </c>
      <c r="B81" s="394">
        <v>96868</v>
      </c>
      <c r="C81" s="394">
        <v>103875</v>
      </c>
      <c r="D81" s="394">
        <v>130692</v>
      </c>
    </row>
    <row r="82" spans="1:4">
      <c r="A82" s="393" t="s">
        <v>293</v>
      </c>
      <c r="B82" s="394">
        <v>27709</v>
      </c>
      <c r="C82" s="394">
        <v>38600</v>
      </c>
      <c r="D82" s="394">
        <v>33200</v>
      </c>
    </row>
    <row r="83" spans="1:4">
      <c r="A83" s="393" t="s">
        <v>294</v>
      </c>
      <c r="B83" s="394">
        <v>3900</v>
      </c>
      <c r="C83" s="394">
        <v>8430</v>
      </c>
      <c r="D83" s="394">
        <v>44500</v>
      </c>
    </row>
    <row r="84" spans="1:4">
      <c r="A84" s="391" t="s">
        <v>259</v>
      </c>
      <c r="B84" s="395">
        <f>SUM(B80:B83)</f>
        <v>475058</v>
      </c>
      <c r="C84" s="395">
        <f>SUM(C80:C83)</f>
        <v>556186</v>
      </c>
      <c r="D84" s="395">
        <f>SUM(D80:D83)</f>
        <v>631043</v>
      </c>
    </row>
    <row r="85" spans="1:4">
      <c r="A85" s="794" t="s">
        <v>1034</v>
      </c>
      <c r="B85" s="389"/>
      <c r="C85" s="389"/>
      <c r="D85" s="389"/>
    </row>
    <row r="86" spans="1:4">
      <c r="A86" s="393" t="s">
        <v>299</v>
      </c>
      <c r="B86" s="394">
        <v>97306</v>
      </c>
      <c r="C86" s="394">
        <v>103635</v>
      </c>
      <c r="D86" s="394">
        <v>108957</v>
      </c>
    </row>
    <row r="87" spans="1:4">
      <c r="A87" s="393" t="s">
        <v>292</v>
      </c>
      <c r="B87" s="394">
        <v>7583</v>
      </c>
      <c r="C87" s="394">
        <v>10615</v>
      </c>
      <c r="D87" s="394">
        <v>8781</v>
      </c>
    </row>
    <row r="88" spans="1:4">
      <c r="A88" s="393" t="s">
        <v>293</v>
      </c>
      <c r="B88" s="394">
        <v>1801</v>
      </c>
      <c r="C88" s="394">
        <v>2300</v>
      </c>
      <c r="D88" s="394">
        <v>2200</v>
      </c>
    </row>
    <row r="89" spans="1:4">
      <c r="A89" s="393" t="s">
        <v>294</v>
      </c>
      <c r="B89" s="394">
        <v>0</v>
      </c>
      <c r="C89" s="394">
        <v>0</v>
      </c>
      <c r="D89" s="394">
        <v>0</v>
      </c>
    </row>
    <row r="90" spans="1:4">
      <c r="A90" s="391" t="s">
        <v>259</v>
      </c>
      <c r="B90" s="395">
        <f>SUM(B86:B89)</f>
        <v>106690</v>
      </c>
      <c r="C90" s="395">
        <f>SUM(C86:C89)</f>
        <v>116550</v>
      </c>
      <c r="D90" s="395">
        <f>SUM(D86:D89)</f>
        <v>119938</v>
      </c>
    </row>
    <row r="91" spans="1:4">
      <c r="A91" s="794" t="s">
        <v>1035</v>
      </c>
      <c r="B91" s="389"/>
      <c r="C91" s="389"/>
      <c r="D91" s="389"/>
    </row>
    <row r="92" spans="1:4">
      <c r="A92" s="393" t="s">
        <v>299</v>
      </c>
      <c r="B92" s="394">
        <v>1956905</v>
      </c>
      <c r="C92" s="394">
        <v>2149333</v>
      </c>
      <c r="D92" s="394">
        <v>2303581</v>
      </c>
    </row>
    <row r="93" spans="1:4">
      <c r="A93" s="393" t="s">
        <v>292</v>
      </c>
      <c r="B93" s="394">
        <v>221102</v>
      </c>
      <c r="C93" s="394">
        <v>221755</v>
      </c>
      <c r="D93" s="394">
        <v>221320</v>
      </c>
    </row>
    <row r="94" spans="1:4">
      <c r="A94" s="393" t="s">
        <v>293</v>
      </c>
      <c r="B94" s="394">
        <v>122567</v>
      </c>
      <c r="C94" s="394">
        <v>108000</v>
      </c>
      <c r="D94" s="394">
        <v>110000</v>
      </c>
    </row>
    <row r="95" spans="1:4">
      <c r="A95" s="393" t="s">
        <v>294</v>
      </c>
      <c r="B95" s="394">
        <v>3484</v>
      </c>
      <c r="C95" s="394">
        <v>0</v>
      </c>
      <c r="D95" s="394">
        <v>0</v>
      </c>
    </row>
    <row r="96" spans="1:4">
      <c r="A96" s="391" t="s">
        <v>259</v>
      </c>
      <c r="B96" s="395">
        <f>SUM(B92:B95)</f>
        <v>2304058</v>
      </c>
      <c r="C96" s="395">
        <f>SUM(C92:C95)</f>
        <v>2479088</v>
      </c>
      <c r="D96" s="395">
        <f>SUM(D92:D95)</f>
        <v>2634901</v>
      </c>
    </row>
    <row r="97" spans="1:4">
      <c r="A97" s="794" t="s">
        <v>1206</v>
      </c>
      <c r="B97" s="389"/>
      <c r="C97" s="389"/>
      <c r="D97" s="389"/>
    </row>
    <row r="98" spans="1:4">
      <c r="A98" s="393" t="s">
        <v>299</v>
      </c>
      <c r="B98" s="394">
        <v>78397</v>
      </c>
      <c r="C98" s="394">
        <v>82881</v>
      </c>
      <c r="D98" s="394">
        <v>86912</v>
      </c>
    </row>
    <row r="99" spans="1:4">
      <c r="A99" s="393" t="s">
        <v>292</v>
      </c>
      <c r="B99" s="394">
        <v>5203</v>
      </c>
      <c r="C99" s="394">
        <v>5925</v>
      </c>
      <c r="D99" s="394">
        <v>9407</v>
      </c>
    </row>
    <row r="100" spans="1:4">
      <c r="A100" s="393" t="s">
        <v>293</v>
      </c>
      <c r="B100" s="394">
        <v>504</v>
      </c>
      <c r="C100" s="394">
        <v>475</v>
      </c>
      <c r="D100" s="394">
        <v>1980</v>
      </c>
    </row>
    <row r="101" spans="1:4">
      <c r="A101" s="393" t="s">
        <v>294</v>
      </c>
      <c r="B101" s="394">
        <v>0</v>
      </c>
      <c r="C101" s="394">
        <v>0</v>
      </c>
      <c r="D101" s="394">
        <v>0</v>
      </c>
    </row>
    <row r="102" spans="1:4">
      <c r="A102" s="391" t="s">
        <v>259</v>
      </c>
      <c r="B102" s="395">
        <f>SUM(B98:B101)</f>
        <v>84104</v>
      </c>
      <c r="C102" s="395">
        <f>SUM(C98:C101)</f>
        <v>89281</v>
      </c>
      <c r="D102" s="395">
        <f>SUM(D98:D101)</f>
        <v>98299</v>
      </c>
    </row>
    <row r="103" spans="1:4">
      <c r="A103" s="794" t="s">
        <v>1036</v>
      </c>
      <c r="B103" s="389"/>
      <c r="C103" s="389"/>
      <c r="D103" s="389"/>
    </row>
    <row r="104" spans="1:4">
      <c r="A104" s="393" t="s">
        <v>299</v>
      </c>
      <c r="B104" s="394">
        <v>53903</v>
      </c>
      <c r="C104" s="394">
        <v>58214</v>
      </c>
      <c r="D104" s="394">
        <v>60981</v>
      </c>
    </row>
    <row r="105" spans="1:4">
      <c r="A105" s="393" t="s">
        <v>292</v>
      </c>
      <c r="B105" s="394">
        <v>3812</v>
      </c>
      <c r="C105" s="394">
        <v>8145</v>
      </c>
      <c r="D105" s="394">
        <v>7461</v>
      </c>
    </row>
    <row r="106" spans="1:4">
      <c r="A106" s="393" t="s">
        <v>293</v>
      </c>
      <c r="B106" s="394">
        <v>1786</v>
      </c>
      <c r="C106" s="394">
        <v>2100</v>
      </c>
      <c r="D106" s="394">
        <v>2200</v>
      </c>
    </row>
    <row r="107" spans="1:4">
      <c r="A107" s="393" t="s">
        <v>294</v>
      </c>
      <c r="B107" s="394">
        <v>0</v>
      </c>
      <c r="C107" s="394">
        <v>0</v>
      </c>
      <c r="D107" s="394">
        <v>0</v>
      </c>
    </row>
    <row r="108" spans="1:4">
      <c r="A108" s="391" t="s">
        <v>259</v>
      </c>
      <c r="B108" s="395">
        <f>SUM(B104:B107)</f>
        <v>59501</v>
      </c>
      <c r="C108" s="395">
        <f>SUM(C104:C107)</f>
        <v>68459</v>
      </c>
      <c r="D108" s="395">
        <f>SUM(D104:D107)</f>
        <v>70642</v>
      </c>
    </row>
    <row r="109" spans="1:4">
      <c r="A109" s="794" t="s">
        <v>1037</v>
      </c>
      <c r="B109" s="389"/>
      <c r="C109" s="389"/>
      <c r="D109" s="389"/>
    </row>
    <row r="110" spans="1:4">
      <c r="A110" s="393" t="s">
        <v>299</v>
      </c>
      <c r="B110" s="394">
        <v>491315</v>
      </c>
      <c r="C110" s="394">
        <v>566628</v>
      </c>
      <c r="D110" s="394">
        <v>560126</v>
      </c>
    </row>
    <row r="111" spans="1:4">
      <c r="A111" s="393" t="s">
        <v>292</v>
      </c>
      <c r="B111" s="394">
        <v>64795</v>
      </c>
      <c r="C111" s="394">
        <v>86152</v>
      </c>
      <c r="D111" s="394">
        <v>113003</v>
      </c>
    </row>
    <row r="112" spans="1:4">
      <c r="A112" s="393" t="s">
        <v>293</v>
      </c>
      <c r="B112" s="394">
        <v>106726</v>
      </c>
      <c r="C112" s="394">
        <v>155000</v>
      </c>
      <c r="D112" s="394">
        <v>155000</v>
      </c>
    </row>
    <row r="113" spans="1:4">
      <c r="A113" s="393" t="s">
        <v>294</v>
      </c>
      <c r="B113" s="394">
        <v>21121</v>
      </c>
      <c r="C113" s="394">
        <v>110000</v>
      </c>
      <c r="D113" s="394">
        <v>155600</v>
      </c>
    </row>
    <row r="114" spans="1:4">
      <c r="A114" s="391" t="s">
        <v>259</v>
      </c>
      <c r="B114" s="395">
        <f>SUM(B110:B113)</f>
        <v>683957</v>
      </c>
      <c r="C114" s="395">
        <f>SUM(C110:C113)</f>
        <v>917780</v>
      </c>
      <c r="D114" s="395">
        <f>SUM(D110:D113)</f>
        <v>983729</v>
      </c>
    </row>
    <row r="115" spans="1:4">
      <c r="A115" s="794" t="s">
        <v>1038</v>
      </c>
      <c r="B115" s="389"/>
      <c r="C115" s="389"/>
      <c r="D115" s="389"/>
    </row>
    <row r="116" spans="1:4">
      <c r="A116" s="393" t="s">
        <v>1050</v>
      </c>
      <c r="B116" s="394">
        <v>99</v>
      </c>
      <c r="C116" s="394">
        <v>0</v>
      </c>
      <c r="D116" s="394">
        <v>4000</v>
      </c>
    </row>
    <row r="117" spans="1:4">
      <c r="A117" s="393" t="s">
        <v>1040</v>
      </c>
      <c r="B117" s="394">
        <v>796316</v>
      </c>
      <c r="C117" s="394">
        <v>832790</v>
      </c>
      <c r="D117" s="394">
        <v>816110</v>
      </c>
    </row>
    <row r="118" spans="1:4">
      <c r="A118" s="391" t="s">
        <v>1207</v>
      </c>
      <c r="B118" s="395">
        <f>SUM(B116:B117)</f>
        <v>796415</v>
      </c>
      <c r="C118" s="395">
        <f t="shared" ref="C118:D118" si="2">SUM(C116:C117)</f>
        <v>832790</v>
      </c>
      <c r="D118" s="395">
        <f t="shared" si="2"/>
        <v>820110</v>
      </c>
    </row>
    <row r="119" spans="1:4">
      <c r="A119" s="393" t="s">
        <v>1039</v>
      </c>
      <c r="B119" s="394">
        <v>0</v>
      </c>
      <c r="C119" s="394">
        <v>359725</v>
      </c>
      <c r="D119" s="394">
        <v>370220</v>
      </c>
    </row>
    <row r="120" spans="1:4">
      <c r="A120" s="391" t="s">
        <v>1208</v>
      </c>
      <c r="B120" s="395">
        <f>B119</f>
        <v>0</v>
      </c>
      <c r="C120" s="395">
        <f t="shared" ref="C120:D120" si="3">C119</f>
        <v>359725</v>
      </c>
      <c r="D120" s="395">
        <f t="shared" si="3"/>
        <v>370220</v>
      </c>
    </row>
    <row r="121" spans="1:4">
      <c r="A121" s="396" t="s">
        <v>395</v>
      </c>
      <c r="B121" s="397">
        <f>B72+B78+B84+B90+B96+B102+B108+B114+B118+B120</f>
        <v>4845641</v>
      </c>
      <c r="C121" s="397">
        <f t="shared" ref="C121:D121" si="4">C72+C78+C84+C90+C96+C102+C108+C114+C118+C120</f>
        <v>5823945</v>
      </c>
      <c r="D121" s="397">
        <f t="shared" si="4"/>
        <v>6131072</v>
      </c>
    </row>
    <row r="122" spans="1:4">
      <c r="A122" s="391" t="s">
        <v>396</v>
      </c>
      <c r="B122" s="395">
        <f>B60</f>
        <v>1311401</v>
      </c>
      <c r="C122" s="395">
        <f>C60</f>
        <v>1440322</v>
      </c>
      <c r="D122" s="395">
        <f>D60</f>
        <v>1335147</v>
      </c>
    </row>
    <row r="123" spans="1:4" ht="16.5" thickBot="1">
      <c r="A123" s="391" t="s">
        <v>397</v>
      </c>
      <c r="B123" s="399">
        <f>SUM(B121:B122)</f>
        <v>6157042</v>
      </c>
      <c r="C123" s="399">
        <f>SUM(C121:C122)</f>
        <v>7264267</v>
      </c>
      <c r="D123" s="399">
        <f>SUM(D121:D122)</f>
        <v>7466219</v>
      </c>
    </row>
    <row r="124" spans="1:4" ht="16.5" thickTop="1">
      <c r="A124" s="398" t="s">
        <v>219</v>
      </c>
      <c r="B124" s="389"/>
      <c r="C124" s="389"/>
      <c r="D124" s="389"/>
    </row>
    <row r="125" spans="1:4">
      <c r="A125" s="197" t="s">
        <v>298</v>
      </c>
      <c r="B125" s="389" t="str">
        <f>CONCATENATE("",general!D44,"c")</f>
        <v>8c</v>
      </c>
      <c r="C125" s="389"/>
      <c r="D125" s="389"/>
    </row>
  </sheetData>
  <phoneticPr fontId="0" type="noConversion"/>
  <pageMargins left="0.5" right="0.5" top="1" bottom="0.5" header="0.5" footer="0.5"/>
  <pageSetup scale="64" fitToHeight="2" orientation="portrait" blackAndWhite="1" horizontalDpi="300" verticalDpi="300" r:id="rId1"/>
  <headerFooter alignWithMargins="0">
    <oddHeader>&amp;RState of Kansas
City</oddHeader>
  </headerFooter>
  <rowBreaks count="1" manualBreakCount="1">
    <brk id="61" max="3" man="1"/>
  </rowBreaks>
</worksheet>
</file>

<file path=xl/worksheets/sheet15.xml><?xml version="1.0" encoding="utf-8"?>
<worksheet xmlns="http://schemas.openxmlformats.org/spreadsheetml/2006/main" xmlns:r="http://schemas.openxmlformats.org/officeDocument/2006/relationships">
  <dimension ref="A1:K103"/>
  <sheetViews>
    <sheetView zoomScaleNormal="100" workbookViewId="0">
      <selection activeCell="C46" sqref="C46:D46"/>
    </sheetView>
  </sheetViews>
  <sheetFormatPr defaultColWidth="8.88671875" defaultRowHeight="15.75"/>
  <cols>
    <col min="1" max="1" width="2.44140625" style="80" customWidth="1"/>
    <col min="2" max="2" width="31.109375" style="80" customWidth="1"/>
    <col min="3" max="4" width="15.77734375" style="80" customWidth="1"/>
    <col min="5" max="5" width="16.21875" style="80" customWidth="1"/>
    <col min="6" max="6" width="8.109375" style="80" customWidth="1"/>
    <col min="7" max="7" width="10.21875" style="80" customWidth="1"/>
    <col min="8" max="8" width="8.88671875" style="80"/>
    <col min="9" max="9" width="5" style="80" customWidth="1"/>
    <col min="10" max="10" width="10" style="80" customWidth="1"/>
    <col min="11" max="16384" width="8.88671875" style="80"/>
  </cols>
  <sheetData>
    <row r="1" spans="2:5">
      <c r="B1" s="253" t="str">
        <f>inputPrYr!D3</f>
        <v>City of Bonner Springs</v>
      </c>
      <c r="C1" s="84"/>
      <c r="D1" s="84"/>
      <c r="E1" s="341">
        <f>inputPrYr!$C$10</f>
        <v>2014</v>
      </c>
    </row>
    <row r="2" spans="2:5">
      <c r="B2" s="84"/>
      <c r="C2" s="84"/>
      <c r="D2" s="84"/>
      <c r="E2" s="228"/>
    </row>
    <row r="3" spans="2:5">
      <c r="B3" s="497" t="s">
        <v>6</v>
      </c>
      <c r="C3" s="260"/>
      <c r="D3" s="260"/>
      <c r="E3" s="368"/>
    </row>
    <row r="4" spans="2:5">
      <c r="B4" s="91" t="s">
        <v>282</v>
      </c>
      <c r="C4" s="614" t="s">
        <v>806</v>
      </c>
      <c r="D4" s="615" t="s">
        <v>807</v>
      </c>
      <c r="E4" s="204" t="s">
        <v>808</v>
      </c>
    </row>
    <row r="5" spans="2:5">
      <c r="B5" s="561" t="str">
        <f>inputPrYr!B23</f>
        <v>Debt Service</v>
      </c>
      <c r="C5" s="440" t="str">
        <f>CONCATENATE("Actual for ",E1-2,"")</f>
        <v>Actual for 2012</v>
      </c>
      <c r="D5" s="440" t="str">
        <f>CONCATENATE("Estimate for ",E1-1,"")</f>
        <v>Estimate for 2013</v>
      </c>
      <c r="E5" s="268" t="str">
        <f>CONCATENATE("Year for ",E1,"")</f>
        <v>Year for 2014</v>
      </c>
    </row>
    <row r="6" spans="2:5">
      <c r="B6" s="167" t="s">
        <v>57</v>
      </c>
      <c r="C6" s="439">
        <v>221916</v>
      </c>
      <c r="D6" s="496">
        <f>C43</f>
        <v>326169</v>
      </c>
      <c r="E6" s="369">
        <f>D43</f>
        <v>326706</v>
      </c>
    </row>
    <row r="7" spans="2:5">
      <c r="B7" s="347" t="s">
        <v>59</v>
      </c>
      <c r="C7" s="441"/>
      <c r="D7" s="496"/>
      <c r="E7" s="369"/>
    </row>
    <row r="8" spans="2:5">
      <c r="B8" s="167" t="s">
        <v>283</v>
      </c>
      <c r="C8" s="439">
        <v>417045</v>
      </c>
      <c r="D8" s="441">
        <v>448156</v>
      </c>
      <c r="E8" s="364" t="s">
        <v>272</v>
      </c>
    </row>
    <row r="9" spans="2:5">
      <c r="B9" s="167" t="s">
        <v>284</v>
      </c>
      <c r="C9" s="439">
        <v>20673</v>
      </c>
      <c r="D9" s="439">
        <v>0</v>
      </c>
      <c r="E9" s="370">
        <v>0</v>
      </c>
    </row>
    <row r="10" spans="2:5">
      <c r="B10" s="167" t="s">
        <v>285</v>
      </c>
      <c r="C10" s="439">
        <v>54025</v>
      </c>
      <c r="D10" s="439">
        <v>53794</v>
      </c>
      <c r="E10" s="371">
        <f>mvalloc!D9</f>
        <v>56433</v>
      </c>
    </row>
    <row r="11" spans="2:5">
      <c r="B11" s="167" t="s">
        <v>286</v>
      </c>
      <c r="C11" s="439">
        <v>382</v>
      </c>
      <c r="D11" s="439">
        <v>363</v>
      </c>
      <c r="E11" s="371">
        <f>mvalloc!E9</f>
        <v>361</v>
      </c>
    </row>
    <row r="12" spans="2:5">
      <c r="B12" s="372" t="s">
        <v>38</v>
      </c>
      <c r="C12" s="439">
        <v>578</v>
      </c>
      <c r="D12" s="439">
        <v>526</v>
      </c>
      <c r="E12" s="371">
        <f>mvalloc!F9</f>
        <v>375</v>
      </c>
    </row>
    <row r="13" spans="2:5">
      <c r="B13" s="812" t="s">
        <v>1109</v>
      </c>
      <c r="C13" s="439">
        <v>12785</v>
      </c>
      <c r="D13" s="439">
        <v>14631</v>
      </c>
      <c r="E13" s="370">
        <v>11324</v>
      </c>
    </row>
    <row r="14" spans="2:5">
      <c r="B14" s="812" t="s">
        <v>1110</v>
      </c>
      <c r="C14" s="439">
        <v>0</v>
      </c>
      <c r="D14" s="439">
        <v>-28758</v>
      </c>
      <c r="E14" s="370">
        <v>-20276</v>
      </c>
    </row>
    <row r="15" spans="2:5">
      <c r="B15" s="813" t="s">
        <v>1111</v>
      </c>
      <c r="C15" s="439">
        <v>124644</v>
      </c>
      <c r="D15" s="439">
        <v>180000</v>
      </c>
      <c r="E15" s="370">
        <v>125000</v>
      </c>
    </row>
    <row r="16" spans="2:5">
      <c r="B16" s="813" t="s">
        <v>331</v>
      </c>
      <c r="C16" s="439">
        <v>2407</v>
      </c>
      <c r="D16" s="439">
        <v>2000</v>
      </c>
      <c r="E16" s="370">
        <v>2000</v>
      </c>
    </row>
    <row r="17" spans="2:5">
      <c r="B17" s="813" t="s">
        <v>1112</v>
      </c>
      <c r="C17" s="439">
        <v>306</v>
      </c>
      <c r="D17" s="439">
        <v>0</v>
      </c>
      <c r="E17" s="370">
        <v>0</v>
      </c>
    </row>
    <row r="18" spans="2:5">
      <c r="B18" s="813" t="s">
        <v>1120</v>
      </c>
      <c r="C18" s="439">
        <v>543123</v>
      </c>
      <c r="D18" s="439">
        <v>537319</v>
      </c>
      <c r="E18" s="370">
        <v>566169</v>
      </c>
    </row>
    <row r="19" spans="2:5">
      <c r="B19" s="813" t="s">
        <v>1121</v>
      </c>
      <c r="C19" s="439">
        <v>319032</v>
      </c>
      <c r="D19" s="439">
        <v>313001</v>
      </c>
      <c r="E19" s="370">
        <v>389407</v>
      </c>
    </row>
    <row r="20" spans="2:5">
      <c r="B20" s="813" t="s">
        <v>1113</v>
      </c>
      <c r="C20" s="439">
        <v>429840</v>
      </c>
      <c r="D20" s="439">
        <v>387470</v>
      </c>
      <c r="E20" s="370">
        <v>437940</v>
      </c>
    </row>
    <row r="21" spans="2:5">
      <c r="B21" s="813" t="s">
        <v>1114</v>
      </c>
      <c r="C21" s="439">
        <v>0</v>
      </c>
      <c r="D21" s="439">
        <v>49060</v>
      </c>
      <c r="E21" s="370">
        <v>0</v>
      </c>
    </row>
    <row r="22" spans="2:5">
      <c r="B22" s="813" t="s">
        <v>1115</v>
      </c>
      <c r="C22" s="439">
        <v>191601</v>
      </c>
      <c r="D22" s="439">
        <v>0</v>
      </c>
      <c r="E22" s="370">
        <v>0</v>
      </c>
    </row>
    <row r="23" spans="2:5">
      <c r="B23" s="373" t="s">
        <v>1116</v>
      </c>
      <c r="C23" s="439">
        <v>141260</v>
      </c>
      <c r="D23" s="439">
        <v>0</v>
      </c>
      <c r="E23" s="370">
        <v>0</v>
      </c>
    </row>
    <row r="24" spans="2:5">
      <c r="B24" s="373" t="s">
        <v>1117</v>
      </c>
      <c r="C24" s="439">
        <v>19961</v>
      </c>
      <c r="D24" s="439">
        <v>19743</v>
      </c>
      <c r="E24" s="370">
        <v>19828</v>
      </c>
    </row>
    <row r="25" spans="2:5">
      <c r="B25" s="374" t="s">
        <v>1118</v>
      </c>
      <c r="C25" s="439">
        <v>75438</v>
      </c>
      <c r="D25" s="439">
        <v>268044</v>
      </c>
      <c r="E25" s="370">
        <v>268501</v>
      </c>
    </row>
    <row r="26" spans="2:5">
      <c r="B26" s="374" t="s">
        <v>1119</v>
      </c>
      <c r="C26" s="439">
        <v>442168</v>
      </c>
      <c r="D26" s="439">
        <v>441968</v>
      </c>
      <c r="E26" s="370">
        <v>892294</v>
      </c>
    </row>
    <row r="27" spans="2:5">
      <c r="B27" s="352" t="s">
        <v>182</v>
      </c>
      <c r="C27" s="439"/>
      <c r="D27" s="439"/>
      <c r="E27" s="370"/>
    </row>
    <row r="28" spans="2:5">
      <c r="B28" s="352" t="s">
        <v>668</v>
      </c>
      <c r="C28" s="433" t="str">
        <f>IF(C29*0.1&lt;C27,"Exceed 10% Rule","")</f>
        <v/>
      </c>
      <c r="D28" s="433" t="str">
        <f>IF(D29*0.1&lt;D27,"Exceed 10% Rule","")</f>
        <v/>
      </c>
      <c r="E28" s="375" t="str">
        <f>IF(E29*0.1+E49&lt;E27,"Exceed 10% Rule","")</f>
        <v/>
      </c>
    </row>
    <row r="29" spans="2:5">
      <c r="B29" s="354" t="s">
        <v>288</v>
      </c>
      <c r="C29" s="442">
        <f>SUM(C8:C27)</f>
        <v>2795268</v>
      </c>
      <c r="D29" s="443">
        <f>SUM(D8:D27)</f>
        <v>2687317</v>
      </c>
      <c r="E29" s="376">
        <f>SUM(E8:E27)</f>
        <v>2749356</v>
      </c>
    </row>
    <row r="30" spans="2:5">
      <c r="B30" s="354" t="s">
        <v>289</v>
      </c>
      <c r="C30" s="443">
        <f>C6+C29</f>
        <v>3017184</v>
      </c>
      <c r="D30" s="443">
        <f>D6+D29</f>
        <v>3013486</v>
      </c>
      <c r="E30" s="377">
        <f>E6+E29</f>
        <v>3076062</v>
      </c>
    </row>
    <row r="31" spans="2:5">
      <c r="B31" s="347" t="s">
        <v>291</v>
      </c>
      <c r="C31" s="441"/>
      <c r="D31" s="441"/>
      <c r="E31" s="371"/>
    </row>
    <row r="32" spans="2:5">
      <c r="B32" s="348" t="s">
        <v>1122</v>
      </c>
      <c r="C32" s="439">
        <v>1925000</v>
      </c>
      <c r="D32" s="439">
        <v>1980000</v>
      </c>
      <c r="E32" s="370">
        <v>2579150</v>
      </c>
    </row>
    <row r="33" spans="2:11">
      <c r="B33" s="348" t="s">
        <v>331</v>
      </c>
      <c r="C33" s="439">
        <v>766015</v>
      </c>
      <c r="D33" s="439">
        <v>706780</v>
      </c>
      <c r="E33" s="370">
        <v>664242</v>
      </c>
      <c r="G33" s="925" t="str">
        <f>CONCATENATE("Desired Carryover Into ",E1+1,"")</f>
        <v>Desired Carryover Into 2015</v>
      </c>
      <c r="H33" s="920"/>
      <c r="I33" s="920"/>
      <c r="J33" s="921"/>
    </row>
    <row r="34" spans="2:11">
      <c r="B34" s="348"/>
      <c r="C34" s="439"/>
      <c r="D34" s="439"/>
      <c r="E34" s="370"/>
      <c r="G34" s="725"/>
      <c r="H34" s="491"/>
      <c r="I34" s="726"/>
      <c r="J34" s="727"/>
    </row>
    <row r="35" spans="2:11">
      <c r="B35" s="348"/>
      <c r="C35" s="439"/>
      <c r="D35" s="439"/>
      <c r="E35" s="370"/>
      <c r="G35" s="728" t="s">
        <v>673</v>
      </c>
      <c r="H35" s="726"/>
      <c r="I35" s="726"/>
      <c r="J35" s="729">
        <v>0</v>
      </c>
    </row>
    <row r="36" spans="2:11">
      <c r="B36" s="348"/>
      <c r="C36" s="439"/>
      <c r="D36" s="439"/>
      <c r="E36" s="370"/>
      <c r="G36" s="725" t="s">
        <v>674</v>
      </c>
      <c r="H36" s="491"/>
      <c r="I36" s="491"/>
      <c r="J36" s="730" t="str">
        <f>IF(J35=0,"",ROUND((J35+E49-G48)/inputOth!B14*1000,3)-G53)</f>
        <v/>
      </c>
    </row>
    <row r="37" spans="2:11">
      <c r="B37" s="348"/>
      <c r="C37" s="439"/>
      <c r="D37" s="439"/>
      <c r="E37" s="370"/>
      <c r="G37" s="731" t="str">
        <f>CONCATENATE("",E1," Tot Exp/Non-Appr Must Be:")</f>
        <v>2014 Tot Exp/Non-Appr Must Be:</v>
      </c>
      <c r="H37" s="732"/>
      <c r="I37" s="733"/>
      <c r="J37" s="734">
        <f>IF(J35&gt;0,IF(E46&lt;E30,IF(J35=G48,E46,((J35-G48)*(1-D48))+E30),E46+(J35-G48)),0)</f>
        <v>0</v>
      </c>
    </row>
    <row r="38" spans="2:11">
      <c r="B38" s="348"/>
      <c r="C38" s="439"/>
      <c r="D38" s="439"/>
      <c r="E38" s="370"/>
      <c r="G38" s="695" t="s">
        <v>891</v>
      </c>
      <c r="H38" s="735"/>
      <c r="I38" s="735"/>
      <c r="J38" s="697">
        <f>IF(J35&gt;0,J37-E46,0)</f>
        <v>0</v>
      </c>
    </row>
    <row r="39" spans="2:11">
      <c r="B39" s="352" t="s">
        <v>181</v>
      </c>
      <c r="C39" s="439"/>
      <c r="D39" s="439"/>
      <c r="E39" s="378" t="str">
        <f>nhood!E7</f>
        <v/>
      </c>
    </row>
    <row r="40" spans="2:11">
      <c r="B40" s="352" t="s">
        <v>1123</v>
      </c>
      <c r="C40" s="439">
        <v>0</v>
      </c>
      <c r="D40" s="439">
        <v>0</v>
      </c>
      <c r="E40" s="370">
        <v>50000</v>
      </c>
      <c r="G40" s="926" t="str">
        <f>CONCATENATE("Projected Carryover Into ",E1+1,"")</f>
        <v>Projected Carryover Into 2015</v>
      </c>
      <c r="H40" s="927"/>
      <c r="I40" s="927"/>
      <c r="J40" s="921"/>
    </row>
    <row r="41" spans="2:11">
      <c r="B41" s="352" t="s">
        <v>183</v>
      </c>
      <c r="C41" s="433" t="str">
        <f>IF(C42*0.1&lt;C40,"Exceed 10% Rule","")</f>
        <v/>
      </c>
      <c r="D41" s="433" t="str">
        <f>IF(D42*0.1&lt;D40,"Exceed 10% Rule","")</f>
        <v/>
      </c>
      <c r="E41" s="375" t="str">
        <f>IF(E42*0.1&lt;E40,"Exceed 10% Rule","")</f>
        <v/>
      </c>
      <c r="G41" s="681"/>
      <c r="H41" s="682"/>
      <c r="I41" s="682"/>
      <c r="J41" s="736"/>
    </row>
    <row r="42" spans="2:11">
      <c r="B42" s="354" t="s">
        <v>295</v>
      </c>
      <c r="C42" s="442">
        <f>SUM(C32:C40)</f>
        <v>2691015</v>
      </c>
      <c r="D42" s="443">
        <f>SUM(D32:D40)</f>
        <v>2686780</v>
      </c>
      <c r="E42" s="376">
        <f>SUM(E32:E40)</f>
        <v>3293392</v>
      </c>
      <c r="G42" s="737">
        <f>D43</f>
        <v>326706</v>
      </c>
      <c r="H42" s="738" t="str">
        <f>CONCATENATE("",E1-1," Ending Cash Balance (est.)")</f>
        <v>2013 Ending Cash Balance (est.)</v>
      </c>
      <c r="I42" s="683"/>
      <c r="J42" s="736"/>
    </row>
    <row r="43" spans="2:11">
      <c r="B43" s="167" t="s">
        <v>58</v>
      </c>
      <c r="C43" s="444">
        <f>C30-C42</f>
        <v>326169</v>
      </c>
      <c r="D43" s="444">
        <f>D30-D42</f>
        <v>326706</v>
      </c>
      <c r="E43" s="364" t="s">
        <v>272</v>
      </c>
      <c r="G43" s="737">
        <f>E29</f>
        <v>2749356</v>
      </c>
      <c r="H43" s="739" t="str">
        <f>CONCATENATE("",E1," Non-AV Receipts (est.)")</f>
        <v>2014 Non-AV Receipts (est.)</v>
      </c>
      <c r="I43" s="682"/>
      <c r="J43" s="736"/>
    </row>
    <row r="44" spans="2:11">
      <c r="B44" s="197" t="str">
        <f>CONCATENATE("",E1-2,"/",E1-1," Budget Authority Amount:")</f>
        <v>2012/2013 Budget Authority Amount:</v>
      </c>
      <c r="C44" s="303">
        <f>inputOth!B74</f>
        <v>2741016</v>
      </c>
      <c r="D44" s="303">
        <f>inputPrYr!D23</f>
        <v>3576632</v>
      </c>
      <c r="E44" s="364" t="s">
        <v>272</v>
      </c>
      <c r="F44" s="365"/>
      <c r="G44" s="740">
        <f>IF(E48&gt;0,E47,E49)</f>
        <v>353911</v>
      </c>
      <c r="H44" s="739" t="str">
        <f>CONCATENATE("",E1," Ad Valorem Tax (est.)")</f>
        <v>2014 Ad Valorem Tax (est.)</v>
      </c>
      <c r="I44" s="682"/>
      <c r="J44" s="736"/>
      <c r="K44" s="741" t="str">
        <f>IF(G44=E49,"","Note: Does not include Delinquent Taxes")</f>
        <v>Note: Does not include Delinquent Taxes</v>
      </c>
    </row>
    <row r="45" spans="2:11">
      <c r="B45" s="197"/>
      <c r="C45" s="913" t="s">
        <v>670</v>
      </c>
      <c r="D45" s="914"/>
      <c r="E45" s="106">
        <v>136581</v>
      </c>
      <c r="F45" s="703" t="str">
        <f>IF(E42/0.95-E42&lt;E45,"Exceeds 5%","")</f>
        <v/>
      </c>
      <c r="G45" s="737">
        <f>SUM(G42:G44)</f>
        <v>3429973</v>
      </c>
      <c r="H45" s="739" t="str">
        <f>CONCATENATE("Total ",E1," Resources Available")</f>
        <v>Total 2014 Resources Available</v>
      </c>
      <c r="I45" s="683"/>
      <c r="J45" s="736"/>
    </row>
    <row r="46" spans="2:11">
      <c r="B46" s="541" t="str">
        <f>CONCATENATE(C100,"     ",D100)</f>
        <v xml:space="preserve">     </v>
      </c>
      <c r="C46" s="915" t="s">
        <v>671</v>
      </c>
      <c r="D46" s="916"/>
      <c r="E46" s="346">
        <f>E42+E45</f>
        <v>3429973</v>
      </c>
      <c r="G46" s="742"/>
      <c r="H46" s="739"/>
      <c r="I46" s="682"/>
      <c r="J46" s="736"/>
    </row>
    <row r="47" spans="2:11">
      <c r="B47" s="541" t="str">
        <f>CONCATENATE(C101,"     ",D101)</f>
        <v xml:space="preserve">     </v>
      </c>
      <c r="C47" s="358"/>
      <c r="D47" s="228" t="s">
        <v>296</v>
      </c>
      <c r="E47" s="119">
        <f>IF(E46-E30&gt;0,E46-E30,0)</f>
        <v>353911</v>
      </c>
      <c r="G47" s="740">
        <f>C42</f>
        <v>2691015</v>
      </c>
      <c r="H47" s="739" t="str">
        <f>CONCATENATE("Less ",E1-2," Expenditures")</f>
        <v>Less 2012 Expenditures</v>
      </c>
      <c r="I47" s="682"/>
      <c r="J47" s="736"/>
    </row>
    <row r="48" spans="2:11">
      <c r="B48" s="228"/>
      <c r="C48" s="493" t="s">
        <v>672</v>
      </c>
      <c r="D48" s="759">
        <f>inputOth!$E$58</f>
        <v>5.2630999999999997E-2</v>
      </c>
      <c r="E48" s="346">
        <f>ROUND(IF(D48&gt;0,(E47*D48),0),0)</f>
        <v>18627</v>
      </c>
      <c r="G48" s="743">
        <f>SUM(G45-G47)</f>
        <v>738958</v>
      </c>
      <c r="H48" s="744" t="str">
        <f>CONCATENATE("Projected ",E1+1," carryover (est.)")</f>
        <v>Projected 2015 carryover (est.)</v>
      </c>
      <c r="I48" s="708"/>
      <c r="J48" s="745"/>
    </row>
    <row r="49" spans="1:10" ht="16.5" thickBot="1">
      <c r="B49" s="84"/>
      <c r="C49" s="911" t="str">
        <f>CONCATENATE("Amount of  ",$E$1-1," Ad Valorem Tax")</f>
        <v>Amount of  2013 Ad Valorem Tax</v>
      </c>
      <c r="D49" s="912"/>
      <c r="E49" s="367">
        <f>E47+E48</f>
        <v>372538</v>
      </c>
    </row>
    <row r="50" spans="1:10" ht="16.5" thickTop="1">
      <c r="B50" s="84"/>
      <c r="C50" s="438"/>
      <c r="D50" s="84"/>
      <c r="E50" s="84"/>
      <c r="G50" s="922" t="s">
        <v>892</v>
      </c>
      <c r="H50" s="923"/>
      <c r="I50" s="923"/>
      <c r="J50" s="924"/>
    </row>
    <row r="51" spans="1:10">
      <c r="B51"/>
      <c r="C51"/>
      <c r="D51"/>
      <c r="E51"/>
      <c r="G51" s="709"/>
      <c r="H51" s="710"/>
      <c r="I51" s="711"/>
      <c r="J51" s="712"/>
    </row>
    <row r="52" spans="1:10">
      <c r="B52" s="84"/>
      <c r="C52" s="798"/>
      <c r="D52" s="84"/>
      <c r="E52" s="84"/>
      <c r="G52" s="713">
        <f>summ!H14</f>
        <v>5.6806000000000001</v>
      </c>
      <c r="H52" s="710" t="str">
        <f>CONCATENATE("",E1," Fund Mill Rate")</f>
        <v>2014 Fund Mill Rate</v>
      </c>
      <c r="I52" s="711"/>
      <c r="J52" s="712"/>
    </row>
    <row r="53" spans="1:10">
      <c r="B53" s="800" t="s">
        <v>1095</v>
      </c>
      <c r="C53" s="297">
        <v>9</v>
      </c>
      <c r="D53" s="84"/>
      <c r="E53" s="84"/>
      <c r="G53" s="714">
        <f>summ!E14</f>
        <v>7.1269999999999998</v>
      </c>
      <c r="H53" s="710" t="str">
        <f>CONCATENATE("",E1-1," Fund Mill Rate")</f>
        <v>2013 Fund Mill Rate</v>
      </c>
      <c r="I53" s="711"/>
      <c r="J53" s="712"/>
    </row>
    <row r="54" spans="1:10">
      <c r="A54" s="80" t="s">
        <v>260</v>
      </c>
      <c r="B54" t="s">
        <v>260</v>
      </c>
      <c r="C54"/>
      <c r="D54" t="s">
        <v>260</v>
      </c>
      <c r="E54" t="s">
        <v>260</v>
      </c>
      <c r="G54" s="715">
        <f>summ!H45</f>
        <v>33.604999999999997</v>
      </c>
      <c r="H54" s="710" t="str">
        <f>CONCATENATE("Total ",E1," Mill Rate")</f>
        <v>Total 2014 Mill Rate</v>
      </c>
      <c r="I54" s="711"/>
      <c r="J54" s="712"/>
    </row>
    <row r="55" spans="1:10">
      <c r="B55"/>
      <c r="C55"/>
      <c r="D55"/>
      <c r="E55"/>
      <c r="G55" s="714">
        <f>summ!E45</f>
        <v>30.605</v>
      </c>
      <c r="H55" s="716" t="str">
        <f>CONCATENATE("Total ",E1-1," Mill Rate")</f>
        <v>Total 2013 Mill Rate</v>
      </c>
      <c r="I55" s="717"/>
      <c r="J55" s="718"/>
    </row>
    <row r="56" spans="1:10">
      <c r="B56"/>
      <c r="C56"/>
      <c r="D56"/>
      <c r="E56"/>
    </row>
    <row r="57" spans="1:10">
      <c r="B57"/>
      <c r="C57"/>
      <c r="D57"/>
      <c r="E57"/>
      <c r="G57" s="784" t="s">
        <v>976</v>
      </c>
      <c r="H57" s="783"/>
      <c r="I57" s="782" t="str">
        <f>cert!G50</f>
        <v>Yes</v>
      </c>
    </row>
    <row r="58" spans="1:10">
      <c r="B58"/>
      <c r="C58"/>
      <c r="D58"/>
      <c r="E58"/>
    </row>
    <row r="59" spans="1:10">
      <c r="B59"/>
      <c r="C59"/>
      <c r="D59"/>
      <c r="E59"/>
    </row>
    <row r="60" spans="1:10">
      <c r="B60"/>
      <c r="C60"/>
      <c r="D60"/>
      <c r="E60"/>
    </row>
    <row r="61" spans="1:10">
      <c r="B61"/>
      <c r="C61"/>
      <c r="D61"/>
      <c r="E61"/>
    </row>
    <row r="62" spans="1:10">
      <c r="B62"/>
      <c r="C62"/>
      <c r="D62"/>
      <c r="E62"/>
    </row>
    <row r="63" spans="1:10">
      <c r="B63"/>
      <c r="C63"/>
      <c r="D63"/>
      <c r="E63"/>
    </row>
    <row r="64" spans="1:10">
      <c r="B64"/>
      <c r="C64"/>
      <c r="D64"/>
      <c r="E64"/>
    </row>
    <row r="65" spans="2:10">
      <c r="B65"/>
      <c r="C65"/>
      <c r="D65"/>
      <c r="E65"/>
    </row>
    <row r="66" spans="2:10">
      <c r="B66"/>
      <c r="C66"/>
      <c r="D66"/>
      <c r="E66"/>
    </row>
    <row r="67" spans="2:10">
      <c r="B67"/>
      <c r="C67"/>
      <c r="D67"/>
      <c r="E67"/>
    </row>
    <row r="68" spans="2:10">
      <c r="B68"/>
      <c r="C68"/>
      <c r="D68"/>
      <c r="E68"/>
    </row>
    <row r="69" spans="2:10">
      <c r="B69"/>
      <c r="C69"/>
      <c r="D69"/>
      <c r="E69"/>
    </row>
    <row r="70" spans="2:10">
      <c r="B70"/>
      <c r="C70"/>
      <c r="D70"/>
      <c r="E70"/>
    </row>
    <row r="71" spans="2:10">
      <c r="B71"/>
      <c r="C71"/>
      <c r="D71"/>
      <c r="E71"/>
    </row>
    <row r="72" spans="2:10">
      <c r="B72"/>
      <c r="C72"/>
      <c r="D72"/>
      <c r="E72"/>
    </row>
    <row r="73" spans="2:10">
      <c r="B73"/>
      <c r="C73"/>
      <c r="D73"/>
      <c r="E73"/>
      <c r="G73"/>
      <c r="H73"/>
      <c r="I73"/>
      <c r="J73"/>
    </row>
    <row r="74" spans="2:10">
      <c r="B74"/>
      <c r="C74"/>
      <c r="D74"/>
      <c r="E74"/>
      <c r="G74"/>
      <c r="H74"/>
      <c r="I74"/>
      <c r="J74"/>
    </row>
    <row r="75" spans="2:10">
      <c r="B75"/>
      <c r="C75"/>
      <c r="D75"/>
      <c r="E75"/>
      <c r="G75"/>
      <c r="H75"/>
      <c r="I75"/>
      <c r="J75"/>
    </row>
    <row r="76" spans="2:10">
      <c r="B76"/>
      <c r="C76"/>
      <c r="D76"/>
      <c r="E76"/>
      <c r="G76"/>
      <c r="H76"/>
      <c r="I76"/>
      <c r="J76"/>
    </row>
    <row r="77" spans="2:10">
      <c r="B77"/>
      <c r="C77"/>
      <c r="D77"/>
      <c r="E77"/>
      <c r="G77"/>
      <c r="H77"/>
      <c r="I77"/>
      <c r="J77"/>
    </row>
    <row r="78" spans="2:10">
      <c r="B78"/>
      <c r="C78"/>
      <c r="D78"/>
      <c r="E78"/>
      <c r="G78"/>
      <c r="H78"/>
      <c r="I78"/>
      <c r="J78"/>
    </row>
    <row r="79" spans="2:10">
      <c r="B79"/>
      <c r="C79"/>
      <c r="D79"/>
      <c r="E79"/>
      <c r="G79"/>
      <c r="H79"/>
      <c r="I79"/>
      <c r="J79"/>
    </row>
    <row r="80" spans="2:10">
      <c r="B80"/>
      <c r="C80"/>
      <c r="D80"/>
      <c r="E80"/>
      <c r="G80"/>
      <c r="H80"/>
      <c r="I80"/>
      <c r="J80"/>
    </row>
    <row r="81" spans="1:11">
      <c r="B81"/>
      <c r="C81"/>
      <c r="D81"/>
      <c r="E81"/>
      <c r="G81"/>
      <c r="H81"/>
      <c r="I81"/>
      <c r="J81"/>
    </row>
    <row r="82" spans="1:11">
      <c r="B82"/>
      <c r="C82"/>
      <c r="D82"/>
      <c r="E82"/>
      <c r="G82"/>
      <c r="H82"/>
      <c r="I82"/>
      <c r="J82"/>
    </row>
    <row r="83" spans="1:11">
      <c r="B83"/>
      <c r="C83"/>
      <c r="D83"/>
      <c r="E83"/>
      <c r="G83"/>
      <c r="H83"/>
      <c r="I83"/>
      <c r="J83"/>
    </row>
    <row r="84" spans="1:11">
      <c r="B84"/>
      <c r="C84"/>
      <c r="D84"/>
      <c r="E84"/>
      <c r="F84" s="365"/>
      <c r="G84"/>
      <c r="H84"/>
      <c r="I84"/>
      <c r="J84"/>
      <c r="K84" s="741" t="str">
        <f>IF(G84=E89,"","Note: Does not include Delinquent Taxes")</f>
        <v/>
      </c>
    </row>
    <row r="85" spans="1:11">
      <c r="B85"/>
      <c r="C85"/>
      <c r="D85"/>
      <c r="E85"/>
      <c r="F85" s="775" t="str">
        <f>IF(E82/0.95-E82&lt;E85,"Exceeds 5%","")</f>
        <v/>
      </c>
      <c r="G85"/>
      <c r="H85"/>
      <c r="I85"/>
      <c r="J85"/>
    </row>
    <row r="86" spans="1:11">
      <c r="B86"/>
      <c r="C86"/>
      <c r="D86"/>
      <c r="E86"/>
      <c r="G86"/>
      <c r="H86"/>
      <c r="I86"/>
      <c r="J86"/>
    </row>
    <row r="87" spans="1:11">
      <c r="B87"/>
      <c r="C87"/>
      <c r="D87"/>
      <c r="E87"/>
      <c r="G87"/>
      <c r="H87"/>
      <c r="I87"/>
      <c r="J87"/>
    </row>
    <row r="88" spans="1:11">
      <c r="B88"/>
      <c r="C88"/>
      <c r="D88"/>
      <c r="E88"/>
      <c r="G88"/>
      <c r="H88"/>
      <c r="I88"/>
      <c r="J88"/>
    </row>
    <row r="89" spans="1:11">
      <c r="A89"/>
      <c r="B89"/>
      <c r="C89"/>
      <c r="D89"/>
      <c r="E89"/>
      <c r="F89" t="s">
        <v>260</v>
      </c>
      <c r="G89"/>
      <c r="H89"/>
      <c r="I89"/>
      <c r="J89"/>
    </row>
    <row r="90" spans="1:11">
      <c r="A90"/>
      <c r="B90"/>
      <c r="C90"/>
      <c r="D90"/>
      <c r="E90"/>
      <c r="F90"/>
      <c r="G90"/>
      <c r="H90"/>
      <c r="I90"/>
      <c r="J90"/>
    </row>
    <row r="91" spans="1:11">
      <c r="A91"/>
      <c r="B91"/>
      <c r="C91"/>
      <c r="D91"/>
      <c r="E91"/>
      <c r="F91"/>
      <c r="G91"/>
      <c r="H91"/>
      <c r="I91"/>
      <c r="J91"/>
    </row>
    <row r="92" spans="1:11">
      <c r="G92"/>
      <c r="H92"/>
      <c r="I92"/>
      <c r="J92"/>
    </row>
    <row r="93" spans="1:11">
      <c r="G93"/>
      <c r="H93"/>
      <c r="I93"/>
      <c r="J93"/>
    </row>
    <row r="94" spans="1:11">
      <c r="G94"/>
      <c r="H94"/>
      <c r="I94"/>
      <c r="J94"/>
    </row>
    <row r="95" spans="1:11">
      <c r="G95"/>
      <c r="H95"/>
      <c r="I95"/>
      <c r="J95"/>
    </row>
    <row r="96" spans="1:11">
      <c r="G96"/>
      <c r="H96"/>
      <c r="I96"/>
      <c r="J96"/>
    </row>
    <row r="97" spans="3:10">
      <c r="G97"/>
      <c r="H97"/>
      <c r="I97"/>
      <c r="J97"/>
    </row>
    <row r="98" spans="3:10">
      <c r="G98"/>
      <c r="H98"/>
      <c r="I98"/>
      <c r="J98"/>
    </row>
    <row r="100" spans="3:10" hidden="1">
      <c r="C100" s="80" t="str">
        <f>IF(C42&gt;C44,"See Tab A","")</f>
        <v/>
      </c>
      <c r="D100" s="80" t="str">
        <f>IF(D42&gt;D44,"See Tab C","")</f>
        <v/>
      </c>
    </row>
    <row r="101" spans="3:10" hidden="1">
      <c r="C101" s="80" t="str">
        <f>IF(C43&lt;0,"See Tab B","")</f>
        <v/>
      </c>
      <c r="D101" s="80" t="str">
        <f>IF(D43&lt;0,"See Tab D","")</f>
        <v/>
      </c>
    </row>
    <row r="102" spans="3:10" hidden="1">
      <c r="C102" s="80" t="str">
        <f>IF(C82&gt;C84,"See Tab A","")</f>
        <v/>
      </c>
      <c r="D102" s="80" t="str">
        <f>IF(D82&gt;D84,"See Tab C","")</f>
        <v/>
      </c>
    </row>
    <row r="103" spans="3:10" hidden="1">
      <c r="C103" s="80" t="str">
        <f>IF(C83&lt;0,"See Tab B","")</f>
        <v/>
      </c>
      <c r="D103" s="80" t="str">
        <f>IF(D83&lt;0,"See Tab D","")</f>
        <v/>
      </c>
    </row>
  </sheetData>
  <mergeCells count="6">
    <mergeCell ref="G33:J33"/>
    <mergeCell ref="G40:J40"/>
    <mergeCell ref="G50:J50"/>
    <mergeCell ref="C45:D45"/>
    <mergeCell ref="C46:D46"/>
    <mergeCell ref="C49:D49"/>
  </mergeCells>
  <phoneticPr fontId="9" type="noConversion"/>
  <conditionalFormatting sqref="E40">
    <cfRule type="cellIs" dxfId="290" priority="13" stopIfTrue="1" operator="greaterThan">
      <formula>$E$42*0.1</formula>
    </cfRule>
  </conditionalFormatting>
  <conditionalFormatting sqref="E45">
    <cfRule type="cellIs" dxfId="289" priority="14" stopIfTrue="1" operator="greaterThan">
      <formula>$E$42/0.95-$E$42</formula>
    </cfRule>
  </conditionalFormatting>
  <conditionalFormatting sqref="D27">
    <cfRule type="cellIs" dxfId="288" priority="15" stopIfTrue="1" operator="greaterThan">
      <formula>$D$29*0.1</formula>
    </cfRule>
  </conditionalFormatting>
  <conditionalFormatting sqref="C27">
    <cfRule type="cellIs" dxfId="287" priority="16" stopIfTrue="1" operator="greaterThan">
      <formula>$C$29*0.1</formula>
    </cfRule>
  </conditionalFormatting>
  <conditionalFormatting sqref="D40">
    <cfRule type="cellIs" dxfId="286" priority="17" stopIfTrue="1" operator="greaterThan">
      <formula>$D$42*0.1</formula>
    </cfRule>
  </conditionalFormatting>
  <conditionalFormatting sqref="D42">
    <cfRule type="cellIs" dxfId="285" priority="18" stopIfTrue="1" operator="greaterThan">
      <formula>$D$44</formula>
    </cfRule>
  </conditionalFormatting>
  <conditionalFormatting sqref="C40">
    <cfRule type="cellIs" dxfId="284" priority="19" stopIfTrue="1" operator="greaterThan">
      <formula>$C$42*0.1</formula>
    </cfRule>
  </conditionalFormatting>
  <conditionalFormatting sqref="C42">
    <cfRule type="cellIs" dxfId="283" priority="20" stopIfTrue="1" operator="greaterThan">
      <formula>$C$44</formula>
    </cfRule>
  </conditionalFormatting>
  <conditionalFormatting sqref="C43">
    <cfRule type="cellIs" dxfId="282" priority="21" stopIfTrue="1" operator="lessThan">
      <formula>0</formula>
    </cfRule>
  </conditionalFormatting>
  <conditionalFormatting sqref="D43">
    <cfRule type="cellIs" dxfId="281" priority="12" stopIfTrue="1" operator="lessThan">
      <formula>0</formula>
    </cfRule>
  </conditionalFormatting>
  <conditionalFormatting sqref="E27">
    <cfRule type="cellIs" dxfId="280" priority="25" stopIfTrue="1" operator="greaterThan">
      <formula>$E$29*0.1+$E$49</formula>
    </cfRule>
  </conditionalFormatting>
  <pageMargins left="0.75" right="0.75" top="0.5" bottom="0.5" header="0.25" footer="0.5"/>
  <pageSetup scale="80"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B1:K94"/>
  <sheetViews>
    <sheetView workbookViewId="0">
      <selection activeCell="C39" sqref="C39:D39"/>
    </sheetView>
  </sheetViews>
  <sheetFormatPr defaultColWidth="8.88671875" defaultRowHeight="15.75"/>
  <cols>
    <col min="1" max="1" width="2.44140625" style="80" customWidth="1"/>
    <col min="2" max="2" width="31.109375" style="80" customWidth="1"/>
    <col min="3" max="4" width="15.77734375" style="80" customWidth="1"/>
    <col min="5" max="5" width="16.21875" style="80" customWidth="1"/>
    <col min="6" max="6" width="8.109375" style="80" customWidth="1"/>
    <col min="7" max="7" width="10.21875" style="80" customWidth="1"/>
    <col min="8" max="8" width="8.88671875" style="80"/>
    <col min="9" max="9" width="5" style="80" customWidth="1"/>
    <col min="10" max="10" width="10" style="80" customWidth="1"/>
    <col min="11" max="16384" width="8.88671875" style="80"/>
  </cols>
  <sheetData>
    <row r="1" spans="2:5">
      <c r="B1" s="253" t="str">
        <f>inputPrYr!D3</f>
        <v>City of Bonner Springs</v>
      </c>
      <c r="C1" s="84"/>
      <c r="D1" s="84"/>
      <c r="E1" s="341">
        <f>inputPrYr!$C$10</f>
        <v>2014</v>
      </c>
    </row>
    <row r="2" spans="2:5">
      <c r="B2" s="84"/>
      <c r="C2" s="84"/>
      <c r="D2" s="84"/>
      <c r="E2" s="228"/>
    </row>
    <row r="3" spans="2:5">
      <c r="B3" s="497" t="s">
        <v>6</v>
      </c>
      <c r="C3" s="260"/>
      <c r="D3" s="260"/>
      <c r="E3" s="368"/>
    </row>
    <row r="4" spans="2:5">
      <c r="B4" s="91"/>
      <c r="C4" s="291"/>
      <c r="D4" s="291"/>
      <c r="E4" s="291"/>
    </row>
    <row r="5" spans="2:5">
      <c r="B5" s="91" t="s">
        <v>282</v>
      </c>
      <c r="C5" s="614" t="s">
        <v>806</v>
      </c>
      <c r="D5" s="615" t="s">
        <v>809</v>
      </c>
      <c r="E5" s="204" t="s">
        <v>808</v>
      </c>
    </row>
    <row r="6" spans="2:5">
      <c r="B6" s="560" t="str">
        <f>inputPrYr!B24</f>
        <v>Library</v>
      </c>
      <c r="C6" s="440" t="s">
        <v>1052</v>
      </c>
      <c r="D6" s="440" t="s">
        <v>1053</v>
      </c>
      <c r="E6" s="268" t="s">
        <v>1054</v>
      </c>
    </row>
    <row r="7" spans="2:5">
      <c r="B7" s="360" t="s">
        <v>57</v>
      </c>
      <c r="C7" s="432">
        <v>0</v>
      </c>
      <c r="D7" s="437">
        <f>C36</f>
        <v>0</v>
      </c>
      <c r="E7" s="346">
        <f>D36</f>
        <v>0</v>
      </c>
    </row>
    <row r="8" spans="2:5">
      <c r="B8" s="360" t="s">
        <v>59</v>
      </c>
      <c r="C8" s="218"/>
      <c r="D8" s="218"/>
      <c r="E8" s="124"/>
    </row>
    <row r="9" spans="2:5">
      <c r="B9" s="167" t="s">
        <v>283</v>
      </c>
      <c r="C9" s="432">
        <v>285277</v>
      </c>
      <c r="D9" s="437">
        <v>310919</v>
      </c>
      <c r="E9" s="364" t="s">
        <v>272</v>
      </c>
    </row>
    <row r="10" spans="2:5">
      <c r="B10" s="167" t="s">
        <v>284</v>
      </c>
      <c r="C10" s="432">
        <v>14577</v>
      </c>
      <c r="D10" s="432">
        <v>0</v>
      </c>
      <c r="E10" s="106">
        <v>0</v>
      </c>
    </row>
    <row r="11" spans="2:5">
      <c r="B11" s="167" t="s">
        <v>285</v>
      </c>
      <c r="C11" s="432">
        <v>34467</v>
      </c>
      <c r="D11" s="432">
        <v>37018</v>
      </c>
      <c r="E11" s="346">
        <f>mvalloc!D10</f>
        <v>39152</v>
      </c>
    </row>
    <row r="12" spans="2:5">
      <c r="B12" s="167" t="s">
        <v>286</v>
      </c>
      <c r="C12" s="432">
        <v>236</v>
      </c>
      <c r="D12" s="432">
        <v>249</v>
      </c>
      <c r="E12" s="346">
        <f>mvalloc!E10</f>
        <v>250</v>
      </c>
    </row>
    <row r="13" spans="2:5">
      <c r="B13" s="218" t="s">
        <v>38</v>
      </c>
      <c r="C13" s="432">
        <v>285</v>
      </c>
      <c r="D13" s="432">
        <v>362</v>
      </c>
      <c r="E13" s="346">
        <f>mvalloc!F10</f>
        <v>260</v>
      </c>
    </row>
    <row r="14" spans="2:5">
      <c r="B14" s="348" t="s">
        <v>1109</v>
      </c>
      <c r="C14" s="432">
        <v>8797</v>
      </c>
      <c r="D14" s="432">
        <v>10151</v>
      </c>
      <c r="E14" s="106">
        <v>10278</v>
      </c>
    </row>
    <row r="15" spans="2:5">
      <c r="B15" s="348" t="s">
        <v>1157</v>
      </c>
      <c r="C15" s="432">
        <v>-9321</v>
      </c>
      <c r="D15" s="432">
        <v>9583</v>
      </c>
      <c r="E15" s="106">
        <v>0</v>
      </c>
    </row>
    <row r="16" spans="2:5">
      <c r="B16" s="348" t="s">
        <v>181</v>
      </c>
      <c r="C16" s="432">
        <v>0</v>
      </c>
      <c r="D16" s="432">
        <v>-19951</v>
      </c>
      <c r="E16" s="106">
        <v>-18402</v>
      </c>
    </row>
    <row r="17" spans="2:10">
      <c r="B17" s="348" t="s">
        <v>182</v>
      </c>
      <c r="C17" s="432">
        <v>0</v>
      </c>
      <c r="D17" s="432">
        <v>15000</v>
      </c>
      <c r="E17" s="106">
        <v>20000</v>
      </c>
    </row>
    <row r="18" spans="2:10">
      <c r="B18" s="348"/>
      <c r="C18" s="432"/>
      <c r="D18" s="432"/>
      <c r="E18" s="106"/>
    </row>
    <row r="19" spans="2:10">
      <c r="B19" s="362" t="s">
        <v>260</v>
      </c>
      <c r="C19" s="432"/>
      <c r="D19" s="432"/>
      <c r="E19" s="106"/>
    </row>
    <row r="20" spans="2:10">
      <c r="B20" s="352" t="s">
        <v>182</v>
      </c>
      <c r="C20" s="432"/>
      <c r="D20" s="432"/>
      <c r="E20" s="106"/>
    </row>
    <row r="21" spans="2:10">
      <c r="B21" s="352" t="s">
        <v>668</v>
      </c>
      <c r="C21" s="433" t="str">
        <f>IF(C22*0.1&lt;C20,"Exceed 10% Rule","")</f>
        <v/>
      </c>
      <c r="D21" s="433" t="str">
        <f>IF(D22*0.1&lt;D20,"Exceed 10% Rule","")</f>
        <v/>
      </c>
      <c r="E21" s="375" t="str">
        <f>IF(E22*0.1+E42&lt;E20,"Exceed 10% Rule","")</f>
        <v/>
      </c>
    </row>
    <row r="22" spans="2:10">
      <c r="B22" s="354" t="s">
        <v>288</v>
      </c>
      <c r="C22" s="436">
        <f>SUM(C9:C20)</f>
        <v>334318</v>
      </c>
      <c r="D22" s="436">
        <f>SUM(D9:D20)</f>
        <v>363331</v>
      </c>
      <c r="E22" s="356">
        <f>SUM(E9:E20)</f>
        <v>51538</v>
      </c>
    </row>
    <row r="23" spans="2:10">
      <c r="B23" s="354" t="s">
        <v>289</v>
      </c>
      <c r="C23" s="436">
        <f>C7+C22</f>
        <v>334318</v>
      </c>
      <c r="D23" s="436">
        <f>D7+D22</f>
        <v>363331</v>
      </c>
      <c r="E23" s="356">
        <f>E7+E22</f>
        <v>51538</v>
      </c>
    </row>
    <row r="24" spans="2:10">
      <c r="B24" s="167" t="s">
        <v>291</v>
      </c>
      <c r="C24" s="352"/>
      <c r="D24" s="352"/>
      <c r="E24" s="105"/>
      <c r="G24" s="925" t="str">
        <f>CONCATENATE("Desired Carryover Into ",E1+1,"")</f>
        <v>Desired Carryover Into 2015</v>
      </c>
      <c r="H24" s="920"/>
      <c r="I24" s="920"/>
      <c r="J24" s="921"/>
    </row>
    <row r="25" spans="2:10">
      <c r="B25" s="348" t="s">
        <v>1158</v>
      </c>
      <c r="C25" s="432">
        <v>334318</v>
      </c>
      <c r="D25" s="432">
        <v>348331</v>
      </c>
      <c r="E25" s="106">
        <v>352748</v>
      </c>
      <c r="G25" s="725"/>
      <c r="H25" s="491"/>
      <c r="I25" s="726"/>
      <c r="J25" s="727"/>
    </row>
    <row r="26" spans="2:10">
      <c r="B26" s="348"/>
      <c r="C26" s="432"/>
      <c r="D26" s="432"/>
      <c r="E26" s="106"/>
      <c r="G26" s="728" t="s">
        <v>673</v>
      </c>
      <c r="H26" s="726"/>
      <c r="I26" s="726"/>
      <c r="J26" s="729">
        <v>0</v>
      </c>
    </row>
    <row r="27" spans="2:10">
      <c r="B27" s="348"/>
      <c r="C27" s="432"/>
      <c r="D27" s="432"/>
      <c r="E27" s="106"/>
      <c r="G27" s="725" t="s">
        <v>674</v>
      </c>
      <c r="H27" s="491"/>
      <c r="I27" s="491"/>
      <c r="J27" s="730" t="str">
        <f>IF(J26=0,"",ROUND((J26+#REF!-G39)/inputOth!B14*1000,3)-G44)</f>
        <v/>
      </c>
    </row>
    <row r="28" spans="2:10">
      <c r="B28" s="348"/>
      <c r="C28" s="432"/>
      <c r="D28" s="432"/>
      <c r="E28" s="106"/>
      <c r="G28" s="731" t="str">
        <f>CONCATENATE("",E1," Tot Exp/Non-Appr Must Be:")</f>
        <v>2014 Tot Exp/Non-Appr Must Be:</v>
      </c>
      <c r="H28" s="732"/>
      <c r="I28" s="733"/>
      <c r="J28" s="734">
        <f>IF(J26&gt;0,IF(#REF!&lt;#REF!,IF(J26=G39,#REF!,((J26-G39)*(1-#REF!))+#REF!),#REF!+(J26-G39)),0)</f>
        <v>0</v>
      </c>
    </row>
    <row r="29" spans="2:10">
      <c r="B29" s="348"/>
      <c r="C29" s="432"/>
      <c r="D29" s="432"/>
      <c r="E29" s="106"/>
      <c r="G29" s="695" t="s">
        <v>891</v>
      </c>
      <c r="H29" s="735"/>
      <c r="I29" s="735"/>
      <c r="J29" s="697">
        <f>IF(J26&gt;0,J28-#REF!,0)</f>
        <v>0</v>
      </c>
    </row>
    <row r="30" spans="2:10">
      <c r="B30" s="348"/>
      <c r="C30" s="432"/>
      <c r="D30" s="432"/>
      <c r="E30" s="106"/>
    </row>
    <row r="31" spans="2:10">
      <c r="B31" s="348"/>
      <c r="C31" s="432"/>
      <c r="D31" s="432"/>
      <c r="E31" s="106"/>
      <c r="G31" s="926" t="str">
        <f>CONCATENATE("Projected Carryover Into ",E1+1,"")</f>
        <v>Projected Carryover Into 2015</v>
      </c>
      <c r="H31" s="927"/>
      <c r="I31" s="927"/>
      <c r="J31" s="921"/>
    </row>
    <row r="32" spans="2:10">
      <c r="B32" s="352" t="s">
        <v>181</v>
      </c>
      <c r="C32" s="432"/>
      <c r="D32" s="432"/>
      <c r="E32" s="119" t="str">
        <f>nhood!E8</f>
        <v/>
      </c>
      <c r="G32" s="681"/>
      <c r="H32" s="682"/>
      <c r="I32" s="682"/>
      <c r="J32" s="736"/>
    </row>
    <row r="33" spans="2:11">
      <c r="B33" s="352" t="s">
        <v>182</v>
      </c>
      <c r="C33" s="432">
        <v>0</v>
      </c>
      <c r="D33" s="432">
        <v>15000</v>
      </c>
      <c r="E33" s="106">
        <v>20000</v>
      </c>
      <c r="G33" s="737">
        <f>D36</f>
        <v>0</v>
      </c>
      <c r="H33" s="738" t="str">
        <f>CONCATENATE("",E1-1," Ending Cash Balance (est.)")</f>
        <v>2013 Ending Cash Balance (est.)</v>
      </c>
      <c r="I33" s="683"/>
      <c r="J33" s="736"/>
    </row>
    <row r="34" spans="2:11">
      <c r="B34" s="352" t="s">
        <v>667</v>
      </c>
      <c r="C34" s="433" t="str">
        <f>IF(C35*0.1&lt;C33,"Exceed 10% Rule","")</f>
        <v/>
      </c>
      <c r="D34" s="433" t="str">
        <f>IF(D35*0.1&lt;D33,"Exceed 10% Rule","")</f>
        <v/>
      </c>
      <c r="E34" s="375" t="str">
        <f>IF(E35*0.1&lt;E33,"Exceed 10% Rule","")</f>
        <v/>
      </c>
      <c r="G34" s="737">
        <f>E22</f>
        <v>51538</v>
      </c>
      <c r="H34" s="739" t="str">
        <f>CONCATENATE("",E1," Non-AV Receipts (est.)")</f>
        <v>2014 Non-AV Receipts (est.)</v>
      </c>
      <c r="I34" s="682"/>
      <c r="J34" s="736"/>
    </row>
    <row r="35" spans="2:11">
      <c r="B35" s="366" t="s">
        <v>295</v>
      </c>
      <c r="C35" s="436">
        <f>SUM(C25:C33)</f>
        <v>334318</v>
      </c>
      <c r="D35" s="436">
        <f>SUM(D25:D33)</f>
        <v>363331</v>
      </c>
      <c r="E35" s="356">
        <f>SUM(E25:E33)</f>
        <v>372748</v>
      </c>
      <c r="F35" s="365"/>
      <c r="G35" s="740">
        <f>IF(E40&gt;0,E39,E42)</f>
        <v>372748</v>
      </c>
      <c r="H35" s="739" t="str">
        <f>CONCATENATE("",E1," Ad Valorem Tax (est.)")</f>
        <v>2014 Ad Valorem Tax (est.)</v>
      </c>
      <c r="I35" s="682"/>
      <c r="J35" s="736"/>
      <c r="K35" s="741" t="e">
        <f>IF(G35=#REF!,"","Note: Does not include Delinquent Taxes")</f>
        <v>#REF!</v>
      </c>
    </row>
    <row r="36" spans="2:11">
      <c r="B36" s="167" t="s">
        <v>58</v>
      </c>
      <c r="C36" s="434">
        <f>C23-C35</f>
        <v>0</v>
      </c>
      <c r="D36" s="434">
        <f>D23-D35</f>
        <v>0</v>
      </c>
      <c r="E36" s="364" t="s">
        <v>272</v>
      </c>
      <c r="F36" s="703" t="e">
        <f>IF(#REF!/0.95-#REF!&lt;#REF!,"Exceeds 5%","")</f>
        <v>#REF!</v>
      </c>
      <c r="G36" s="737">
        <f>SUM(G33:G35)</f>
        <v>424286</v>
      </c>
      <c r="H36" s="739" t="str">
        <f>CONCATENATE("Total ",E1," Resources Available")</f>
        <v>Total 2014 Resources Available</v>
      </c>
      <c r="I36" s="683"/>
      <c r="J36" s="736"/>
    </row>
    <row r="37" spans="2:11">
      <c r="B37" s="800" t="str">
        <f>CONCATENATE("",E1-2,"/",E1-1," Budget Authority Amount:")</f>
        <v>2012/2013 Budget Authority Amount:</v>
      </c>
      <c r="C37" s="303">
        <f>inputOth!B75</f>
        <v>339257</v>
      </c>
      <c r="D37" s="303">
        <f>inputPrYr!D24</f>
        <v>363331</v>
      </c>
      <c r="E37" s="364" t="s">
        <v>272</v>
      </c>
      <c r="G37" s="742"/>
      <c r="H37" s="739"/>
      <c r="I37" s="682"/>
      <c r="J37" s="736"/>
    </row>
    <row r="38" spans="2:11">
      <c r="B38" s="800"/>
      <c r="C38" s="913" t="s">
        <v>670</v>
      </c>
      <c r="D38" s="914"/>
      <c r="E38" s="106">
        <v>0</v>
      </c>
      <c r="G38" s="740">
        <f>C35</f>
        <v>334318</v>
      </c>
      <c r="H38" s="739" t="str">
        <f>CONCATENATE("Less ",E1-2," Expenditures")</f>
        <v>Less 2012 Expenditures</v>
      </c>
      <c r="I38" s="682"/>
      <c r="J38" s="736"/>
    </row>
    <row r="39" spans="2:11">
      <c r="B39" s="541" t="str">
        <f>CONCATENATE(C93,"     ",D93)</f>
        <v xml:space="preserve">     </v>
      </c>
      <c r="C39" s="915" t="s">
        <v>671</v>
      </c>
      <c r="D39" s="916"/>
      <c r="E39" s="346">
        <f>E35+E38</f>
        <v>372748</v>
      </c>
      <c r="G39" s="743">
        <f>SUM(G36-G38)</f>
        <v>89968</v>
      </c>
      <c r="H39" s="744" t="str">
        <f>CONCATENATE("Projected ",E1+1," carryover (est.)")</f>
        <v>Projected 2015 carryover (est.)</v>
      </c>
      <c r="I39" s="708"/>
      <c r="J39" s="745"/>
    </row>
    <row r="40" spans="2:11">
      <c r="B40" s="541" t="str">
        <f>CONCATENATE(C94,"     ",D94)</f>
        <v xml:space="preserve">     </v>
      </c>
      <c r="C40" s="358"/>
      <c r="D40" s="228" t="s">
        <v>296</v>
      </c>
      <c r="E40" s="119">
        <f>IF(E39-E23&gt;0,E39-E23,0)</f>
        <v>321210</v>
      </c>
    </row>
    <row r="41" spans="2:11">
      <c r="B41" s="228"/>
      <c r="C41" s="799" t="s">
        <v>672</v>
      </c>
      <c r="D41" s="759">
        <f>inputOth!$E$58</f>
        <v>5.2630999999999997E-2</v>
      </c>
      <c r="E41" s="346">
        <f>ROUND(IF(D41&gt;0,(E40*D41),0),0)</f>
        <v>16906</v>
      </c>
      <c r="G41" s="922" t="s">
        <v>892</v>
      </c>
      <c r="H41" s="923"/>
      <c r="I41" s="923"/>
      <c r="J41" s="924"/>
    </row>
    <row r="42" spans="2:11" ht="16.5" thickBot="1">
      <c r="B42" s="84"/>
      <c r="C42" s="911" t="str">
        <f>CONCATENATE("Amount of  ",$E$1-1," Ad Valorem Tax")</f>
        <v>Amount of  2013 Ad Valorem Tax</v>
      </c>
      <c r="D42" s="912"/>
      <c r="E42" s="367">
        <f>E40+E41</f>
        <v>338116</v>
      </c>
      <c r="G42" s="709"/>
      <c r="H42" s="710"/>
      <c r="I42" s="711"/>
      <c r="J42" s="712"/>
    </row>
    <row r="43" spans="2:11" ht="16.5" thickTop="1">
      <c r="B43" s="84"/>
      <c r="C43" s="798"/>
      <c r="D43" s="84"/>
      <c r="E43" s="84"/>
      <c r="G43" s="713">
        <f>summ!H15</f>
        <v>5.1558000000000002</v>
      </c>
      <c r="H43" s="710" t="str">
        <f>CONCATENATE("",E1," Fund Mill Rate")</f>
        <v>2014 Fund Mill Rate</v>
      </c>
      <c r="I43" s="711"/>
      <c r="J43" s="712"/>
    </row>
    <row r="44" spans="2:11">
      <c r="B44" s="800" t="s">
        <v>298</v>
      </c>
      <c r="C44" s="297">
        <v>10</v>
      </c>
      <c r="D44" s="84"/>
      <c r="E44" s="84"/>
      <c r="G44" s="714">
        <f>summ!E15</f>
        <v>4.9450000000000003</v>
      </c>
      <c r="H44" s="710" t="str">
        <f>CONCATENATE("",E1-1," Fund Mill Rate")</f>
        <v>2013 Fund Mill Rate</v>
      </c>
      <c r="I44" s="711"/>
      <c r="J44" s="712"/>
    </row>
    <row r="45" spans="2:11">
      <c r="G45" s="715">
        <f>summ!H45</f>
        <v>33.604999999999997</v>
      </c>
      <c r="H45" s="710" t="str">
        <f>CONCATENATE("Total ",E1," Mill Rate")</f>
        <v>Total 2014 Mill Rate</v>
      </c>
      <c r="I45" s="711"/>
      <c r="J45" s="712"/>
    </row>
    <row r="46" spans="2:11">
      <c r="G46" s="714">
        <f>summ!E45</f>
        <v>30.605</v>
      </c>
      <c r="H46" s="716" t="str">
        <f>CONCATENATE("Total ",E1-1," Mill Rate")</f>
        <v>Total 2013 Mill Rate</v>
      </c>
      <c r="I46" s="717"/>
      <c r="J46" s="718"/>
    </row>
    <row r="48" spans="2:11">
      <c r="G48" s="787" t="s">
        <v>976</v>
      </c>
      <c r="H48" s="786"/>
      <c r="I48" s="785" t="str">
        <f>cert!G50</f>
        <v>Yes</v>
      </c>
    </row>
    <row r="64" spans="7:10">
      <c r="G64" s="925" t="str">
        <f>CONCATENATE("Desired Carryover Into ",E1+1,"")</f>
        <v>Desired Carryover Into 2015</v>
      </c>
      <c r="H64" s="920"/>
      <c r="I64" s="920"/>
      <c r="J64" s="921"/>
    </row>
    <row r="65" spans="6:11">
      <c r="G65" s="725"/>
      <c r="H65" s="491"/>
      <c r="I65" s="726"/>
      <c r="J65" s="727"/>
    </row>
    <row r="66" spans="6:11">
      <c r="G66" s="728" t="s">
        <v>673</v>
      </c>
      <c r="H66" s="726"/>
      <c r="I66" s="726"/>
      <c r="J66" s="729">
        <v>0</v>
      </c>
    </row>
    <row r="67" spans="6:11">
      <c r="G67" s="725" t="s">
        <v>674</v>
      </c>
      <c r="H67" s="491"/>
      <c r="I67" s="491"/>
      <c r="J67" s="746" t="str">
        <f>IF(J66=0,"",ROUND((J66+E42-G79)/inputOth!B14*1000,3)-G84)</f>
        <v/>
      </c>
    </row>
    <row r="68" spans="6:11">
      <c r="G68" s="731" t="str">
        <f>CONCATENATE("",E1," Tot Exp/Non-Appr Must Be:")</f>
        <v>2014 Tot Exp/Non-Appr Must Be:</v>
      </c>
      <c r="H68" s="732"/>
      <c r="I68" s="733"/>
      <c r="J68" s="734">
        <f>IF(J66&gt;0,IF(E39&lt;E23,IF(J66=G79,E39,((J66-G79)*(1-D41))+E23),E39+(J66-G79)),0)</f>
        <v>0</v>
      </c>
    </row>
    <row r="69" spans="6:11">
      <c r="G69" s="695" t="s">
        <v>891</v>
      </c>
      <c r="H69" s="735"/>
      <c r="I69" s="735"/>
      <c r="J69" s="697">
        <f>IF(J66&gt;0,J68-E39,0)</f>
        <v>0</v>
      </c>
    </row>
    <row r="70" spans="6:11">
      <c r="J70" s="3"/>
    </row>
    <row r="71" spans="6:11">
      <c r="G71" s="925" t="str">
        <f>CONCATENATE("Projected Carryover Into ",E1+1,"")</f>
        <v>Projected Carryover Into 2015</v>
      </c>
      <c r="H71" s="928"/>
      <c r="I71" s="928"/>
      <c r="J71" s="929"/>
    </row>
    <row r="72" spans="6:11">
      <c r="G72" s="492"/>
      <c r="H72" s="491"/>
      <c r="I72" s="491"/>
      <c r="J72" s="490"/>
    </row>
    <row r="73" spans="6:11">
      <c r="G73" s="747">
        <f>D36</f>
        <v>0</v>
      </c>
      <c r="H73" s="710" t="str">
        <f>CONCATENATE("",E1-1," Ending Cash Balance (est.)")</f>
        <v>2013 Ending Cash Balance (est.)</v>
      </c>
      <c r="I73" s="748"/>
      <c r="J73" s="490"/>
    </row>
    <row r="74" spans="6:11">
      <c r="G74" s="747">
        <f>E22</f>
        <v>51538</v>
      </c>
      <c r="H74" s="726" t="str">
        <f>CONCATENATE("",E1," Non-AV Receipts (est.)")</f>
        <v>2014 Non-AV Receipts (est.)</v>
      </c>
      <c r="I74" s="748"/>
      <c r="J74" s="490"/>
    </row>
    <row r="75" spans="6:11">
      <c r="F75" s="365"/>
      <c r="G75" s="749">
        <f>IF(D41&gt;0,E40,E42)</f>
        <v>321210</v>
      </c>
      <c r="H75" s="726" t="str">
        <f>CONCATENATE("",E1," Ad Valorem Tax (est.)")</f>
        <v>2014 Ad Valorem Tax (est.)</v>
      </c>
      <c r="I75" s="748"/>
      <c r="J75" s="490"/>
      <c r="K75" s="741" t="str">
        <f>IF(G75=E42,"","Note: Does not include Delinquent Taxes")</f>
        <v>Note: Does not include Delinquent Taxes</v>
      </c>
    </row>
    <row r="76" spans="6:11">
      <c r="F76" s="775" t="str">
        <f>IF(E35/0.95-E35&lt;E38,"Exceeds 5%","")</f>
        <v/>
      </c>
      <c r="G76" s="518">
        <f>SUM(G73:G75)</f>
        <v>372748</v>
      </c>
      <c r="H76" s="726" t="str">
        <f>CONCATENATE("Total ",E1," Resources Available")</f>
        <v>Total 2014 Resources Available</v>
      </c>
      <c r="I76" s="490"/>
      <c r="J76" s="490"/>
    </row>
    <row r="77" spans="6:11">
      <c r="G77" s="515"/>
      <c r="H77" s="517"/>
      <c r="I77" s="491"/>
      <c r="J77" s="490"/>
    </row>
    <row r="78" spans="6:11">
      <c r="G78" s="516">
        <f>ROUND(C35*0.05+C35,0)</f>
        <v>351034</v>
      </c>
      <c r="H78" s="517" t="str">
        <f>CONCATENATE("Less ",E1-2," Expenditures + 5%")</f>
        <v>Less 2012 Expenditures + 5%</v>
      </c>
      <c r="I78" s="490"/>
      <c r="J78" s="490"/>
    </row>
    <row r="79" spans="6:11">
      <c r="G79" s="514">
        <f>G76-G78</f>
        <v>21714</v>
      </c>
      <c r="H79" s="513" t="str">
        <f>CONCATENATE("Projected ",E1+1," carryover (est.)")</f>
        <v>Projected 2015 carryover (est.)</v>
      </c>
      <c r="I79" s="489"/>
      <c r="J79" s="750"/>
    </row>
    <row r="80" spans="6:11">
      <c r="F80" s="760" t="str">
        <f>IF('Library Grant '!F33="","",IF('Library Grant '!F33="Qualify","Qualifies for State Library Grant","See 'Library Grant' tab"))</f>
        <v>Qualifies for State Library Grant</v>
      </c>
      <c r="G80" s="3"/>
      <c r="H80" s="3"/>
      <c r="I80" s="3"/>
    </row>
    <row r="81" spans="3:10">
      <c r="G81" s="922" t="s">
        <v>892</v>
      </c>
      <c r="H81" s="923"/>
      <c r="I81" s="923"/>
      <c r="J81" s="924"/>
    </row>
    <row r="82" spans="3:10">
      <c r="G82" s="709"/>
      <c r="H82" s="710"/>
      <c r="I82" s="711"/>
      <c r="J82" s="712"/>
    </row>
    <row r="83" spans="3:10">
      <c r="G83" s="713">
        <f>summ!H15</f>
        <v>5.1558000000000002</v>
      </c>
      <c r="H83" s="710" t="str">
        <f>CONCATENATE("",E1," Fund Mill Rate")</f>
        <v>2014 Fund Mill Rate</v>
      </c>
      <c r="I83" s="711"/>
      <c r="J83" s="712"/>
    </row>
    <row r="84" spans="3:10">
      <c r="G84" s="714">
        <f>summ!E15</f>
        <v>4.9450000000000003</v>
      </c>
      <c r="H84" s="710" t="str">
        <f>CONCATENATE("",E1-1," Fund Mill Rate")</f>
        <v>2013 Fund Mill Rate</v>
      </c>
      <c r="I84" s="711"/>
      <c r="J84" s="712"/>
    </row>
    <row r="85" spans="3:10">
      <c r="G85" s="715">
        <f>summ!H45</f>
        <v>33.604999999999997</v>
      </c>
      <c r="H85" s="710" t="str">
        <f>CONCATENATE("Total ",E1," Mill Rate")</f>
        <v>Total 2014 Mill Rate</v>
      </c>
      <c r="I85" s="711"/>
      <c r="J85" s="712"/>
    </row>
    <row r="86" spans="3:10">
      <c r="G86" s="714">
        <f>summ!E45</f>
        <v>30.605</v>
      </c>
      <c r="H86" s="716" t="str">
        <f>CONCATENATE("Total ",E1-1," Mill Rate")</f>
        <v>Total 2013 Mill Rate</v>
      </c>
      <c r="I86" s="717"/>
      <c r="J86" s="718"/>
    </row>
    <row r="88" spans="3:10">
      <c r="G88" s="787" t="s">
        <v>976</v>
      </c>
      <c r="H88" s="786"/>
      <c r="I88" s="785" t="str">
        <f>cert!G50</f>
        <v>Yes</v>
      </c>
    </row>
    <row r="91" spans="3:10">
      <c r="C91" s="80" t="e">
        <f>IF(#REF!&gt;#REF!,"See Tab A","")</f>
        <v>#REF!</v>
      </c>
      <c r="D91" s="80" t="e">
        <f>IF(#REF!&gt;#REF!,"See Tab C","")</f>
        <v>#REF!</v>
      </c>
    </row>
    <row r="92" spans="3:10">
      <c r="C92" s="80" t="e">
        <f>IF(#REF!&lt;0,"See Tab B","")</f>
        <v>#REF!</v>
      </c>
      <c r="D92" s="80" t="e">
        <f>IF(#REF!&lt;0,"See Tab D","")</f>
        <v>#REF!</v>
      </c>
    </row>
    <row r="93" spans="3:10">
      <c r="C93" s="80" t="str">
        <f>IF(C35&gt;C37,"See Tab A","")</f>
        <v/>
      </c>
      <c r="D93" s="80" t="str">
        <f>IF(D35&gt;D37,"See Tab C","")</f>
        <v/>
      </c>
    </row>
    <row r="94" spans="3:10">
      <c r="C94" s="80" t="str">
        <f>IF(C36&lt;0,"See Tab B","")</f>
        <v/>
      </c>
      <c r="D94" s="80" t="str">
        <f>IF(D36&lt;0,"See Tab D","")</f>
        <v/>
      </c>
    </row>
  </sheetData>
  <mergeCells count="9">
    <mergeCell ref="C38:D38"/>
    <mergeCell ref="C39:D39"/>
    <mergeCell ref="C42:D42"/>
    <mergeCell ref="G81:J81"/>
    <mergeCell ref="G24:J24"/>
    <mergeCell ref="G31:J31"/>
    <mergeCell ref="G41:J41"/>
    <mergeCell ref="G64:J64"/>
    <mergeCell ref="G71:J71"/>
  </mergeCells>
  <conditionalFormatting sqref="E33">
    <cfRule type="cellIs" dxfId="279" priority="11" stopIfTrue="1" operator="greaterThan">
      <formula>$E$35*0.1</formula>
    </cfRule>
  </conditionalFormatting>
  <conditionalFormatting sqref="E38">
    <cfRule type="cellIs" dxfId="278" priority="10" stopIfTrue="1" operator="greaterThan">
      <formula>$E$35/0.95-$E$35</formula>
    </cfRule>
  </conditionalFormatting>
  <conditionalFormatting sqref="D33">
    <cfRule type="cellIs" dxfId="277" priority="9" stopIfTrue="1" operator="greaterThan">
      <formula>$D$35*0.1</formula>
    </cfRule>
  </conditionalFormatting>
  <conditionalFormatting sqref="C33">
    <cfRule type="cellIs" dxfId="276" priority="8" stopIfTrue="1" operator="greaterThan">
      <formula>$C$35*0.1</formula>
    </cfRule>
  </conditionalFormatting>
  <conditionalFormatting sqref="D35">
    <cfRule type="cellIs" dxfId="275" priority="7" stopIfTrue="1" operator="greaterThan">
      <formula>$D$37</formula>
    </cfRule>
  </conditionalFormatting>
  <conditionalFormatting sqref="C35">
    <cfRule type="cellIs" dxfId="274" priority="6" stopIfTrue="1" operator="greaterThan">
      <formula>$C$37</formula>
    </cfRule>
  </conditionalFormatting>
  <conditionalFormatting sqref="C36">
    <cfRule type="cellIs" dxfId="273" priority="5" stopIfTrue="1" operator="lessThan">
      <formula>0</formula>
    </cfRule>
  </conditionalFormatting>
  <conditionalFormatting sqref="D20">
    <cfRule type="cellIs" dxfId="272" priority="4" stopIfTrue="1" operator="greaterThan">
      <formula>$D$22*0.1</formula>
    </cfRule>
  </conditionalFormatting>
  <conditionalFormatting sqref="C20">
    <cfRule type="cellIs" dxfId="271" priority="3" stopIfTrue="1" operator="greaterThan">
      <formula>$C$22*0.1</formula>
    </cfRule>
  </conditionalFormatting>
  <conditionalFormatting sqref="E20">
    <cfRule type="cellIs" dxfId="270" priority="2" stopIfTrue="1" operator="greaterThan">
      <formula>$E$22*0.1+$E$42</formula>
    </cfRule>
  </conditionalFormatting>
  <conditionalFormatting sqref="D36">
    <cfRule type="cellIs" dxfId="269" priority="1" stopIfTrue="1" operator="lessThan">
      <formula>0</formula>
    </cfRule>
  </conditionalFormatting>
  <pageMargins left="0.45" right="0.45" top="0.5" bottom="0.5" header="0.3" footer="0.3"/>
  <pageSetup scale="9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1:E69"/>
  <sheetViews>
    <sheetView workbookViewId="0">
      <selection activeCell="B62" sqref="B62"/>
    </sheetView>
  </sheetViews>
  <sheetFormatPr defaultColWidth="8.88671875" defaultRowHeight="15.75"/>
  <cols>
    <col min="1" max="1" width="2.44140625" style="80" customWidth="1"/>
    <col min="2" max="2" width="31.109375" style="80" customWidth="1"/>
    <col min="3" max="4" width="15.77734375" style="80" customWidth="1"/>
    <col min="5" max="5" width="16.21875" style="80" customWidth="1"/>
    <col min="6" max="16384" width="8.88671875" style="80"/>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(inputPrYr!B29)</f>
        <v>Spec. Rev. Aquatic Park Facility Sales Tax</v>
      </c>
      <c r="C5" s="440" t="str">
        <f>CONCATENATE("Actual for ",E1-2,"")</f>
        <v>Actual for 2012</v>
      </c>
      <c r="D5" s="440" t="str">
        <f>CONCATENATE("Estimate for ",E1-1,"")</f>
        <v>Estimate for 2013</v>
      </c>
      <c r="E5" s="268" t="str">
        <f>CONCATENATE("Year for ",E1,"")</f>
        <v>Year for 2014</v>
      </c>
    </row>
    <row r="6" spans="2:5">
      <c r="B6" s="360" t="s">
        <v>57</v>
      </c>
      <c r="C6" s="106">
        <v>830340</v>
      </c>
      <c r="D6" s="346">
        <f>C31</f>
        <v>838683</v>
      </c>
      <c r="E6" s="346">
        <f>D31</f>
        <v>841715</v>
      </c>
    </row>
    <row r="7" spans="2:5">
      <c r="B7" s="361" t="s">
        <v>59</v>
      </c>
      <c r="C7" s="124"/>
      <c r="D7" s="124"/>
      <c r="E7" s="124"/>
    </row>
    <row r="8" spans="2:5">
      <c r="B8" s="348" t="s">
        <v>1124</v>
      </c>
      <c r="C8" s="106">
        <v>448393</v>
      </c>
      <c r="D8" s="106">
        <v>443000</v>
      </c>
      <c r="E8" s="106">
        <v>84000</v>
      </c>
    </row>
    <row r="9" spans="2:5">
      <c r="B9" s="348" t="s">
        <v>331</v>
      </c>
      <c r="C9" s="106">
        <v>2118</v>
      </c>
      <c r="D9" s="106">
        <v>2000</v>
      </c>
      <c r="E9" s="106">
        <v>350</v>
      </c>
    </row>
    <row r="10" spans="2:5">
      <c r="B10" s="348"/>
      <c r="C10" s="106"/>
      <c r="D10" s="106"/>
      <c r="E10" s="106"/>
    </row>
    <row r="11" spans="2:5">
      <c r="B11" s="348"/>
      <c r="C11" s="106"/>
      <c r="D11" s="106"/>
      <c r="E11" s="106"/>
    </row>
    <row r="12" spans="2:5">
      <c r="B12" s="348"/>
      <c r="C12" s="106"/>
      <c r="D12" s="106"/>
      <c r="E12" s="106"/>
    </row>
    <row r="13" spans="2:5">
      <c r="B13" s="362" t="s">
        <v>260</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450511</v>
      </c>
      <c r="D16" s="356">
        <f>SUM(D8:D14)</f>
        <v>445000</v>
      </c>
      <c r="E16" s="356">
        <f>SUM(E8:E14)</f>
        <v>84350</v>
      </c>
    </row>
    <row r="17" spans="2:5">
      <c r="B17" s="354" t="s">
        <v>289</v>
      </c>
      <c r="C17" s="356">
        <f>C6+C16</f>
        <v>1280851</v>
      </c>
      <c r="D17" s="356">
        <f>D6+D16</f>
        <v>1283683</v>
      </c>
      <c r="E17" s="356">
        <f>E6+E16</f>
        <v>926065</v>
      </c>
    </row>
    <row r="18" spans="2:5">
      <c r="B18" s="167" t="s">
        <v>291</v>
      </c>
      <c r="C18" s="346"/>
      <c r="D18" s="346"/>
      <c r="E18" s="346"/>
    </row>
    <row r="19" spans="2:5">
      <c r="B19" s="348" t="s">
        <v>1071</v>
      </c>
      <c r="C19" s="106">
        <v>0</v>
      </c>
      <c r="D19" s="106">
        <v>0</v>
      </c>
      <c r="E19" s="106">
        <v>33771</v>
      </c>
    </row>
    <row r="20" spans="2:5">
      <c r="B20" s="348" t="s">
        <v>1126</v>
      </c>
      <c r="C20" s="106">
        <v>442168</v>
      </c>
      <c r="D20" s="106">
        <v>441968</v>
      </c>
      <c r="E20" s="106">
        <v>892294</v>
      </c>
    </row>
    <row r="21" spans="2:5">
      <c r="B21" s="348"/>
      <c r="C21" s="106"/>
      <c r="D21" s="106"/>
      <c r="E21" s="106"/>
    </row>
    <row r="22" spans="2:5">
      <c r="B22" s="348"/>
      <c r="C22" s="106"/>
      <c r="D22" s="106"/>
      <c r="E22" s="106"/>
    </row>
    <row r="23" spans="2:5">
      <c r="B23" s="348"/>
      <c r="C23" s="106"/>
      <c r="D23" s="106"/>
      <c r="E23" s="106"/>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52" t="s">
        <v>182</v>
      </c>
      <c r="C28" s="106"/>
      <c r="D28" s="345"/>
      <c r="E28" s="345"/>
    </row>
    <row r="29" spans="2:5">
      <c r="B29" s="352" t="s">
        <v>667</v>
      </c>
      <c r="C29" s="548" t="str">
        <f>IF(C30*0.1&lt;C28,"Exceed 10% Rule","")</f>
        <v/>
      </c>
      <c r="D29" s="353" t="str">
        <f>IF(D30*0.1&lt;D28,"Exceed 10% Rule","")</f>
        <v/>
      </c>
      <c r="E29" s="353" t="str">
        <f>IF(E30*0.1&lt;E28,"Exceed 10% Rule","")</f>
        <v/>
      </c>
    </row>
    <row r="30" spans="2:5">
      <c r="B30" s="354" t="s">
        <v>295</v>
      </c>
      <c r="C30" s="356">
        <f>SUM(C19:C28)</f>
        <v>442168</v>
      </c>
      <c r="D30" s="356">
        <f>SUM(D19:D28)</f>
        <v>441968</v>
      </c>
      <c r="E30" s="356">
        <f>SUM(E19:E28)</f>
        <v>926065</v>
      </c>
    </row>
    <row r="31" spans="2:5">
      <c r="B31" s="167" t="s">
        <v>58</v>
      </c>
      <c r="C31" s="119">
        <f>C17-C30</f>
        <v>838683</v>
      </c>
      <c r="D31" s="119">
        <f>D17-D30</f>
        <v>841715</v>
      </c>
      <c r="E31" s="119">
        <f>E17-E30</f>
        <v>0</v>
      </c>
    </row>
    <row r="32" spans="2:5">
      <c r="B32" s="197" t="str">
        <f>CONCATENATE("",E1-2,"/",E1-1," Budget Authority Amount:")</f>
        <v>2012/2013 Budget Authority Amount:</v>
      </c>
      <c r="C32" s="303">
        <f>inputOth!B76</f>
        <v>442169</v>
      </c>
      <c r="D32" s="303">
        <f>inputPrYr!D29</f>
        <v>1252821</v>
      </c>
      <c r="E32" s="547" t="str">
        <f>IF(E31&lt;0,"See Tab E","")</f>
        <v/>
      </c>
    </row>
    <row r="33" spans="2:5">
      <c r="B33" s="197"/>
      <c r="C33" s="358" t="str">
        <f>IF(C30&gt;C32,"See Tab A","")</f>
        <v/>
      </c>
      <c r="D33" s="358" t="str">
        <f>IF(D30&gt;D32,"See Tab C","")</f>
        <v/>
      </c>
      <c r="E33" s="136"/>
    </row>
    <row r="34" spans="2:5">
      <c r="B34" s="197"/>
      <c r="C34" s="358" t="str">
        <f>IF(C31&lt;0,"See Tab B","")</f>
        <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(inputPrYr!B30)</f>
        <v>Spec. Rev. County Infrastructure</v>
      </c>
      <c r="C38" s="359" t="str">
        <f>C5</f>
        <v>Actual for 2012</v>
      </c>
      <c r="D38" s="359" t="str">
        <f>D5</f>
        <v>Estimate for 2013</v>
      </c>
      <c r="E38" s="359" t="str">
        <f>E5</f>
        <v>Year for 2014</v>
      </c>
    </row>
    <row r="39" spans="2:5">
      <c r="B39" s="360" t="s">
        <v>57</v>
      </c>
      <c r="C39" s="106">
        <v>26053</v>
      </c>
      <c r="D39" s="346">
        <f>C64</f>
        <v>1315</v>
      </c>
      <c r="E39" s="346">
        <f>D64</f>
        <v>1315</v>
      </c>
    </row>
    <row r="40" spans="2:5">
      <c r="B40" s="361" t="s">
        <v>59</v>
      </c>
      <c r="C40" s="124"/>
      <c r="D40" s="124"/>
      <c r="E40" s="124"/>
    </row>
    <row r="41" spans="2:5">
      <c r="B41" s="348" t="s">
        <v>331</v>
      </c>
      <c r="C41" s="106">
        <v>45</v>
      </c>
      <c r="D41" s="106">
        <v>0</v>
      </c>
      <c r="E41" s="106">
        <v>0</v>
      </c>
    </row>
    <row r="42" spans="2:5">
      <c r="B42" s="348"/>
      <c r="C42" s="106"/>
      <c r="D42" s="106"/>
      <c r="E42" s="106"/>
    </row>
    <row r="43" spans="2:5">
      <c r="B43" s="348"/>
      <c r="C43" s="106"/>
      <c r="D43" s="106"/>
      <c r="E43" s="106"/>
    </row>
    <row r="44" spans="2:5">
      <c r="B44" s="348"/>
      <c r="C44" s="106"/>
      <c r="D44" s="106"/>
      <c r="E44" s="106"/>
    </row>
    <row r="45" spans="2:5">
      <c r="B45" s="348"/>
      <c r="C45" s="106"/>
      <c r="D45" s="106"/>
      <c r="E45" s="106"/>
    </row>
    <row r="46" spans="2:5">
      <c r="B46" s="362" t="s">
        <v>260</v>
      </c>
      <c r="C46" s="106"/>
      <c r="D46" s="106"/>
      <c r="E46" s="106"/>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SUM(C41:C47)</f>
        <v>45</v>
      </c>
      <c r="D49" s="356">
        <f>SUM(D41:D47)</f>
        <v>0</v>
      </c>
      <c r="E49" s="356">
        <f>SUM(E41:E47)</f>
        <v>0</v>
      </c>
    </row>
    <row r="50" spans="2:5">
      <c r="B50" s="354" t="s">
        <v>289</v>
      </c>
      <c r="C50" s="356">
        <f>C39+C49</f>
        <v>26098</v>
      </c>
      <c r="D50" s="356">
        <f>D39+D49</f>
        <v>1315</v>
      </c>
      <c r="E50" s="356">
        <f>E39+E49</f>
        <v>1315</v>
      </c>
    </row>
    <row r="51" spans="2:5">
      <c r="B51" s="167" t="s">
        <v>291</v>
      </c>
      <c r="C51" s="346"/>
      <c r="D51" s="346"/>
      <c r="E51" s="346"/>
    </row>
    <row r="52" spans="2:5">
      <c r="B52" s="348" t="s">
        <v>1136</v>
      </c>
      <c r="C52" s="106">
        <v>24783</v>
      </c>
      <c r="D52" s="106">
        <v>0</v>
      </c>
      <c r="E52" s="106">
        <v>0</v>
      </c>
    </row>
    <row r="53" spans="2:5">
      <c r="B53" s="348" t="s">
        <v>1204</v>
      </c>
      <c r="C53" s="106">
        <v>0</v>
      </c>
      <c r="D53" s="106">
        <v>0</v>
      </c>
      <c r="E53" s="106">
        <v>1315</v>
      </c>
    </row>
    <row r="54" spans="2:5">
      <c r="B54" s="348"/>
      <c r="C54" s="106"/>
      <c r="D54" s="106"/>
      <c r="E54" s="106"/>
    </row>
    <row r="55" spans="2:5">
      <c r="B55" s="348"/>
      <c r="C55" s="106"/>
      <c r="D55" s="106"/>
      <c r="E55" s="106"/>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52" t="s">
        <v>182</v>
      </c>
      <c r="C61" s="106"/>
      <c r="D61" s="345"/>
      <c r="E61" s="345"/>
    </row>
    <row r="62" spans="2:5">
      <c r="B62" s="352" t="s">
        <v>667</v>
      </c>
      <c r="C62" s="548" t="str">
        <f>IF(C63*0.1&lt;C61,"Exceed 10% Rule","")</f>
        <v/>
      </c>
      <c r="D62" s="353" t="str">
        <f>IF(D63*0.1&lt;D61,"Exceed 10% Rule","")</f>
        <v/>
      </c>
      <c r="E62" s="353" t="str">
        <f>IF(E63*0.1&lt;E61,"Exceed 10% Rule","")</f>
        <v/>
      </c>
    </row>
    <row r="63" spans="2:5">
      <c r="B63" s="354" t="s">
        <v>295</v>
      </c>
      <c r="C63" s="356">
        <f>SUM(C52:C61)</f>
        <v>24783</v>
      </c>
      <c r="D63" s="356">
        <f>SUM(D52:D61)</f>
        <v>0</v>
      </c>
      <c r="E63" s="356">
        <f>SUM(E52:E61)</f>
        <v>1315</v>
      </c>
    </row>
    <row r="64" spans="2:5">
      <c r="B64" s="167" t="s">
        <v>58</v>
      </c>
      <c r="C64" s="119">
        <f>C50-C63</f>
        <v>1315</v>
      </c>
      <c r="D64" s="119">
        <f>D50-D63</f>
        <v>1315</v>
      </c>
      <c r="E64" s="119">
        <f>E50-E63</f>
        <v>0</v>
      </c>
    </row>
    <row r="65" spans="2:5">
      <c r="B65" s="197" t="str">
        <f>CONCATENATE("",E1-2,"/",E1-1," Budget Authority Amount:")</f>
        <v>2012/2013 Budget Authority Amount:</v>
      </c>
      <c r="C65" s="303">
        <f>inputOth!B77</f>
        <v>26134</v>
      </c>
      <c r="D65" s="303">
        <f>inputPrYr!D30</f>
        <v>0</v>
      </c>
      <c r="E65" s="547" t="str">
        <f>IF(E64&lt;0,"See Tab E","")</f>
        <v/>
      </c>
    </row>
    <row r="66" spans="2:5">
      <c r="B66" s="197"/>
      <c r="C66" s="358" t="str">
        <f>IF(C63&gt;C65,"See Tab A","")</f>
        <v/>
      </c>
      <c r="D66" s="358" t="str">
        <f>IF(D63&gt;D65,"See Tab C","")</f>
        <v/>
      </c>
      <c r="E66" s="84"/>
    </row>
    <row r="67" spans="2:5">
      <c r="B67" s="197"/>
      <c r="C67" s="358" t="str">
        <f>IF(C64&lt;0,"See Tab B","")</f>
        <v/>
      </c>
      <c r="D67" s="358" t="str">
        <f>IF(D64&lt;0,"See Tab D","")</f>
        <v/>
      </c>
      <c r="E67" s="84"/>
    </row>
    <row r="68" spans="2:5">
      <c r="B68" s="84"/>
      <c r="C68" s="84"/>
      <c r="D68" s="84"/>
      <c r="E68" s="84"/>
    </row>
    <row r="69" spans="2:5">
      <c r="B69" s="197" t="s">
        <v>298</v>
      </c>
      <c r="C69" s="297">
        <v>11</v>
      </c>
      <c r="D69" s="84"/>
      <c r="E69" s="84"/>
    </row>
  </sheetData>
  <phoneticPr fontId="0" type="noConversion"/>
  <conditionalFormatting sqref="C47">
    <cfRule type="cellIs" dxfId="268" priority="3" stopIfTrue="1" operator="greaterThan">
      <formula>$C$49*0.1</formula>
    </cfRule>
  </conditionalFormatting>
  <conditionalFormatting sqref="D47">
    <cfRule type="cellIs" dxfId="267" priority="4" stopIfTrue="1" operator="greaterThan">
      <formula>$D$49*0.1</formula>
    </cfRule>
  </conditionalFormatting>
  <conditionalFormatting sqref="E47">
    <cfRule type="cellIs" dxfId="266" priority="5" stopIfTrue="1" operator="greaterThan">
      <formula>$E$49*0.1</formula>
    </cfRule>
  </conditionalFormatting>
  <conditionalFormatting sqref="C61">
    <cfRule type="cellIs" dxfId="265" priority="6" stopIfTrue="1" operator="greaterThan">
      <formula>$C$63*0.1</formula>
    </cfRule>
  </conditionalFormatting>
  <conditionalFormatting sqref="D61">
    <cfRule type="cellIs" dxfId="264" priority="7" stopIfTrue="1" operator="greaterThan">
      <formula>$D$63*0.1</formula>
    </cfRule>
  </conditionalFormatting>
  <conditionalFormatting sqref="E61">
    <cfRule type="cellIs" dxfId="263" priority="8" stopIfTrue="1" operator="greaterThan">
      <formula>$E$63*0.1</formula>
    </cfRule>
  </conditionalFormatting>
  <conditionalFormatting sqref="C28">
    <cfRule type="cellIs" dxfId="262" priority="9" stopIfTrue="1" operator="greaterThan">
      <formula>$C$30*0.1</formula>
    </cfRule>
  </conditionalFormatting>
  <conditionalFormatting sqref="D28">
    <cfRule type="cellIs" dxfId="261" priority="10" stopIfTrue="1" operator="greaterThan">
      <formula>$D$30*0.1</formula>
    </cfRule>
  </conditionalFormatting>
  <conditionalFormatting sqref="E28">
    <cfRule type="cellIs" dxfId="260" priority="11" stopIfTrue="1" operator="greaterThan">
      <formula>$E$30*0.1</formula>
    </cfRule>
  </conditionalFormatting>
  <conditionalFormatting sqref="C14">
    <cfRule type="cellIs" dxfId="259" priority="12" stopIfTrue="1" operator="greaterThan">
      <formula>$C$16*0.1</formula>
    </cfRule>
  </conditionalFormatting>
  <conditionalFormatting sqref="D14">
    <cfRule type="cellIs" dxfId="258" priority="13" stopIfTrue="1" operator="greaterThan">
      <formula>$D$16*0.1</formula>
    </cfRule>
  </conditionalFormatting>
  <conditionalFormatting sqref="E14">
    <cfRule type="cellIs" dxfId="257" priority="14" stopIfTrue="1" operator="greaterThan">
      <formula>$E$16*0.1</formula>
    </cfRule>
  </conditionalFormatting>
  <conditionalFormatting sqref="E64 C64 E31 C31">
    <cfRule type="cellIs" dxfId="256" priority="15" stopIfTrue="1" operator="lessThan">
      <formula>0</formula>
    </cfRule>
  </conditionalFormatting>
  <conditionalFormatting sqref="D63">
    <cfRule type="cellIs" dxfId="255" priority="16" stopIfTrue="1" operator="greaterThan">
      <formula>$D$65</formula>
    </cfRule>
  </conditionalFormatting>
  <conditionalFormatting sqref="C63">
    <cfRule type="cellIs" dxfId="254" priority="17" stopIfTrue="1" operator="greaterThan">
      <formula>$C$65</formula>
    </cfRule>
  </conditionalFormatting>
  <conditionalFormatting sqref="D30">
    <cfRule type="cellIs" dxfId="253" priority="18" stopIfTrue="1" operator="greaterThan">
      <formula>$D$32</formula>
    </cfRule>
  </conditionalFormatting>
  <conditionalFormatting sqref="C30">
    <cfRule type="cellIs" dxfId="252" priority="19" stopIfTrue="1" operator="greaterThan">
      <formula>$C$32</formula>
    </cfRule>
  </conditionalFormatting>
  <conditionalFormatting sqref="D64">
    <cfRule type="cellIs" dxfId="251" priority="2" stopIfTrue="1" operator="lessThan">
      <formula>0</formula>
    </cfRule>
  </conditionalFormatting>
  <conditionalFormatting sqref="D31">
    <cfRule type="cellIs" dxfId="250"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9"/>
  <sheetViews>
    <sheetView topLeftCell="A48" workbookViewId="0">
      <selection activeCell="B29" sqref="B29"/>
    </sheetView>
  </sheetViews>
  <sheetFormatPr defaultColWidth="8.88671875" defaultRowHeight="15.75"/>
  <cols>
    <col min="1" max="1" width="2.44140625" style="80" customWidth="1"/>
    <col min="2" max="2" width="31.109375" style="80" customWidth="1"/>
    <col min="3" max="4" width="15.77734375" style="80" customWidth="1"/>
    <col min="5" max="5" width="16.109375" style="80" customWidth="1"/>
    <col min="6" max="16384" width="8.88671875" style="80"/>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(inputPrYr!B31)</f>
        <v>Spec. Rev. Convention &amp; Tourism</v>
      </c>
      <c r="C5" s="440" t="str">
        <f>CONCATENATE("Actual for ",E1-2,"")</f>
        <v>Actual for 2012</v>
      </c>
      <c r="D5" s="440" t="str">
        <f>CONCATENATE("Estimate for ",E1-1,"")</f>
        <v>Estimate for 2013</v>
      </c>
      <c r="E5" s="268" t="str">
        <f>CONCATENATE("Year for ",E1,"")</f>
        <v>Year for 2014</v>
      </c>
    </row>
    <row r="6" spans="2:5">
      <c r="B6" s="360" t="s">
        <v>57</v>
      </c>
      <c r="C6" s="106">
        <v>141979</v>
      </c>
      <c r="D6" s="346">
        <f>C31</f>
        <v>156348</v>
      </c>
      <c r="E6" s="346">
        <f>D31</f>
        <v>161602</v>
      </c>
    </row>
    <row r="7" spans="2:5">
      <c r="B7" s="361" t="s">
        <v>59</v>
      </c>
      <c r="C7" s="124"/>
      <c r="D7" s="124"/>
      <c r="E7" s="124"/>
    </row>
    <row r="8" spans="2:5">
      <c r="B8" s="348" t="s">
        <v>1137</v>
      </c>
      <c r="C8" s="106">
        <v>88103</v>
      </c>
      <c r="D8" s="106">
        <v>85000</v>
      </c>
      <c r="E8" s="106">
        <v>85000</v>
      </c>
    </row>
    <row r="9" spans="2:5">
      <c r="B9" s="348" t="s">
        <v>331</v>
      </c>
      <c r="C9" s="106">
        <v>423</v>
      </c>
      <c r="D9" s="106">
        <v>450</v>
      </c>
      <c r="E9" s="106">
        <v>350</v>
      </c>
    </row>
    <row r="10" spans="2:5">
      <c r="B10" s="348" t="s">
        <v>1069</v>
      </c>
      <c r="C10" s="106">
        <v>215</v>
      </c>
      <c r="D10" s="106">
        <v>0</v>
      </c>
      <c r="E10" s="106">
        <v>0</v>
      </c>
    </row>
    <row r="11" spans="2:5">
      <c r="B11" s="348" t="s">
        <v>1138</v>
      </c>
      <c r="C11" s="106">
        <v>687</v>
      </c>
      <c r="D11" s="106">
        <v>0</v>
      </c>
      <c r="E11" s="106">
        <v>0</v>
      </c>
    </row>
    <row r="12" spans="2:5">
      <c r="B12" s="348"/>
      <c r="C12" s="106"/>
      <c r="D12" s="106"/>
      <c r="E12" s="106"/>
    </row>
    <row r="13" spans="2:5">
      <c r="B13" s="362" t="s">
        <v>260</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89428</v>
      </c>
      <c r="D16" s="356">
        <f>SUM(D8:D14)</f>
        <v>85450</v>
      </c>
      <c r="E16" s="356">
        <f>SUM(E8:E14)</f>
        <v>85350</v>
      </c>
    </row>
    <row r="17" spans="2:5">
      <c r="B17" s="354" t="s">
        <v>289</v>
      </c>
      <c r="C17" s="356">
        <f>C6+C16</f>
        <v>231407</v>
      </c>
      <c r="D17" s="356">
        <f>D6+D16</f>
        <v>241798</v>
      </c>
      <c r="E17" s="356">
        <f>E6+E16</f>
        <v>246952</v>
      </c>
    </row>
    <row r="18" spans="2:5">
      <c r="B18" s="167" t="s">
        <v>291</v>
      </c>
      <c r="C18" s="346"/>
      <c r="D18" s="346"/>
      <c r="E18" s="346"/>
    </row>
    <row r="19" spans="2:5">
      <c r="B19" s="348" t="s">
        <v>1062</v>
      </c>
      <c r="C19" s="106">
        <v>23505</v>
      </c>
      <c r="D19" s="106">
        <v>23276</v>
      </c>
      <c r="E19" s="106">
        <v>47536</v>
      </c>
    </row>
    <row r="20" spans="2:5">
      <c r="B20" s="348" t="s">
        <v>1071</v>
      </c>
      <c r="C20" s="106">
        <v>48216</v>
      </c>
      <c r="D20" s="106">
        <v>55420</v>
      </c>
      <c r="E20" s="106">
        <v>50630</v>
      </c>
    </row>
    <row r="21" spans="2:5">
      <c r="B21" s="348" t="s">
        <v>1063</v>
      </c>
      <c r="C21" s="106">
        <v>1948</v>
      </c>
      <c r="D21" s="106">
        <v>1500</v>
      </c>
      <c r="E21" s="106">
        <v>1700</v>
      </c>
    </row>
    <row r="22" spans="2:5">
      <c r="B22" s="348" t="s">
        <v>1064</v>
      </c>
      <c r="C22" s="106">
        <v>1390</v>
      </c>
      <c r="D22" s="106">
        <v>0</v>
      </c>
      <c r="E22" s="106">
        <v>3500</v>
      </c>
    </row>
    <row r="23" spans="2:5">
      <c r="B23" s="348"/>
      <c r="C23" s="106"/>
      <c r="D23" s="106"/>
      <c r="E23" s="106"/>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52" t="s">
        <v>182</v>
      </c>
      <c r="C28" s="106"/>
      <c r="D28" s="345"/>
      <c r="E28" s="345"/>
    </row>
    <row r="29" spans="2:5">
      <c r="B29" s="352" t="s">
        <v>667</v>
      </c>
      <c r="C29" s="548" t="str">
        <f>IF(C30*0.1&lt;C28,"Exceed 10% Rule","")</f>
        <v/>
      </c>
      <c r="D29" s="353" t="str">
        <f>IF(D30*0.1&lt;D28,"Exceed 10% Rule","")</f>
        <v/>
      </c>
      <c r="E29" s="353" t="str">
        <f>IF(E30*0.1&lt;E28,"Exceed 10% Rule","")</f>
        <v/>
      </c>
    </row>
    <row r="30" spans="2:5">
      <c r="B30" s="354" t="s">
        <v>295</v>
      </c>
      <c r="C30" s="356">
        <f>SUM(C19:C28)</f>
        <v>75059</v>
      </c>
      <c r="D30" s="356">
        <f>SUM(D19:D28)</f>
        <v>80196</v>
      </c>
      <c r="E30" s="356">
        <f>SUM(E19:E28)</f>
        <v>103366</v>
      </c>
    </row>
    <row r="31" spans="2:5">
      <c r="B31" s="167" t="s">
        <v>58</v>
      </c>
      <c r="C31" s="119">
        <f>C17-C30</f>
        <v>156348</v>
      </c>
      <c r="D31" s="119">
        <f>D17-D30</f>
        <v>161602</v>
      </c>
      <c r="E31" s="119">
        <f>E17-E30</f>
        <v>143586</v>
      </c>
    </row>
    <row r="32" spans="2:5">
      <c r="B32" s="197" t="str">
        <f>CONCATENATE("",E1-2,"/",E1-1," Budget Authority Amount:")</f>
        <v>2012/2013 Budget Authority Amount:</v>
      </c>
      <c r="C32" s="303">
        <f>inputOth!B78</f>
        <v>76127</v>
      </c>
      <c r="D32" s="303">
        <f>inputPrYr!D31</f>
        <v>80196</v>
      </c>
      <c r="E32" s="547" t="str">
        <f>IF(E31&lt;0,"See Tab E","")</f>
        <v/>
      </c>
    </row>
    <row r="33" spans="2:5">
      <c r="B33" s="197"/>
      <c r="C33" s="358" t="str">
        <f>IF(C30&gt;C32,"See Tab A","")</f>
        <v/>
      </c>
      <c r="D33" s="358" t="str">
        <f>IF(D30&gt;D32,"See Tab C","")</f>
        <v/>
      </c>
      <c r="E33" s="136"/>
    </row>
    <row r="34" spans="2:5">
      <c r="B34" s="197"/>
      <c r="C34" s="358" t="str">
        <f>IF(C31&lt;0,"See Tab B","")</f>
        <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(inputPrYr!B32)</f>
        <v>Spec. Rev. Drug &amp; Alcohol</v>
      </c>
      <c r="C38" s="359" t="str">
        <f>C5</f>
        <v>Actual for 2012</v>
      </c>
      <c r="D38" s="359" t="str">
        <f>D5</f>
        <v>Estimate for 2013</v>
      </c>
      <c r="E38" s="359" t="str">
        <f>E5</f>
        <v>Year for 2014</v>
      </c>
    </row>
    <row r="39" spans="2:5">
      <c r="B39" s="360" t="s">
        <v>57</v>
      </c>
      <c r="C39" s="106">
        <v>160173</v>
      </c>
      <c r="D39" s="346">
        <f>C64</f>
        <v>145193</v>
      </c>
      <c r="E39" s="346">
        <f>D64</f>
        <v>111268</v>
      </c>
    </row>
    <row r="40" spans="2:5">
      <c r="B40" s="361" t="s">
        <v>59</v>
      </c>
      <c r="C40" s="124"/>
      <c r="D40" s="124"/>
      <c r="E40" s="124"/>
    </row>
    <row r="41" spans="2:5">
      <c r="B41" s="348" t="s">
        <v>1139</v>
      </c>
      <c r="C41" s="106">
        <v>50560</v>
      </c>
      <c r="D41" s="106">
        <v>45000</v>
      </c>
      <c r="E41" s="106">
        <v>45000</v>
      </c>
    </row>
    <row r="42" spans="2:5">
      <c r="B42" s="348" t="s">
        <v>331</v>
      </c>
      <c r="C42" s="106">
        <v>395</v>
      </c>
      <c r="D42" s="106">
        <v>400</v>
      </c>
      <c r="E42" s="106">
        <v>250</v>
      </c>
    </row>
    <row r="43" spans="2:5">
      <c r="B43" s="348"/>
      <c r="C43" s="106"/>
      <c r="D43" s="106"/>
      <c r="E43" s="106"/>
    </row>
    <row r="44" spans="2:5">
      <c r="B44" s="348"/>
      <c r="C44" s="106"/>
      <c r="D44" s="106"/>
      <c r="E44" s="106"/>
    </row>
    <row r="45" spans="2:5">
      <c r="B45" s="348"/>
      <c r="C45" s="106"/>
      <c r="D45" s="106"/>
      <c r="E45" s="106"/>
    </row>
    <row r="46" spans="2:5">
      <c r="B46" s="362" t="s">
        <v>260</v>
      </c>
      <c r="C46" s="106"/>
      <c r="D46" s="106"/>
      <c r="E46" s="106"/>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SUM(C41:C47)</f>
        <v>50955</v>
      </c>
      <c r="D49" s="356">
        <f>SUM(D41:D47)</f>
        <v>45400</v>
      </c>
      <c r="E49" s="356">
        <f>SUM(E41:E47)</f>
        <v>45250</v>
      </c>
    </row>
    <row r="50" spans="2:5">
      <c r="B50" s="354" t="s">
        <v>289</v>
      </c>
      <c r="C50" s="356">
        <f>C39+C49</f>
        <v>211128</v>
      </c>
      <c r="D50" s="356">
        <f>D39+D49</f>
        <v>190593</v>
      </c>
      <c r="E50" s="356">
        <f>E39+E49</f>
        <v>156518</v>
      </c>
    </row>
    <row r="51" spans="2:5">
      <c r="B51" s="167" t="s">
        <v>291</v>
      </c>
      <c r="C51" s="346"/>
      <c r="D51" s="346"/>
      <c r="E51" s="346"/>
    </row>
    <row r="52" spans="2:5">
      <c r="B52" s="348" t="s">
        <v>1140</v>
      </c>
      <c r="C52" s="106">
        <v>13135</v>
      </c>
      <c r="D52" s="106">
        <v>25000</v>
      </c>
      <c r="E52" s="106">
        <v>25000</v>
      </c>
    </row>
    <row r="53" spans="2:5">
      <c r="B53" s="348" t="s">
        <v>1141</v>
      </c>
      <c r="C53" s="106">
        <v>2000</v>
      </c>
      <c r="D53" s="106">
        <v>0</v>
      </c>
      <c r="E53" s="106">
        <v>0</v>
      </c>
    </row>
    <row r="54" spans="2:5">
      <c r="B54" s="348" t="s">
        <v>1142</v>
      </c>
      <c r="C54" s="106">
        <v>50800</v>
      </c>
      <c r="D54" s="106">
        <v>54325</v>
      </c>
      <c r="E54" s="106">
        <v>56250</v>
      </c>
    </row>
    <row r="55" spans="2:5">
      <c r="B55" s="348"/>
      <c r="C55" s="106"/>
      <c r="D55" s="106"/>
      <c r="E55" s="106"/>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52" t="s">
        <v>182</v>
      </c>
      <c r="C61" s="106"/>
      <c r="D61" s="345"/>
      <c r="E61" s="345"/>
    </row>
    <row r="62" spans="2:5">
      <c r="B62" s="352" t="s">
        <v>667</v>
      </c>
      <c r="C62" s="548" t="str">
        <f>IF(C63*0.1&lt;C61,"Exceed 10% Rule","")</f>
        <v/>
      </c>
      <c r="D62" s="353" t="str">
        <f>IF(D63*0.1&lt;D61,"Exceed 10% Rule","")</f>
        <v/>
      </c>
      <c r="E62" s="353" t="str">
        <f>IF(E63*0.1&lt;E61,"Exceed 10% Rule","")</f>
        <v/>
      </c>
    </row>
    <row r="63" spans="2:5">
      <c r="B63" s="354" t="s">
        <v>295</v>
      </c>
      <c r="C63" s="356">
        <f>SUM(C52:C61)</f>
        <v>65935</v>
      </c>
      <c r="D63" s="356">
        <f>SUM(D52:D61)</f>
        <v>79325</v>
      </c>
      <c r="E63" s="356">
        <f>SUM(E52:E61)</f>
        <v>81250</v>
      </c>
    </row>
    <row r="64" spans="2:5">
      <c r="B64" s="167" t="s">
        <v>58</v>
      </c>
      <c r="C64" s="119">
        <f>C50-C63</f>
        <v>145193</v>
      </c>
      <c r="D64" s="119">
        <f>D50-D63</f>
        <v>111268</v>
      </c>
      <c r="E64" s="119">
        <f>E50-E63</f>
        <v>75268</v>
      </c>
    </row>
    <row r="65" spans="2:5">
      <c r="B65" s="197" t="str">
        <f>CONCATENATE("",E1-2,"/",E1-1," Budget Authority Amount:")</f>
        <v>2012/2013 Budget Authority Amount:</v>
      </c>
      <c r="C65" s="303">
        <f>inputOth!B79</f>
        <v>75800</v>
      </c>
      <c r="D65" s="303">
        <f>inputPrYr!D32</f>
        <v>79325</v>
      </c>
      <c r="E65" s="547" t="str">
        <f>IF(E64&lt;0,"See Tab E","")</f>
        <v/>
      </c>
    </row>
    <row r="66" spans="2:5">
      <c r="B66" s="197"/>
      <c r="C66" s="358" t="str">
        <f>IF(C63&gt;C65,"See Tab A","")</f>
        <v/>
      </c>
      <c r="D66" s="358" t="str">
        <f>IF(D63&gt;D65,"See Tab C","")</f>
        <v/>
      </c>
      <c r="E66" s="84"/>
    </row>
    <row r="67" spans="2:5">
      <c r="B67" s="197"/>
      <c r="C67" s="358" t="str">
        <f>IF(C64&lt;0,"See Tab B","")</f>
        <v/>
      </c>
      <c r="D67" s="358" t="str">
        <f>IF(D64&lt;0,"See Tab D","")</f>
        <v/>
      </c>
      <c r="E67" s="84"/>
    </row>
    <row r="68" spans="2:5">
      <c r="B68" s="84"/>
      <c r="C68" s="84"/>
      <c r="D68" s="84"/>
      <c r="E68" s="84"/>
    </row>
    <row r="69" spans="2:5">
      <c r="B69" s="197" t="s">
        <v>298</v>
      </c>
      <c r="C69" s="297">
        <v>12</v>
      </c>
      <c r="D69" s="84"/>
      <c r="E69" s="84"/>
    </row>
  </sheetData>
  <phoneticPr fontId="0" type="noConversion"/>
  <conditionalFormatting sqref="C47">
    <cfRule type="cellIs" dxfId="249" priority="3" stopIfTrue="1" operator="greaterThan">
      <formula>$C$49*0.1</formula>
    </cfRule>
  </conditionalFormatting>
  <conditionalFormatting sqref="D47">
    <cfRule type="cellIs" dxfId="248" priority="4" stopIfTrue="1" operator="greaterThan">
      <formula>$D$49*0.1</formula>
    </cfRule>
  </conditionalFormatting>
  <conditionalFormatting sqref="E47">
    <cfRule type="cellIs" dxfId="247" priority="5" stopIfTrue="1" operator="greaterThan">
      <formula>$E$49*0.1</formula>
    </cfRule>
  </conditionalFormatting>
  <conditionalFormatting sqref="C61">
    <cfRule type="cellIs" dxfId="246" priority="6" stopIfTrue="1" operator="greaterThan">
      <formula>$C$63*0.1</formula>
    </cfRule>
  </conditionalFormatting>
  <conditionalFormatting sqref="D61">
    <cfRule type="cellIs" dxfId="245" priority="7" stopIfTrue="1" operator="greaterThan">
      <formula>$D$63*0.1</formula>
    </cfRule>
  </conditionalFormatting>
  <conditionalFormatting sqref="E61">
    <cfRule type="cellIs" dxfId="244" priority="8" stopIfTrue="1" operator="greaterThan">
      <formula>$E$63*0.1</formula>
    </cfRule>
  </conditionalFormatting>
  <conditionalFormatting sqref="C28">
    <cfRule type="cellIs" dxfId="243" priority="9" stopIfTrue="1" operator="greaterThan">
      <formula>$C$30*0.1</formula>
    </cfRule>
  </conditionalFormatting>
  <conditionalFormatting sqref="D28">
    <cfRule type="cellIs" dxfId="242" priority="10" stopIfTrue="1" operator="greaterThan">
      <formula>$D$30*0.1</formula>
    </cfRule>
  </conditionalFormatting>
  <conditionalFormatting sqref="E28">
    <cfRule type="cellIs" dxfId="241" priority="11" stopIfTrue="1" operator="greaterThan">
      <formula>$E$30*0.1</formula>
    </cfRule>
  </conditionalFormatting>
  <conditionalFormatting sqref="C14">
    <cfRule type="cellIs" dxfId="240" priority="12" stopIfTrue="1" operator="greaterThan">
      <formula>$C$16*0.1</formula>
    </cfRule>
  </conditionalFormatting>
  <conditionalFormatting sqref="D14">
    <cfRule type="cellIs" dxfId="239" priority="13" stopIfTrue="1" operator="greaterThan">
      <formula>$D$16*0.1</formula>
    </cfRule>
  </conditionalFormatting>
  <conditionalFormatting sqref="E14">
    <cfRule type="cellIs" dxfId="238" priority="14" stopIfTrue="1" operator="greaterThan">
      <formula>$E$16*0.1</formula>
    </cfRule>
  </conditionalFormatting>
  <conditionalFormatting sqref="E64 C64 E31 C31">
    <cfRule type="cellIs" dxfId="237" priority="15" stopIfTrue="1" operator="lessThan">
      <formula>0</formula>
    </cfRule>
  </conditionalFormatting>
  <conditionalFormatting sqref="D30">
    <cfRule type="cellIs" dxfId="236" priority="16" stopIfTrue="1" operator="greaterThan">
      <formula>$D$32</formula>
    </cfRule>
  </conditionalFormatting>
  <conditionalFormatting sqref="C30">
    <cfRule type="cellIs" dxfId="235" priority="17" stopIfTrue="1" operator="greaterThan">
      <formula>$C$32</formula>
    </cfRule>
  </conditionalFormatting>
  <conditionalFormatting sqref="C63">
    <cfRule type="cellIs" dxfId="234" priority="18" stopIfTrue="1" operator="greaterThan">
      <formula>$C$65</formula>
    </cfRule>
  </conditionalFormatting>
  <conditionalFormatting sqref="D63">
    <cfRule type="cellIs" dxfId="233" priority="19" stopIfTrue="1" operator="greaterThan">
      <formula>$D$65</formula>
    </cfRule>
  </conditionalFormatting>
  <conditionalFormatting sqref="D64 D31">
    <cfRule type="cellIs" dxfId="232" priority="2"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9"/>
  <sheetViews>
    <sheetView workbookViewId="0">
      <selection activeCell="B29" sqref="B29"/>
    </sheetView>
  </sheetViews>
  <sheetFormatPr defaultColWidth="8.88671875" defaultRowHeight="15.75"/>
  <cols>
    <col min="1" max="1" width="2.44140625" style="80" customWidth="1"/>
    <col min="2" max="2" width="31.109375" style="80" customWidth="1"/>
    <col min="3" max="4" width="15.77734375" style="80" customWidth="1"/>
    <col min="5" max="5" width="16.6640625" style="80" customWidth="1"/>
    <col min="6" max="16384" width="8.88671875" style="80"/>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inputPrYr!B33</f>
        <v>Spec. Rev. Economic Development</v>
      </c>
      <c r="C5" s="440" t="str">
        <f>CONCATENATE("Actual for ",E1-2,"")</f>
        <v>Actual for 2012</v>
      </c>
      <c r="D5" s="440" t="str">
        <f>CONCATENATE("Estimate for ",E1-1,"")</f>
        <v>Estimate for 2013</v>
      </c>
      <c r="E5" s="268" t="str">
        <f>CONCATENATE("Year for ",E1,"")</f>
        <v>Year for 2014</v>
      </c>
    </row>
    <row r="6" spans="2:5">
      <c r="B6" s="360" t="s">
        <v>57</v>
      </c>
      <c r="C6" s="106">
        <v>11147</v>
      </c>
      <c r="D6" s="346">
        <f>C31</f>
        <v>11946</v>
      </c>
      <c r="E6" s="346">
        <f>D31</f>
        <v>14029</v>
      </c>
    </row>
    <row r="7" spans="2:5">
      <c r="B7" s="361" t="s">
        <v>59</v>
      </c>
      <c r="C7" s="124"/>
      <c r="D7" s="124"/>
      <c r="E7" s="124"/>
    </row>
    <row r="8" spans="2:5">
      <c r="B8" s="348" t="s">
        <v>1143</v>
      </c>
      <c r="C8" s="106">
        <v>10000</v>
      </c>
      <c r="D8" s="106">
        <v>0</v>
      </c>
      <c r="E8" s="106">
        <v>15200</v>
      </c>
    </row>
    <row r="9" spans="2:5">
      <c r="B9" s="348" t="s">
        <v>331</v>
      </c>
      <c r="C9" s="106">
        <v>37</v>
      </c>
      <c r="D9" s="106">
        <v>0</v>
      </c>
      <c r="E9" s="106">
        <v>0</v>
      </c>
    </row>
    <row r="10" spans="2:5">
      <c r="B10" s="348" t="s">
        <v>1144</v>
      </c>
      <c r="C10" s="106">
        <v>0</v>
      </c>
      <c r="D10" s="106">
        <v>13500</v>
      </c>
      <c r="E10" s="106">
        <v>0</v>
      </c>
    </row>
    <row r="11" spans="2:5">
      <c r="B11" s="348"/>
      <c r="C11" s="106"/>
      <c r="D11" s="106"/>
      <c r="E11" s="106"/>
    </row>
    <row r="12" spans="2:5">
      <c r="B12" s="348"/>
      <c r="C12" s="106"/>
      <c r="D12" s="106"/>
      <c r="E12" s="106"/>
    </row>
    <row r="13" spans="2:5">
      <c r="B13" s="362" t="s">
        <v>260</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10037</v>
      </c>
      <c r="D16" s="356">
        <f>SUM(D8:D14)</f>
        <v>13500</v>
      </c>
      <c r="E16" s="356">
        <f>SUM(E8:E14)</f>
        <v>15200</v>
      </c>
    </row>
    <row r="17" spans="2:5">
      <c r="B17" s="354" t="s">
        <v>289</v>
      </c>
      <c r="C17" s="356">
        <f>C6+C16</f>
        <v>21184</v>
      </c>
      <c r="D17" s="356">
        <f>D6+D16</f>
        <v>25446</v>
      </c>
      <c r="E17" s="356">
        <f>E6+E16</f>
        <v>29229</v>
      </c>
    </row>
    <row r="18" spans="2:5">
      <c r="B18" s="167" t="s">
        <v>291</v>
      </c>
      <c r="C18" s="346"/>
      <c r="D18" s="346"/>
      <c r="E18" s="346"/>
    </row>
    <row r="19" spans="2:5">
      <c r="B19" s="348" t="s">
        <v>1071</v>
      </c>
      <c r="C19" s="106">
        <v>8161</v>
      </c>
      <c r="D19" s="106">
        <v>10517</v>
      </c>
      <c r="E19" s="106">
        <v>11774</v>
      </c>
    </row>
    <row r="20" spans="2:5">
      <c r="B20" s="348" t="s">
        <v>1063</v>
      </c>
      <c r="C20" s="106">
        <v>1077</v>
      </c>
      <c r="D20" s="106">
        <v>900</v>
      </c>
      <c r="E20" s="106">
        <v>800</v>
      </c>
    </row>
    <row r="21" spans="2:5">
      <c r="B21" s="348"/>
      <c r="C21" s="106"/>
      <c r="D21" s="106"/>
      <c r="E21" s="106"/>
    </row>
    <row r="22" spans="2:5">
      <c r="B22" s="348"/>
      <c r="C22" s="106"/>
      <c r="D22" s="106"/>
      <c r="E22" s="106"/>
    </row>
    <row r="23" spans="2:5">
      <c r="B23" s="348"/>
      <c r="C23" s="106"/>
      <c r="D23" s="106"/>
      <c r="E23" s="106"/>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52" t="s">
        <v>182</v>
      </c>
      <c r="C28" s="106"/>
      <c r="D28" s="345"/>
      <c r="E28" s="345"/>
    </row>
    <row r="29" spans="2:5">
      <c r="B29" s="352" t="s">
        <v>667</v>
      </c>
      <c r="C29" s="548" t="str">
        <f>IF(C30*0.1&lt;C28,"Exceed 10% Rule","")</f>
        <v/>
      </c>
      <c r="D29" s="353" t="str">
        <f>IF(D30*0.1&lt;D28,"Exceed 10% Rule","")</f>
        <v/>
      </c>
      <c r="E29" s="353" t="str">
        <f>IF(E30*0.1&lt;E28,"Exceed 10% Rule","")</f>
        <v/>
      </c>
    </row>
    <row r="30" spans="2:5">
      <c r="B30" s="354" t="s">
        <v>295</v>
      </c>
      <c r="C30" s="356">
        <f>SUM(C19:C28)</f>
        <v>9238</v>
      </c>
      <c r="D30" s="356">
        <f>SUM(D19:D28)</f>
        <v>11417</v>
      </c>
      <c r="E30" s="356">
        <f>SUM(E19:E28)</f>
        <v>12574</v>
      </c>
    </row>
    <row r="31" spans="2:5">
      <c r="B31" s="167" t="s">
        <v>58</v>
      </c>
      <c r="C31" s="119">
        <f>C17-C30</f>
        <v>11946</v>
      </c>
      <c r="D31" s="119">
        <f>D17-D30</f>
        <v>14029</v>
      </c>
      <c r="E31" s="119">
        <f>E17-E30</f>
        <v>16655</v>
      </c>
    </row>
    <row r="32" spans="2:5">
      <c r="B32" s="197" t="str">
        <f>CONCATENATE("",E1-2,"/",E1-1," Budget Authority Amount:")</f>
        <v>2012/2013 Budget Authority Amount:</v>
      </c>
      <c r="C32" s="303">
        <f>inputOth!B80</f>
        <v>9450</v>
      </c>
      <c r="D32" s="303">
        <f>inputPrYr!D31</f>
        <v>80196</v>
      </c>
      <c r="E32" s="547" t="str">
        <f>IF(E31&lt;0,"See Tab E","")</f>
        <v/>
      </c>
    </row>
    <row r="33" spans="2:5">
      <c r="B33" s="197"/>
      <c r="C33" s="358" t="str">
        <f>IF(C30&gt;C32,"See Tab A","")</f>
        <v/>
      </c>
      <c r="D33" s="358" t="str">
        <f>IF(D30&gt;D32,"See Tab C","")</f>
        <v/>
      </c>
      <c r="E33" s="136"/>
    </row>
    <row r="34" spans="2:5">
      <c r="B34" s="197"/>
      <c r="C34" s="358" t="str">
        <f>IF(C31&lt;0,"See Tab B","")</f>
        <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inputPrYr!B34</f>
        <v>Spec. Rev. Emergency Services Capital</v>
      </c>
      <c r="C38" s="359" t="str">
        <f>C5</f>
        <v>Actual for 2012</v>
      </c>
      <c r="D38" s="359" t="str">
        <f>D5</f>
        <v>Estimate for 2013</v>
      </c>
      <c r="E38" s="359" t="str">
        <f>E5</f>
        <v>Year for 2014</v>
      </c>
    </row>
    <row r="39" spans="2:5">
      <c r="B39" s="360" t="s">
        <v>57</v>
      </c>
      <c r="C39" s="106">
        <v>333251</v>
      </c>
      <c r="D39" s="346">
        <f>C64</f>
        <v>358654</v>
      </c>
      <c r="E39" s="346">
        <f>D64</f>
        <v>312330</v>
      </c>
    </row>
    <row r="40" spans="2:5">
      <c r="B40" s="361" t="s">
        <v>59</v>
      </c>
      <c r="C40" s="124"/>
      <c r="D40" s="124"/>
      <c r="E40" s="124"/>
    </row>
    <row r="41" spans="2:5">
      <c r="B41" s="348" t="s">
        <v>1145</v>
      </c>
      <c r="C41" s="106">
        <v>448392</v>
      </c>
      <c r="D41" s="106">
        <v>443000</v>
      </c>
      <c r="E41" s="106">
        <v>417000</v>
      </c>
    </row>
    <row r="42" spans="2:5">
      <c r="B42" s="348" t="s">
        <v>331</v>
      </c>
      <c r="C42" s="106">
        <v>1073</v>
      </c>
      <c r="D42" s="106">
        <v>600</v>
      </c>
      <c r="E42" s="106">
        <v>600</v>
      </c>
    </row>
    <row r="43" spans="2:5">
      <c r="B43" s="348"/>
      <c r="C43" s="106"/>
      <c r="D43" s="106"/>
      <c r="E43" s="106"/>
    </row>
    <row r="44" spans="2:5">
      <c r="B44" s="348"/>
      <c r="C44" s="106"/>
      <c r="D44" s="106"/>
      <c r="E44" s="106"/>
    </row>
    <row r="45" spans="2:5">
      <c r="B45" s="348"/>
      <c r="C45" s="106"/>
      <c r="D45" s="106"/>
      <c r="E45" s="106"/>
    </row>
    <row r="46" spans="2:5">
      <c r="B46" s="362" t="s">
        <v>260</v>
      </c>
      <c r="C46" s="106"/>
      <c r="D46" s="106"/>
      <c r="E46" s="106"/>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SUM(C41:C47)</f>
        <v>449465</v>
      </c>
      <c r="D49" s="356">
        <f>SUM(D41:D47)</f>
        <v>443600</v>
      </c>
      <c r="E49" s="356">
        <f>SUM(E41:E47)</f>
        <v>417600</v>
      </c>
    </row>
    <row r="50" spans="2:5">
      <c r="B50" s="354" t="s">
        <v>289</v>
      </c>
      <c r="C50" s="356">
        <f>C39+C49</f>
        <v>782716</v>
      </c>
      <c r="D50" s="356">
        <f>D39+D49</f>
        <v>802254</v>
      </c>
      <c r="E50" s="356">
        <f>E39+E49</f>
        <v>729930</v>
      </c>
    </row>
    <row r="51" spans="2:5">
      <c r="B51" s="167" t="s">
        <v>291</v>
      </c>
      <c r="C51" s="346"/>
      <c r="D51" s="346"/>
      <c r="E51" s="346"/>
    </row>
    <row r="52" spans="2:5">
      <c r="B52" s="348" t="s">
        <v>1064</v>
      </c>
      <c r="C52" s="106">
        <v>348623</v>
      </c>
      <c r="D52" s="106">
        <v>221880</v>
      </c>
      <c r="E52" s="106">
        <v>434841</v>
      </c>
    </row>
    <row r="53" spans="2:5">
      <c r="B53" s="348" t="s">
        <v>1126</v>
      </c>
      <c r="C53" s="106">
        <v>75439</v>
      </c>
      <c r="D53" s="106">
        <v>268044</v>
      </c>
      <c r="E53" s="106">
        <v>268501</v>
      </c>
    </row>
    <row r="54" spans="2:5">
      <c r="B54" s="348"/>
      <c r="C54" s="106"/>
      <c r="D54" s="106"/>
      <c r="E54" s="106"/>
    </row>
    <row r="55" spans="2:5">
      <c r="B55" s="348"/>
      <c r="C55" s="106"/>
      <c r="D55" s="106"/>
      <c r="E55" s="106"/>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52" t="s">
        <v>182</v>
      </c>
      <c r="C61" s="106"/>
      <c r="D61" s="345"/>
      <c r="E61" s="345"/>
    </row>
    <row r="62" spans="2:5">
      <c r="B62" s="352" t="s">
        <v>667</v>
      </c>
      <c r="C62" s="548" t="str">
        <f>IF(C63*0.1&lt;C61,"Exceed 10% Rule","")</f>
        <v/>
      </c>
      <c r="D62" s="353" t="str">
        <f>IF(D63*0.1&lt;D61,"Exceed 10% Rule","")</f>
        <v/>
      </c>
      <c r="E62" s="353" t="str">
        <f>IF(E63*0.1&lt;E61,"Exceed 10% Rule","")</f>
        <v/>
      </c>
    </row>
    <row r="63" spans="2:5">
      <c r="B63" s="164" t="s">
        <v>295</v>
      </c>
      <c r="C63" s="356">
        <f>SUM(C52:C61)</f>
        <v>424062</v>
      </c>
      <c r="D63" s="356">
        <f>SUM(D52:D61)</f>
        <v>489924</v>
      </c>
      <c r="E63" s="356">
        <f>SUM(E52:E61)</f>
        <v>703342</v>
      </c>
    </row>
    <row r="64" spans="2:5">
      <c r="B64" s="167" t="s">
        <v>58</v>
      </c>
      <c r="C64" s="119">
        <f>C50-C63</f>
        <v>358654</v>
      </c>
      <c r="D64" s="119">
        <f>D50-D63</f>
        <v>312330</v>
      </c>
      <c r="E64" s="119">
        <f>E50-E63</f>
        <v>26588</v>
      </c>
    </row>
    <row r="65" spans="2:5">
      <c r="B65" s="197" t="str">
        <f>CONCATENATE("",E1-2,"/",E1-1," Budget Authority Amount:")</f>
        <v>2012/2013 Budget Authority Amount:</v>
      </c>
      <c r="C65" s="303">
        <f>inputOth!B81</f>
        <v>481383</v>
      </c>
      <c r="D65" s="303">
        <f>inputPrYr!D34</f>
        <v>714118</v>
      </c>
      <c r="E65" s="547" t="str">
        <f>IF(E64&lt;0,"See Tab E","")</f>
        <v/>
      </c>
    </row>
    <row r="66" spans="2:5">
      <c r="B66" s="197"/>
      <c r="C66" s="358" t="str">
        <f>IF(C63&gt;C65,"See Tab A","")</f>
        <v/>
      </c>
      <c r="D66" s="358" t="str">
        <f>IF(D63&gt;D65,"See Tab C","")</f>
        <v/>
      </c>
      <c r="E66" s="84"/>
    </row>
    <row r="67" spans="2:5">
      <c r="B67" s="197"/>
      <c r="C67" s="358" t="str">
        <f>IF(C64&lt;0,"See Tab B","")</f>
        <v/>
      </c>
      <c r="D67" s="358" t="str">
        <f>IF(D64&lt;0,"See Tab D","")</f>
        <v/>
      </c>
      <c r="E67" s="84"/>
    </row>
    <row r="68" spans="2:5">
      <c r="B68" s="84"/>
      <c r="C68" s="84"/>
      <c r="D68" s="84"/>
      <c r="E68" s="84"/>
    </row>
    <row r="69" spans="2:5">
      <c r="B69" s="197" t="s">
        <v>298</v>
      </c>
      <c r="C69" s="297">
        <v>13</v>
      </c>
      <c r="D69" s="84"/>
      <c r="E69" s="84"/>
    </row>
  </sheetData>
  <phoneticPr fontId="0" type="noConversion"/>
  <conditionalFormatting sqref="C47">
    <cfRule type="cellIs" dxfId="231" priority="3" stopIfTrue="1" operator="greaterThan">
      <formula>$C$49*0.1</formula>
    </cfRule>
  </conditionalFormatting>
  <conditionalFormatting sqref="D47">
    <cfRule type="cellIs" dxfId="230" priority="4" stopIfTrue="1" operator="greaterThan">
      <formula>$D$49*0.1</formula>
    </cfRule>
  </conditionalFormatting>
  <conditionalFormatting sqref="E47">
    <cfRule type="cellIs" dxfId="229" priority="5" stopIfTrue="1" operator="greaterThan">
      <formula>$E$49*0.1</formula>
    </cfRule>
  </conditionalFormatting>
  <conditionalFormatting sqref="C61">
    <cfRule type="cellIs" dxfId="228" priority="6" stopIfTrue="1" operator="greaterThan">
      <formula>$C$63*0.1</formula>
    </cfRule>
  </conditionalFormatting>
  <conditionalFormatting sqref="D61">
    <cfRule type="cellIs" dxfId="227" priority="7" stopIfTrue="1" operator="greaterThan">
      <formula>$D$63*0.1</formula>
    </cfRule>
  </conditionalFormatting>
  <conditionalFormatting sqref="E61">
    <cfRule type="cellIs" dxfId="226" priority="8" stopIfTrue="1" operator="greaterThan">
      <formula>$E$63*0.1</formula>
    </cfRule>
  </conditionalFormatting>
  <conditionalFormatting sqref="C28">
    <cfRule type="cellIs" dxfId="225" priority="9" stopIfTrue="1" operator="greaterThan">
      <formula>$C$30*0.1</formula>
    </cfRule>
  </conditionalFormatting>
  <conditionalFormatting sqref="D28">
    <cfRule type="cellIs" dxfId="224" priority="10" stopIfTrue="1" operator="greaterThan">
      <formula>$D$30*0.1</formula>
    </cfRule>
  </conditionalFormatting>
  <conditionalFormatting sqref="E28">
    <cfRule type="cellIs" dxfId="223" priority="11" stopIfTrue="1" operator="greaterThan">
      <formula>$E$30*0.1</formula>
    </cfRule>
  </conditionalFormatting>
  <conditionalFormatting sqref="C14">
    <cfRule type="cellIs" dxfId="222" priority="12" stopIfTrue="1" operator="greaterThan">
      <formula>$C$16*0.1</formula>
    </cfRule>
  </conditionalFormatting>
  <conditionalFormatting sqref="D14">
    <cfRule type="cellIs" dxfId="221" priority="13" stopIfTrue="1" operator="greaterThan">
      <formula>$D$16*0.1</formula>
    </cfRule>
  </conditionalFormatting>
  <conditionalFormatting sqref="E14">
    <cfRule type="cellIs" dxfId="220" priority="14" stopIfTrue="1" operator="greaterThan">
      <formula>$E$16*0.1</formula>
    </cfRule>
  </conditionalFormatting>
  <conditionalFormatting sqref="E31 C31 E64 C64">
    <cfRule type="cellIs" dxfId="219" priority="15" stopIfTrue="1" operator="lessThan">
      <formula>0</formula>
    </cfRule>
  </conditionalFormatting>
  <conditionalFormatting sqref="C30">
    <cfRule type="cellIs" dxfId="218" priority="16" stopIfTrue="1" operator="greaterThan">
      <formula>$C$32</formula>
    </cfRule>
  </conditionalFormatting>
  <conditionalFormatting sqref="D30">
    <cfRule type="cellIs" dxfId="217" priority="17" stopIfTrue="1" operator="greaterThan">
      <formula>$D$32</formula>
    </cfRule>
  </conditionalFormatting>
  <conditionalFormatting sqref="C63">
    <cfRule type="cellIs" dxfId="216" priority="18" stopIfTrue="1" operator="greaterThan">
      <formula>$C$65</formula>
    </cfRule>
  </conditionalFormatting>
  <conditionalFormatting sqref="D63">
    <cfRule type="cellIs" dxfId="215" priority="19" stopIfTrue="1" operator="greaterThan">
      <formula>$D$65</formula>
    </cfRule>
  </conditionalFormatting>
  <conditionalFormatting sqref="D64">
    <cfRule type="cellIs" dxfId="214" priority="2" stopIfTrue="1" operator="lessThan">
      <formula>0</formula>
    </cfRule>
  </conditionalFormatting>
  <conditionalFormatting sqref="D31">
    <cfRule type="cellIs" dxfId="213"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topLeftCell="A86" workbookViewId="0">
      <selection activeCell="B52" sqref="B52"/>
    </sheetView>
  </sheetViews>
  <sheetFormatPr defaultColWidth="8.88671875" defaultRowHeight="15.75"/>
  <cols>
    <col min="1" max="1" width="15.77734375" style="80" customWidth="1"/>
    <col min="2" max="2" width="20.77734375" style="80" customWidth="1"/>
    <col min="3" max="3" width="9.77734375" style="80" customWidth="1"/>
    <col min="4" max="4" width="15.109375" style="80" customWidth="1"/>
    <col min="5" max="5" width="15.77734375" style="80" customWidth="1"/>
    <col min="6" max="6" width="1.88671875" style="80" customWidth="1"/>
    <col min="7" max="7" width="18.6640625" style="80" customWidth="1"/>
    <col min="8" max="16384" width="8.88671875" style="80"/>
  </cols>
  <sheetData>
    <row r="1" spans="1:8">
      <c r="A1" s="844" t="s">
        <v>177</v>
      </c>
      <c r="B1" s="845"/>
      <c r="C1" s="845"/>
      <c r="D1" s="845"/>
      <c r="E1" s="845"/>
    </row>
    <row r="2" spans="1:8">
      <c r="A2" s="81"/>
      <c r="B2" s="82"/>
      <c r="C2" s="82"/>
      <c r="D2" s="82"/>
      <c r="E2" s="82"/>
    </row>
    <row r="3" spans="1:8">
      <c r="A3" s="83" t="s">
        <v>160</v>
      </c>
      <c r="B3" s="84"/>
      <c r="C3" s="84"/>
      <c r="D3" s="85" t="s">
        <v>986</v>
      </c>
      <c r="E3" s="86"/>
    </row>
    <row r="4" spans="1:8">
      <c r="A4" s="83" t="s">
        <v>188</v>
      </c>
      <c r="B4" s="84"/>
      <c r="C4" s="84"/>
      <c r="D4" s="87" t="s">
        <v>987</v>
      </c>
      <c r="E4" s="88"/>
    </row>
    <row r="5" spans="1:8">
      <c r="A5" s="81" t="s">
        <v>164</v>
      </c>
      <c r="B5" s="89"/>
      <c r="C5" s="84"/>
      <c r="D5" s="90"/>
      <c r="E5" s="84"/>
    </row>
    <row r="6" spans="1:8">
      <c r="A6" s="83" t="s">
        <v>161</v>
      </c>
      <c r="B6" s="84"/>
      <c r="C6" s="84"/>
      <c r="D6" s="85" t="s">
        <v>984</v>
      </c>
      <c r="E6" s="86"/>
    </row>
    <row r="7" spans="1:8">
      <c r="A7" s="83" t="s">
        <v>162</v>
      </c>
      <c r="B7" s="84"/>
      <c r="C7" s="84"/>
      <c r="D7" s="87" t="s">
        <v>985</v>
      </c>
      <c r="E7" s="88"/>
    </row>
    <row r="8" spans="1:8">
      <c r="A8" s="83" t="s">
        <v>163</v>
      </c>
      <c r="B8" s="84"/>
      <c r="C8" s="84"/>
      <c r="D8" s="87" t="s">
        <v>260</v>
      </c>
      <c r="E8" s="88"/>
    </row>
    <row r="9" spans="1:8">
      <c r="A9" s="91"/>
      <c r="B9" s="84"/>
      <c r="C9" s="84"/>
      <c r="D9" s="90"/>
      <c r="E9" s="84"/>
    </row>
    <row r="10" spans="1:8">
      <c r="A10" s="83" t="s">
        <v>91</v>
      </c>
      <c r="B10" s="84"/>
      <c r="C10" s="92">
        <v>2014</v>
      </c>
      <c r="D10" s="90"/>
      <c r="E10" s="84"/>
    </row>
    <row r="11" spans="1:8">
      <c r="A11" s="84"/>
      <c r="B11" s="84"/>
      <c r="C11" s="84"/>
      <c r="D11" s="84"/>
      <c r="E11" s="84"/>
    </row>
    <row r="12" spans="1:8">
      <c r="A12" s="93" t="s">
        <v>348</v>
      </c>
      <c r="B12" s="94"/>
      <c r="C12" s="94"/>
      <c r="D12" s="94"/>
      <c r="E12" s="94"/>
    </row>
    <row r="13" spans="1:8">
      <c r="A13" s="93" t="s">
        <v>347</v>
      </c>
      <c r="B13" s="94"/>
      <c r="C13" s="94"/>
      <c r="D13" s="94"/>
      <c r="E13" s="94"/>
      <c r="F13" s="761"/>
      <c r="G13" s="846" t="s">
        <v>893</v>
      </c>
      <c r="H13" s="847"/>
    </row>
    <row r="14" spans="1:8">
      <c r="A14" s="93"/>
      <c r="B14" s="94"/>
      <c r="C14" s="94"/>
      <c r="D14" s="94"/>
      <c r="E14" s="94"/>
      <c r="F14" s="761"/>
      <c r="G14" s="848"/>
      <c r="H14" s="847"/>
    </row>
    <row r="15" spans="1:8">
      <c r="A15" s="842" t="s">
        <v>146</v>
      </c>
      <c r="B15" s="843"/>
      <c r="C15" s="843"/>
      <c r="D15" s="843"/>
      <c r="E15" s="843"/>
      <c r="F15" s="761"/>
      <c r="G15" s="848"/>
      <c r="H15" s="847"/>
    </row>
    <row r="16" spans="1:8">
      <c r="A16" s="84"/>
      <c r="B16" s="84"/>
      <c r="C16" s="84"/>
      <c r="D16" s="84"/>
      <c r="E16" s="84"/>
      <c r="F16" s="761"/>
      <c r="G16" s="848"/>
      <c r="H16" s="847"/>
    </row>
    <row r="17" spans="1:8">
      <c r="A17" s="95" t="s">
        <v>147</v>
      </c>
      <c r="B17" s="96"/>
      <c r="C17" s="84"/>
      <c r="D17" s="84"/>
      <c r="E17" s="84"/>
      <c r="F17" s="761"/>
      <c r="G17" s="848"/>
      <c r="H17" s="847"/>
    </row>
    <row r="18" spans="1:8">
      <c r="A18" s="97" t="str">
        <f>CONCATENATE("the ",C10-1," Budget, Certificate Page:")</f>
        <v>the 2013 Budget, Certificate Page:</v>
      </c>
      <c r="B18" s="98"/>
      <c r="C18" s="84"/>
      <c r="D18" s="84"/>
      <c r="E18" s="113"/>
      <c r="F18" s="761"/>
      <c r="G18" s="848"/>
      <c r="H18" s="847"/>
    </row>
    <row r="19" spans="1:8">
      <c r="A19" s="97" t="s">
        <v>350</v>
      </c>
      <c r="B19" s="98"/>
      <c r="C19" s="84"/>
      <c r="D19" s="84"/>
      <c r="E19" s="113"/>
      <c r="F19" s="761"/>
      <c r="G19" s="761"/>
      <c r="H19" s="84"/>
    </row>
    <row r="20" spans="1:8">
      <c r="A20" s="84"/>
      <c r="B20" s="84"/>
      <c r="C20" s="84"/>
      <c r="D20" s="100">
        <f>C10-1</f>
        <v>2013</v>
      </c>
      <c r="E20" s="101">
        <f>C10-2</f>
        <v>2012</v>
      </c>
      <c r="G20" s="762" t="s">
        <v>894</v>
      </c>
      <c r="H20" s="215" t="s">
        <v>297</v>
      </c>
    </row>
    <row r="21" spans="1:8">
      <c r="A21" s="91" t="s">
        <v>255</v>
      </c>
      <c r="B21" s="84"/>
      <c r="C21" s="102" t="s">
        <v>256</v>
      </c>
      <c r="D21" s="103" t="s">
        <v>349</v>
      </c>
      <c r="E21" s="103" t="s">
        <v>194</v>
      </c>
      <c r="G21" s="763" t="str">
        <f>CONCATENATE("",E20," Ad Valorem Tax")</f>
        <v>2012 Ad Valorem Tax</v>
      </c>
      <c r="H21" s="764">
        <v>0</v>
      </c>
    </row>
    <row r="22" spans="1:8">
      <c r="A22" s="84"/>
      <c r="B22" s="104" t="s">
        <v>257</v>
      </c>
      <c r="C22" s="215" t="s">
        <v>61</v>
      </c>
      <c r="D22" s="106">
        <v>7264267</v>
      </c>
      <c r="E22" s="106">
        <v>1226709</v>
      </c>
      <c r="G22" s="765">
        <f>IF(H21&gt;0,ROUND(E22-(E22*H$21),0),0)</f>
        <v>0</v>
      </c>
    </row>
    <row r="23" spans="1:8">
      <c r="A23" s="84"/>
      <c r="B23" s="104" t="s">
        <v>217</v>
      </c>
      <c r="C23" s="215" t="s">
        <v>92</v>
      </c>
      <c r="D23" s="106">
        <v>3576632</v>
      </c>
      <c r="E23" s="106">
        <v>471744</v>
      </c>
      <c r="G23" s="765">
        <f>IF(H21&gt;0,ROUND(E23-(E23*H21),0),0)</f>
        <v>0</v>
      </c>
    </row>
    <row r="24" spans="1:8">
      <c r="A24" s="84"/>
      <c r="B24" s="104" t="s">
        <v>867</v>
      </c>
      <c r="C24" s="215" t="s">
        <v>866</v>
      </c>
      <c r="D24" s="106">
        <f>353748+9583</f>
        <v>363331</v>
      </c>
      <c r="E24" s="106">
        <v>327283</v>
      </c>
      <c r="G24" s="765">
        <f>IF(H$21&gt;0,ROUND(E24-(E24*H$21),0),0)</f>
        <v>0</v>
      </c>
    </row>
    <row r="25" spans="1:8">
      <c r="A25" s="91" t="s">
        <v>258</v>
      </c>
      <c r="B25" s="84"/>
      <c r="C25" s="84"/>
      <c r="D25" s="84"/>
      <c r="E25" s="107"/>
    </row>
    <row r="26" spans="1:8">
      <c r="A26" s="109" t="str">
        <f>CONCATENATE("Total Tax Levy Funds for ",C10-1," Budgeted Year")</f>
        <v>Total Tax Levy Funds for 2013 Budgeted Year</v>
      </c>
      <c r="B26" s="99"/>
      <c r="C26" s="99"/>
      <c r="D26" s="110"/>
      <c r="E26" s="111">
        <f>SUM(E22:E25)</f>
        <v>2025736</v>
      </c>
      <c r="F26" s="80" t="s">
        <v>272</v>
      </c>
      <c r="G26" s="810" t="s">
        <v>1107</v>
      </c>
    </row>
    <row r="27" spans="1:8">
      <c r="A27" s="112"/>
      <c r="B27" s="113"/>
      <c r="C27" s="113"/>
      <c r="D27" s="114"/>
      <c r="E27" s="107"/>
      <c r="G27" s="811" t="s">
        <v>260</v>
      </c>
    </row>
    <row r="28" spans="1:8">
      <c r="A28" s="91" t="s">
        <v>97</v>
      </c>
      <c r="B28" s="84"/>
      <c r="C28" s="84"/>
      <c r="D28" s="84"/>
      <c r="E28" s="84"/>
    </row>
    <row r="29" spans="1:8">
      <c r="A29" s="84"/>
      <c r="B29" s="105" t="s">
        <v>988</v>
      </c>
      <c r="C29" s="84"/>
      <c r="D29" s="115">
        <v>1252821</v>
      </c>
      <c r="E29" s="84"/>
    </row>
    <row r="30" spans="1:8">
      <c r="A30" s="84"/>
      <c r="B30" s="108" t="s">
        <v>989</v>
      </c>
      <c r="C30" s="84"/>
      <c r="D30" s="106">
        <v>0</v>
      </c>
      <c r="E30" s="84"/>
    </row>
    <row r="31" spans="1:8">
      <c r="A31" s="84"/>
      <c r="B31" s="108" t="s">
        <v>990</v>
      </c>
      <c r="C31" s="84"/>
      <c r="D31" s="106">
        <v>80196</v>
      </c>
      <c r="E31" s="84"/>
    </row>
    <row r="32" spans="1:8">
      <c r="A32" s="84"/>
      <c r="B32" s="108" t="s">
        <v>991</v>
      </c>
      <c r="C32" s="84"/>
      <c r="D32" s="106">
        <v>79325</v>
      </c>
      <c r="E32" s="84"/>
    </row>
    <row r="33" spans="1:6">
      <c r="A33" s="84"/>
      <c r="B33" s="108" t="s">
        <v>992</v>
      </c>
      <c r="C33" s="84"/>
      <c r="D33" s="106">
        <v>11417</v>
      </c>
      <c r="E33" s="84"/>
    </row>
    <row r="34" spans="1:6">
      <c r="A34" s="84"/>
      <c r="B34" s="108" t="s">
        <v>993</v>
      </c>
      <c r="C34" s="84"/>
      <c r="D34" s="106">
        <v>714118</v>
      </c>
      <c r="E34" s="84"/>
    </row>
    <row r="35" spans="1:6">
      <c r="A35" s="84"/>
      <c r="B35" s="108" t="s">
        <v>994</v>
      </c>
      <c r="C35" s="84"/>
      <c r="D35" s="106">
        <v>554947</v>
      </c>
      <c r="E35" s="84"/>
    </row>
    <row r="36" spans="1:6">
      <c r="A36" s="84"/>
      <c r="B36" s="108" t="s">
        <v>995</v>
      </c>
      <c r="C36" s="84"/>
      <c r="D36" s="106">
        <v>436530</v>
      </c>
      <c r="E36" s="84"/>
    </row>
    <row r="37" spans="1:6">
      <c r="A37" s="84"/>
      <c r="B37" s="108" t="s">
        <v>996</v>
      </c>
      <c r="C37" s="84"/>
      <c r="D37" s="106">
        <v>0</v>
      </c>
      <c r="E37" s="84"/>
    </row>
    <row r="38" spans="1:6">
      <c r="A38" s="84"/>
      <c r="B38" s="108" t="s">
        <v>997</v>
      </c>
      <c r="C38" s="84"/>
      <c r="D38" s="106">
        <v>143695</v>
      </c>
      <c r="E38" s="84" t="s">
        <v>1108</v>
      </c>
      <c r="F38" s="80" t="s">
        <v>272</v>
      </c>
    </row>
    <row r="39" spans="1:6">
      <c r="A39" s="84"/>
      <c r="B39" s="116" t="s">
        <v>998</v>
      </c>
      <c r="C39" s="84"/>
      <c r="D39" s="106">
        <v>134289</v>
      </c>
      <c r="E39" s="84"/>
    </row>
    <row r="40" spans="1:6">
      <c r="A40" s="84"/>
      <c r="B40" s="116" t="s">
        <v>999</v>
      </c>
      <c r="C40" s="84"/>
      <c r="D40" s="106">
        <v>47450</v>
      </c>
      <c r="E40" s="84"/>
    </row>
    <row r="41" spans="1:6">
      <c r="A41" s="84"/>
      <c r="B41" s="116" t="s">
        <v>1000</v>
      </c>
      <c r="C41" s="84"/>
      <c r="D41" s="106">
        <v>34383</v>
      </c>
      <c r="E41" s="84"/>
    </row>
    <row r="42" spans="1:6">
      <c r="A42" s="84"/>
      <c r="B42" s="116" t="s">
        <v>1001</v>
      </c>
      <c r="C42" s="84"/>
      <c r="D42" s="106">
        <v>11810</v>
      </c>
      <c r="E42" s="84" t="s">
        <v>1108</v>
      </c>
      <c r="F42" s="80" t="s">
        <v>272</v>
      </c>
    </row>
    <row r="43" spans="1:6">
      <c r="A43" s="84"/>
      <c r="B43" s="116" t="s">
        <v>1002</v>
      </c>
      <c r="C43" s="84"/>
      <c r="D43" s="106">
        <v>105400</v>
      </c>
      <c r="E43" s="84" t="s">
        <v>1108</v>
      </c>
      <c r="F43" s="80" t="s">
        <v>272</v>
      </c>
    </row>
    <row r="44" spans="1:6">
      <c r="A44" s="84"/>
      <c r="B44" s="116" t="s">
        <v>1003</v>
      </c>
      <c r="C44" s="84"/>
      <c r="D44" s="106">
        <v>578912</v>
      </c>
      <c r="E44" s="84" t="s">
        <v>1108</v>
      </c>
      <c r="F44" s="80" t="s">
        <v>272</v>
      </c>
    </row>
    <row r="45" spans="1:6">
      <c r="A45" s="84"/>
      <c r="B45" s="116" t="s">
        <v>1004</v>
      </c>
      <c r="C45" s="84"/>
      <c r="D45" s="106">
        <v>42270</v>
      </c>
      <c r="E45" s="84"/>
    </row>
    <row r="46" spans="1:6">
      <c r="A46" s="84"/>
      <c r="B46" s="116" t="s">
        <v>1005</v>
      </c>
      <c r="C46" s="84"/>
      <c r="D46" s="106">
        <v>245645</v>
      </c>
      <c r="E46" s="84"/>
    </row>
    <row r="47" spans="1:6">
      <c r="A47" s="84"/>
      <c r="B47" s="116" t="s">
        <v>1006</v>
      </c>
      <c r="C47" s="84"/>
      <c r="D47" s="106">
        <v>95389</v>
      </c>
      <c r="E47" s="84" t="s">
        <v>260</v>
      </c>
    </row>
    <row r="48" spans="1:6">
      <c r="A48" s="84"/>
      <c r="B48" s="116" t="s">
        <v>1007</v>
      </c>
      <c r="C48" s="84"/>
      <c r="D48" s="106">
        <v>0</v>
      </c>
      <c r="E48" s="84"/>
    </row>
    <row r="49" spans="1:6">
      <c r="A49" s="84"/>
      <c r="B49" s="116" t="s">
        <v>1008</v>
      </c>
      <c r="C49" s="84"/>
      <c r="D49" s="106">
        <v>140000</v>
      </c>
      <c r="E49" s="84"/>
    </row>
    <row r="50" spans="1:6">
      <c r="A50" s="84"/>
      <c r="B50" s="116" t="s">
        <v>1009</v>
      </c>
      <c r="C50" s="84"/>
      <c r="D50" s="106">
        <v>11190</v>
      </c>
      <c r="E50" s="84" t="s">
        <v>1108</v>
      </c>
      <c r="F50" s="80" t="s">
        <v>272</v>
      </c>
    </row>
    <row r="51" spans="1:6">
      <c r="A51" s="84"/>
      <c r="B51" s="80" t="s">
        <v>1010</v>
      </c>
      <c r="C51" s="84"/>
      <c r="D51" s="106">
        <v>100000</v>
      </c>
      <c r="E51" s="84"/>
    </row>
    <row r="52" spans="1:6">
      <c r="A52" s="84"/>
      <c r="B52" s="116" t="s">
        <v>1011</v>
      </c>
      <c r="C52" s="84"/>
      <c r="D52" s="106">
        <v>33000</v>
      </c>
      <c r="E52" s="84"/>
    </row>
    <row r="53" spans="1:6">
      <c r="A53" s="84"/>
      <c r="B53" s="116" t="s">
        <v>1012</v>
      </c>
      <c r="C53" s="84"/>
      <c r="D53" s="106">
        <v>338184</v>
      </c>
      <c r="E53" s="84"/>
    </row>
    <row r="54" spans="1:6">
      <c r="A54" s="84"/>
      <c r="B54" s="116" t="s">
        <v>1013</v>
      </c>
      <c r="C54" s="84"/>
      <c r="D54" s="106">
        <v>110293</v>
      </c>
      <c r="E54" s="84"/>
    </row>
    <row r="55" spans="1:6">
      <c r="A55" s="84"/>
      <c r="B55" s="116" t="s">
        <v>1014</v>
      </c>
      <c r="C55" s="84"/>
      <c r="D55" s="106">
        <v>1481719</v>
      </c>
      <c r="E55" s="84"/>
    </row>
    <row r="56" spans="1:6">
      <c r="A56" s="84"/>
      <c r="B56" s="116" t="s">
        <v>1015</v>
      </c>
      <c r="C56" s="84"/>
      <c r="D56" s="106">
        <v>1860601</v>
      </c>
      <c r="E56" s="84" t="s">
        <v>1108</v>
      </c>
      <c r="F56" s="80" t="s">
        <v>272</v>
      </c>
    </row>
    <row r="57" spans="1:6">
      <c r="A57" s="84"/>
      <c r="B57" s="116" t="s">
        <v>1016</v>
      </c>
      <c r="C57" s="84"/>
      <c r="D57" s="106">
        <v>0</v>
      </c>
      <c r="E57" s="84"/>
    </row>
    <row r="58" spans="1:6">
      <c r="A58" s="84"/>
      <c r="B58" s="116"/>
      <c r="C58" s="84"/>
      <c r="D58" s="106"/>
      <c r="E58" s="84"/>
    </row>
    <row r="59" spans="1:6">
      <c r="A59" s="84" t="s">
        <v>120</v>
      </c>
      <c r="B59" s="117"/>
      <c r="C59" s="84"/>
      <c r="D59" s="84"/>
      <c r="E59" s="84"/>
    </row>
    <row r="60" spans="1:6">
      <c r="A60" s="84">
        <v>1</v>
      </c>
      <c r="B60" s="116"/>
      <c r="C60" s="84"/>
      <c r="D60" s="106"/>
      <c r="E60" s="84"/>
    </row>
    <row r="61" spans="1:6">
      <c r="A61" s="84">
        <v>2</v>
      </c>
      <c r="B61" s="116"/>
      <c r="C61" s="84"/>
      <c r="D61" s="106"/>
      <c r="E61" s="84"/>
    </row>
    <row r="62" spans="1:6">
      <c r="A62" s="84">
        <v>3</v>
      </c>
      <c r="B62" s="116"/>
      <c r="C62" s="84"/>
      <c r="D62" s="106"/>
      <c r="E62" s="84"/>
    </row>
    <row r="63" spans="1:6">
      <c r="A63" s="84">
        <v>4</v>
      </c>
      <c r="B63" s="116"/>
      <c r="C63" s="84"/>
      <c r="D63" s="106"/>
      <c r="E63" s="84"/>
    </row>
    <row r="64" spans="1:6">
      <c r="A64" s="109" t="str">
        <f>CONCATENATE("Total Expenditures for ",C16-1," Budgeted Year")</f>
        <v>Total Expenditures for -1 Budgeted Year</v>
      </c>
      <c r="B64" s="118"/>
      <c r="C64" s="99"/>
      <c r="D64" s="119">
        <f>SUM(D22:D57)</f>
        <v>19847814</v>
      </c>
      <c r="E64" s="84"/>
    </row>
    <row r="65" spans="1:5">
      <c r="A65" s="84" t="s">
        <v>121</v>
      </c>
      <c r="B65" s="117"/>
      <c r="C65" s="84"/>
      <c r="D65" s="84"/>
      <c r="E65" s="84"/>
    </row>
    <row r="66" spans="1:5">
      <c r="A66" s="84">
        <v>1</v>
      </c>
      <c r="B66" s="116"/>
      <c r="C66" s="84"/>
      <c r="D66" s="120"/>
      <c r="E66" s="84"/>
    </row>
    <row r="67" spans="1:5">
      <c r="A67" s="84">
        <v>2</v>
      </c>
      <c r="B67" s="116"/>
      <c r="C67" s="84"/>
      <c r="D67" s="120"/>
      <c r="E67" s="84"/>
    </row>
    <row r="68" spans="1:5">
      <c r="A68" s="84">
        <v>3</v>
      </c>
      <c r="B68" s="116"/>
      <c r="C68" s="84"/>
      <c r="D68" s="120"/>
      <c r="E68" s="84"/>
    </row>
    <row r="69" spans="1:5">
      <c r="A69" s="84">
        <v>4</v>
      </c>
      <c r="B69" s="116"/>
      <c r="C69" s="84"/>
      <c r="D69" s="120"/>
      <c r="E69" s="84"/>
    </row>
    <row r="70" spans="1:5">
      <c r="A70" s="84">
        <v>5</v>
      </c>
      <c r="B70" s="116"/>
      <c r="C70" s="84"/>
      <c r="D70" s="120"/>
      <c r="E70" s="84"/>
    </row>
    <row r="71" spans="1:5">
      <c r="A71" s="84" t="s">
        <v>122</v>
      </c>
      <c r="B71" s="117"/>
      <c r="C71" s="84"/>
      <c r="D71" s="84"/>
      <c r="E71" s="84"/>
    </row>
    <row r="72" spans="1:5">
      <c r="A72" s="84">
        <v>1</v>
      </c>
      <c r="B72" s="116"/>
      <c r="C72" s="84"/>
      <c r="D72" s="84"/>
      <c r="E72" s="84"/>
    </row>
    <row r="73" spans="1:5">
      <c r="A73" s="84">
        <v>2</v>
      </c>
      <c r="B73" s="116"/>
      <c r="C73" s="84"/>
      <c r="D73" s="84"/>
      <c r="E73" s="84"/>
    </row>
    <row r="74" spans="1:5">
      <c r="A74" s="84">
        <v>3</v>
      </c>
      <c r="B74" s="116"/>
      <c r="C74" s="84"/>
      <c r="D74" s="84"/>
      <c r="E74" s="84"/>
    </row>
    <row r="75" spans="1:5">
      <c r="A75" s="84">
        <v>4</v>
      </c>
      <c r="B75" s="116"/>
      <c r="C75" s="84"/>
      <c r="D75" s="84"/>
      <c r="E75" s="84"/>
    </row>
    <row r="76" spans="1:5">
      <c r="A76" s="84">
        <v>5</v>
      </c>
      <c r="B76" s="116"/>
      <c r="C76" s="84"/>
      <c r="D76" s="84"/>
      <c r="E76" s="84"/>
    </row>
    <row r="77" spans="1:5">
      <c r="A77" s="84" t="s">
        <v>123</v>
      </c>
      <c r="B77" s="117"/>
      <c r="C77" s="84"/>
      <c r="D77" s="84"/>
      <c r="E77" s="84"/>
    </row>
    <row r="78" spans="1:5">
      <c r="A78" s="84">
        <v>1</v>
      </c>
      <c r="B78" s="116"/>
      <c r="C78" s="84"/>
      <c r="D78" s="84"/>
      <c r="E78" s="84"/>
    </row>
    <row r="79" spans="1:5">
      <c r="A79" s="84">
        <v>2</v>
      </c>
      <c r="B79" s="116"/>
      <c r="C79" s="84"/>
      <c r="D79" s="84"/>
      <c r="E79" s="84"/>
    </row>
    <row r="80" spans="1:5">
      <c r="A80" s="84">
        <v>3</v>
      </c>
      <c r="B80" s="116"/>
      <c r="C80" s="84"/>
      <c r="D80" s="84"/>
      <c r="E80" s="84"/>
    </row>
    <row r="81" spans="1:5">
      <c r="A81" s="84">
        <v>4</v>
      </c>
      <c r="B81" s="116"/>
      <c r="C81" s="84"/>
      <c r="D81" s="84"/>
      <c r="E81" s="84"/>
    </row>
    <row r="82" spans="1:5">
      <c r="A82" s="84">
        <v>5</v>
      </c>
      <c r="B82" s="116"/>
      <c r="C82" s="84"/>
      <c r="D82" s="84"/>
      <c r="E82" s="84"/>
    </row>
    <row r="83" spans="1:5">
      <c r="A83" s="84" t="s">
        <v>124</v>
      </c>
      <c r="B83" s="117"/>
      <c r="C83" s="84"/>
      <c r="D83" s="84"/>
      <c r="E83" s="84"/>
    </row>
    <row r="84" spans="1:5">
      <c r="A84" s="84">
        <v>1</v>
      </c>
      <c r="B84" s="116"/>
      <c r="C84" s="84"/>
      <c r="D84" s="84"/>
      <c r="E84" s="84"/>
    </row>
    <row r="85" spans="1:5">
      <c r="A85" s="84">
        <v>2</v>
      </c>
      <c r="B85" s="116"/>
      <c r="C85" s="84"/>
      <c r="D85" s="84"/>
      <c r="E85" s="84"/>
    </row>
    <row r="86" spans="1:5">
      <c r="A86" s="84">
        <v>3</v>
      </c>
      <c r="B86" s="116"/>
      <c r="C86" s="84"/>
      <c r="D86" s="84"/>
      <c r="E86" s="84"/>
    </row>
    <row r="87" spans="1:5">
      <c r="A87" s="84">
        <v>4</v>
      </c>
      <c r="B87" s="116"/>
      <c r="C87" s="84"/>
      <c r="D87" s="84"/>
      <c r="E87" s="84"/>
    </row>
    <row r="88" spans="1:5">
      <c r="A88" s="84">
        <v>5</v>
      </c>
      <c r="B88" s="116"/>
      <c r="C88" s="84"/>
      <c r="D88" s="84"/>
      <c r="E88" s="84"/>
    </row>
    <row r="89" spans="1:5">
      <c r="A89" s="112"/>
      <c r="B89" s="113"/>
      <c r="C89" s="113"/>
      <c r="D89" s="113"/>
      <c r="E89" s="121"/>
    </row>
    <row r="90" spans="1:5">
      <c r="A90" s="84"/>
      <c r="B90" s="84"/>
      <c r="C90" s="84"/>
      <c r="D90" s="84"/>
      <c r="E90" s="84"/>
    </row>
    <row r="91" spans="1:5">
      <c r="A91" s="84"/>
      <c r="B91" s="84"/>
      <c r="C91" s="84"/>
      <c r="D91" s="122" t="str">
        <f>CONCATENATE("",C10-3," Tax Rate")</f>
        <v>2011 Tax Rate</v>
      </c>
      <c r="E91" s="84"/>
    </row>
    <row r="92" spans="1:5">
      <c r="A92" s="97" t="str">
        <f>CONCATENATE("From the ",C10-1," Budget, Budget Summary Page")</f>
        <v>From the 2013 Budget, Budget Summary Page</v>
      </c>
      <c r="B92" s="98"/>
      <c r="C92" s="84"/>
      <c r="D92" s="123" t="str">
        <f>CONCATENATE("(",C10-2," Column)")</f>
        <v>(2012 Column)</v>
      </c>
      <c r="E92" s="84"/>
    </row>
    <row r="93" spans="1:5">
      <c r="A93" s="84"/>
      <c r="B93" s="124" t="str">
        <f>B22</f>
        <v>General</v>
      </c>
      <c r="C93" s="84"/>
      <c r="D93" s="116">
        <v>18.838999999999999</v>
      </c>
      <c r="E93" s="84"/>
    </row>
    <row r="94" spans="1:5">
      <c r="A94" s="84"/>
      <c r="B94" s="124" t="str">
        <f>B23</f>
        <v>Debt Service</v>
      </c>
      <c r="C94" s="84"/>
      <c r="D94" s="116">
        <v>6.9539999999999997</v>
      </c>
      <c r="E94" s="84"/>
    </row>
    <row r="95" spans="1:5">
      <c r="A95" s="84"/>
      <c r="B95" s="124" t="str">
        <f>B24</f>
        <v>Library</v>
      </c>
      <c r="C95" s="84"/>
      <c r="D95" s="116">
        <v>4.7850000000000001</v>
      </c>
      <c r="E95" s="84"/>
    </row>
    <row r="96" spans="1:5">
      <c r="A96" s="84"/>
      <c r="B96" s="124" t="s">
        <v>260</v>
      </c>
      <c r="C96" s="84"/>
      <c r="D96" s="116"/>
      <c r="E96" s="84"/>
    </row>
    <row r="97" spans="1:7">
      <c r="A97" s="109" t="s">
        <v>259</v>
      </c>
      <c r="B97" s="99"/>
      <c r="C97" s="125"/>
      <c r="D97" s="126">
        <f>SUM(D93:D96)</f>
        <v>30.577999999999999</v>
      </c>
      <c r="E97" s="84" t="s">
        <v>260</v>
      </c>
    </row>
    <row r="98" spans="1:7">
      <c r="A98" s="84"/>
      <c r="B98" s="84"/>
      <c r="C98" s="84"/>
      <c r="D98" s="84"/>
      <c r="E98" s="84"/>
    </row>
    <row r="99" spans="1:7">
      <c r="A99" s="127" t="str">
        <f>CONCATENATE("Total Tax Levied (",C10-2," budget column)")</f>
        <v>Total Tax Levied (2012 budget column)</v>
      </c>
      <c r="B99" s="128"/>
      <c r="C99" s="99"/>
      <c r="D99" s="125"/>
      <c r="E99" s="106">
        <v>2034437</v>
      </c>
    </row>
    <row r="100" spans="1:7">
      <c r="A100" s="129" t="str">
        <f>CONCATENATE("Assessed Valuation  (",C10-2," budget column)")</f>
        <v>Assessed Valuation  (2012 budget column)</v>
      </c>
      <c r="B100" s="130"/>
      <c r="C100" s="131"/>
      <c r="D100" s="132"/>
      <c r="E100" s="106">
        <v>66531961</v>
      </c>
      <c r="G100" s="80" t="s">
        <v>1018</v>
      </c>
    </row>
    <row r="101" spans="1:7">
      <c r="A101" s="112"/>
      <c r="B101" s="113"/>
      <c r="C101" s="113"/>
      <c r="D101" s="113"/>
      <c r="E101" s="121"/>
    </row>
    <row r="102" spans="1:7">
      <c r="A102" s="133" t="str">
        <f>CONCATENATE("From the ",C10-1," Budget, Budget Summary Page")</f>
        <v>From the 2013 Budget, Budget Summary Page</v>
      </c>
      <c r="B102" s="134"/>
      <c r="C102" s="84"/>
      <c r="D102" s="135"/>
      <c r="E102" s="136"/>
    </row>
    <row r="103" spans="1:7">
      <c r="A103" s="96" t="s">
        <v>158</v>
      </c>
      <c r="B103" s="96"/>
      <c r="C103" s="137"/>
      <c r="D103" s="138">
        <f>C10-3</f>
        <v>2011</v>
      </c>
      <c r="E103" s="139">
        <f>C10-2</f>
        <v>2012</v>
      </c>
    </row>
    <row r="104" spans="1:7">
      <c r="A104" s="140" t="s">
        <v>93</v>
      </c>
      <c r="B104" s="140"/>
      <c r="C104" s="141"/>
      <c r="D104" s="115">
        <v>19585000</v>
      </c>
      <c r="E104" s="115">
        <v>22570000</v>
      </c>
    </row>
    <row r="105" spans="1:7">
      <c r="A105" s="142" t="s">
        <v>94</v>
      </c>
      <c r="B105" s="142"/>
      <c r="C105" s="143"/>
      <c r="D105" s="115">
        <v>0</v>
      </c>
      <c r="E105" s="115">
        <v>0</v>
      </c>
    </row>
    <row r="106" spans="1:7">
      <c r="A106" s="142" t="s">
        <v>95</v>
      </c>
      <c r="B106" s="142"/>
      <c r="C106" s="143"/>
      <c r="D106" s="115">
        <v>4890000</v>
      </c>
      <c r="E106" s="115">
        <v>0</v>
      </c>
    </row>
    <row r="107" spans="1:7">
      <c r="A107" s="142" t="s">
        <v>96</v>
      </c>
      <c r="B107" s="142"/>
      <c r="C107" s="143"/>
      <c r="D107" s="115">
        <v>435560</v>
      </c>
      <c r="E107" s="115">
        <v>279147</v>
      </c>
    </row>
    <row r="108" spans="1:7">
      <c r="A108" s="144"/>
      <c r="B108" s="144"/>
      <c r="C108" s="144"/>
      <c r="D108" s="144"/>
      <c r="E108" s="144"/>
    </row>
    <row r="109" spans="1:7">
      <c r="A109" s="144"/>
      <c r="B109" s="144"/>
      <c r="C109" s="144"/>
      <c r="D109" s="144"/>
      <c r="E109" s="144"/>
    </row>
    <row r="110" spans="1:7">
      <c r="A110" s="144"/>
      <c r="B110" s="144"/>
      <c r="C110" s="144"/>
      <c r="D110" s="144"/>
      <c r="E110" s="144"/>
    </row>
    <row r="111" spans="1:7">
      <c r="A111" s="144"/>
      <c r="B111" s="144"/>
      <c r="C111" s="144"/>
      <c r="D111" s="144"/>
      <c r="E111" s="144"/>
    </row>
    <row r="112" spans="1:7">
      <c r="A112" s="144"/>
      <c r="B112" s="144"/>
      <c r="C112" s="144"/>
      <c r="D112" s="144"/>
      <c r="E112" s="144"/>
    </row>
    <row r="113" spans="1:5">
      <c r="A113" s="144"/>
      <c r="B113" s="144"/>
      <c r="C113" s="144"/>
      <c r="D113" s="144"/>
      <c r="E113" s="144"/>
    </row>
    <row r="114" spans="1:5" s="144" customFormat="1" ht="15"/>
    <row r="115" spans="1:5">
      <c r="A115" s="144"/>
      <c r="B115" s="144"/>
      <c r="C115" s="144"/>
      <c r="D115" s="144"/>
      <c r="E115" s="144"/>
    </row>
    <row r="116" spans="1:5">
      <c r="A116" s="144"/>
      <c r="B116" s="144"/>
      <c r="C116" s="144"/>
      <c r="D116" s="144"/>
      <c r="E116" s="144"/>
    </row>
    <row r="117" spans="1:5">
      <c r="A117" s="144"/>
      <c r="B117" s="144"/>
      <c r="C117" s="144"/>
      <c r="D117" s="144"/>
      <c r="E117" s="144"/>
    </row>
    <row r="118" spans="1:5">
      <c r="A118" s="144"/>
      <c r="B118" s="144"/>
      <c r="C118" s="144"/>
      <c r="D118" s="144"/>
      <c r="E118" s="144"/>
    </row>
    <row r="119" spans="1:5">
      <c r="A119" s="144"/>
      <c r="B119" s="144"/>
      <c r="C119" s="144"/>
      <c r="D119" s="144"/>
      <c r="E119" s="144"/>
    </row>
    <row r="120" spans="1:5">
      <c r="A120" s="144"/>
      <c r="B120" s="144"/>
      <c r="C120" s="144"/>
      <c r="D120" s="144"/>
      <c r="E120" s="144"/>
    </row>
    <row r="121" spans="1:5">
      <c r="A121" s="144"/>
      <c r="B121" s="144"/>
      <c r="C121" s="144"/>
      <c r="D121" s="144"/>
      <c r="E121" s="144"/>
    </row>
    <row r="122" spans="1:5">
      <c r="A122" s="144"/>
      <c r="B122" s="144"/>
      <c r="C122" s="144"/>
      <c r="D122" s="144"/>
      <c r="E122" s="144"/>
    </row>
    <row r="123" spans="1:5">
      <c r="A123" s="144"/>
      <c r="B123" s="144"/>
      <c r="C123" s="144"/>
      <c r="D123" s="144"/>
      <c r="E123" s="144"/>
    </row>
    <row r="124" spans="1:5">
      <c r="A124" s="144"/>
      <c r="B124" s="144"/>
      <c r="C124" s="144"/>
      <c r="D124" s="144"/>
      <c r="E124" s="144"/>
    </row>
    <row r="125" spans="1:5">
      <c r="A125" s="144"/>
      <c r="B125" s="144"/>
      <c r="C125" s="144"/>
      <c r="D125" s="144"/>
      <c r="E125" s="144"/>
    </row>
  </sheetData>
  <mergeCells count="3">
    <mergeCell ref="A15:E15"/>
    <mergeCell ref="A1:E1"/>
    <mergeCell ref="G13:H18"/>
  </mergeCells>
  <phoneticPr fontId="0" type="noConversion"/>
  <printOptions headings="1"/>
  <pageMargins left="0.5" right="0.5" top="1" bottom="0.5" header="0.5" footer="0.25"/>
  <pageSetup scale="67"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9"/>
  <sheetViews>
    <sheetView topLeftCell="A48" workbookViewId="0">
      <selection activeCell="B29" sqref="B29"/>
    </sheetView>
  </sheetViews>
  <sheetFormatPr defaultColWidth="8.88671875" defaultRowHeight="15.75"/>
  <cols>
    <col min="1" max="1" width="2.44140625" style="80" customWidth="1"/>
    <col min="2" max="2" width="31.109375" style="80" customWidth="1"/>
    <col min="3" max="4" width="15.77734375" style="80" customWidth="1"/>
    <col min="5" max="5" width="16.21875" style="80" customWidth="1"/>
    <col min="6" max="16384" width="8.88671875" style="80"/>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inputPrYr!B35</f>
        <v>Spec. Rev. Emergency Medical Services</v>
      </c>
      <c r="C5" s="440" t="str">
        <f>CONCATENATE("Actual for ",E1-2,"")</f>
        <v>Actual for 2012</v>
      </c>
      <c r="D5" s="440" t="str">
        <f>CONCATENATE("Estimate for ",E1-1,"")</f>
        <v>Estimate for 2013</v>
      </c>
      <c r="E5" s="268" t="str">
        <f>CONCATENATE("Year for ",E1,"")</f>
        <v>Year for 2014</v>
      </c>
    </row>
    <row r="6" spans="2:5">
      <c r="B6" s="360" t="s">
        <v>57</v>
      </c>
      <c r="C6" s="106">
        <v>0</v>
      </c>
      <c r="D6" s="346">
        <f>C31</f>
        <v>-288</v>
      </c>
      <c r="E6" s="346">
        <f>D31</f>
        <v>0</v>
      </c>
    </row>
    <row r="7" spans="2:5">
      <c r="B7" s="361" t="s">
        <v>59</v>
      </c>
      <c r="C7" s="124"/>
      <c r="D7" s="124"/>
      <c r="E7" s="124"/>
    </row>
    <row r="8" spans="2:5">
      <c r="B8" s="348" t="s">
        <v>1155</v>
      </c>
      <c r="C8" s="106">
        <v>174796</v>
      </c>
      <c r="D8" s="106">
        <v>160000</v>
      </c>
      <c r="E8" s="106">
        <v>155000</v>
      </c>
    </row>
    <row r="9" spans="2:5">
      <c r="B9" s="348" t="s">
        <v>1130</v>
      </c>
      <c r="C9" s="106">
        <v>315631</v>
      </c>
      <c r="D9" s="106">
        <v>394947</v>
      </c>
      <c r="E9" s="106">
        <v>421020</v>
      </c>
    </row>
    <row r="10" spans="2:5">
      <c r="B10" s="348" t="s">
        <v>1156</v>
      </c>
      <c r="C10" s="106">
        <v>0</v>
      </c>
      <c r="D10" s="106">
        <v>288</v>
      </c>
      <c r="E10" s="106">
        <v>0</v>
      </c>
    </row>
    <row r="11" spans="2:5">
      <c r="B11" s="348"/>
      <c r="C11" s="106"/>
      <c r="D11" s="106"/>
      <c r="E11" s="106"/>
    </row>
    <row r="12" spans="2:5">
      <c r="B12" s="348"/>
      <c r="C12" s="106"/>
      <c r="D12" s="106"/>
      <c r="E12" s="106"/>
    </row>
    <row r="13" spans="2:5">
      <c r="B13" s="362" t="s">
        <v>260</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490427</v>
      </c>
      <c r="D16" s="356">
        <f>SUM(D8:D14)</f>
        <v>555235</v>
      </c>
      <c r="E16" s="356">
        <f>SUM(E8:E14)</f>
        <v>576020</v>
      </c>
    </row>
    <row r="17" spans="2:5">
      <c r="B17" s="354" t="s">
        <v>289</v>
      </c>
      <c r="C17" s="356">
        <f>C6+C16</f>
        <v>490427</v>
      </c>
      <c r="D17" s="356">
        <f>D6+D16</f>
        <v>554947</v>
      </c>
      <c r="E17" s="356">
        <f>E6+E16</f>
        <v>576020</v>
      </c>
    </row>
    <row r="18" spans="2:5">
      <c r="B18" s="167" t="s">
        <v>291</v>
      </c>
      <c r="C18" s="346"/>
      <c r="D18" s="346"/>
      <c r="E18" s="346"/>
    </row>
    <row r="19" spans="2:5">
      <c r="B19" s="348" t="s">
        <v>1062</v>
      </c>
      <c r="C19" s="106">
        <v>371664</v>
      </c>
      <c r="D19" s="106">
        <v>419688</v>
      </c>
      <c r="E19" s="106">
        <v>441374</v>
      </c>
    </row>
    <row r="20" spans="2:5">
      <c r="B20" s="348" t="s">
        <v>1071</v>
      </c>
      <c r="C20" s="106">
        <v>68762</v>
      </c>
      <c r="D20" s="106">
        <v>83209</v>
      </c>
      <c r="E20" s="106">
        <v>85096</v>
      </c>
    </row>
    <row r="21" spans="2:5">
      <c r="B21" s="348" t="s">
        <v>1063</v>
      </c>
      <c r="C21" s="106">
        <v>47886</v>
      </c>
      <c r="D21" s="106">
        <v>50550</v>
      </c>
      <c r="E21" s="106">
        <v>49550</v>
      </c>
    </row>
    <row r="22" spans="2:5">
      <c r="B22" s="348" t="s">
        <v>1058</v>
      </c>
      <c r="C22" s="106">
        <v>2403</v>
      </c>
      <c r="D22" s="106">
        <v>1500</v>
      </c>
      <c r="E22" s="106">
        <v>0</v>
      </c>
    </row>
    <row r="23" spans="2:5">
      <c r="B23" s="348"/>
      <c r="C23" s="106"/>
      <c r="D23" s="106"/>
      <c r="E23" s="106"/>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52" t="s">
        <v>182</v>
      </c>
      <c r="C28" s="106"/>
      <c r="D28" s="345"/>
      <c r="E28" s="345"/>
    </row>
    <row r="29" spans="2:5">
      <c r="B29" s="352" t="s">
        <v>667</v>
      </c>
      <c r="C29" s="548" t="str">
        <f>IF(C30*0.1&lt;C28,"Exceed 10% Rule","")</f>
        <v/>
      </c>
      <c r="D29" s="353" t="str">
        <f>IF(D30*0.1&lt;D28,"Exceed 10% Rule","")</f>
        <v/>
      </c>
      <c r="E29" s="353" t="str">
        <f>IF(E30*0.1&lt;E28,"Exceed 10% Rule","")</f>
        <v/>
      </c>
    </row>
    <row r="30" spans="2:5">
      <c r="B30" s="354" t="s">
        <v>295</v>
      </c>
      <c r="C30" s="356">
        <f>SUM(C19:C28)</f>
        <v>490715</v>
      </c>
      <c r="D30" s="356">
        <f>SUM(D19:D28)</f>
        <v>554947</v>
      </c>
      <c r="E30" s="356">
        <f>SUM(E19:E28)</f>
        <v>576020</v>
      </c>
    </row>
    <row r="31" spans="2:5">
      <c r="B31" s="167" t="s">
        <v>58</v>
      </c>
      <c r="C31" s="119">
        <f>C17-C30</f>
        <v>-288</v>
      </c>
      <c r="D31" s="119">
        <f>D17-D30</f>
        <v>0</v>
      </c>
      <c r="E31" s="119">
        <f>E17-E30</f>
        <v>0</v>
      </c>
    </row>
    <row r="32" spans="2:5">
      <c r="B32" s="197" t="str">
        <f>CONCATENATE("",E1-2,"/",E1-1," Budget Authority Amount:")</f>
        <v>2012/2013 Budget Authority Amount:</v>
      </c>
      <c r="C32" s="303">
        <f>inputOth!B82</f>
        <v>531378</v>
      </c>
      <c r="D32" s="303">
        <f>inputPrYr!D35</f>
        <v>554947</v>
      </c>
      <c r="E32" s="547" t="str">
        <f>IF(E31&lt;0,"See Tab E","")</f>
        <v/>
      </c>
    </row>
    <row r="33" spans="2:5">
      <c r="B33" s="197"/>
      <c r="C33" s="358" t="str">
        <f>IF(C30&gt;C32,"See Tab A","")</f>
        <v/>
      </c>
      <c r="D33" s="358" t="str">
        <f>IF(D30&gt;D32,"See Tab C","")</f>
        <v/>
      </c>
      <c r="E33" s="136"/>
    </row>
    <row r="34" spans="2:5">
      <c r="B34" s="197"/>
      <c r="C34" s="358" t="str">
        <f>IF(C31&lt;0,"See Tab B","")</f>
        <v>See Tab B</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inputPrYr!B36</f>
        <v>Spec. Rev. Library Sales Tax</v>
      </c>
      <c r="C38" s="359" t="str">
        <f>C5</f>
        <v>Actual for 2012</v>
      </c>
      <c r="D38" s="359" t="str">
        <f>D5</f>
        <v>Estimate for 2013</v>
      </c>
      <c r="E38" s="359" t="str">
        <f>E5</f>
        <v>Year for 2014</v>
      </c>
    </row>
    <row r="39" spans="2:5">
      <c r="B39" s="360" t="s">
        <v>57</v>
      </c>
      <c r="C39" s="106">
        <v>613553</v>
      </c>
      <c r="D39" s="346">
        <f>C64</f>
        <v>633353</v>
      </c>
      <c r="E39" s="346">
        <f>D64</f>
        <v>689633</v>
      </c>
    </row>
    <row r="40" spans="2:5">
      <c r="B40" s="361" t="s">
        <v>59</v>
      </c>
      <c r="C40" s="124"/>
      <c r="D40" s="124"/>
      <c r="E40" s="124"/>
    </row>
    <row r="41" spans="2:5">
      <c r="B41" s="348" t="s">
        <v>1145</v>
      </c>
      <c r="C41" s="106">
        <v>448392</v>
      </c>
      <c r="D41" s="106">
        <v>443000</v>
      </c>
      <c r="E41" s="106">
        <v>417000</v>
      </c>
    </row>
    <row r="42" spans="2:5">
      <c r="B42" s="348" t="s">
        <v>331</v>
      </c>
      <c r="C42" s="106">
        <v>1248</v>
      </c>
      <c r="D42" s="106">
        <v>750</v>
      </c>
      <c r="E42" s="106">
        <v>600</v>
      </c>
    </row>
    <row r="43" spans="2:5">
      <c r="B43" s="348"/>
      <c r="C43" s="106"/>
      <c r="D43" s="106"/>
      <c r="E43" s="106"/>
    </row>
    <row r="44" spans="2:5">
      <c r="B44" s="348"/>
      <c r="C44" s="106"/>
      <c r="D44" s="106"/>
      <c r="E44" s="106"/>
    </row>
    <row r="45" spans="2:5">
      <c r="B45" s="348"/>
      <c r="C45" s="106"/>
      <c r="D45" s="106"/>
      <c r="E45" s="106"/>
    </row>
    <row r="46" spans="2:5">
      <c r="B46" s="362" t="s">
        <v>260</v>
      </c>
      <c r="C46" s="106"/>
      <c r="D46" s="106"/>
      <c r="E46" s="106"/>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SUM(C41:C47)</f>
        <v>449640</v>
      </c>
      <c r="D49" s="356">
        <f>SUM(D41:D47)</f>
        <v>443750</v>
      </c>
      <c r="E49" s="356">
        <f>SUM(E41:E47)</f>
        <v>417600</v>
      </c>
    </row>
    <row r="50" spans="2:5">
      <c r="B50" s="354" t="s">
        <v>289</v>
      </c>
      <c r="C50" s="356">
        <f>C39+C49</f>
        <v>1063193</v>
      </c>
      <c r="D50" s="356">
        <f>D39+D49</f>
        <v>1077103</v>
      </c>
      <c r="E50" s="356">
        <f>E39+E49</f>
        <v>1107233</v>
      </c>
    </row>
    <row r="51" spans="2:5">
      <c r="B51" s="167" t="s">
        <v>291</v>
      </c>
      <c r="C51" s="346"/>
      <c r="D51" s="346"/>
      <c r="E51" s="346"/>
    </row>
    <row r="52" spans="2:5">
      <c r="B52" s="348" t="s">
        <v>1159</v>
      </c>
      <c r="C52" s="106">
        <v>429840</v>
      </c>
      <c r="D52" s="106">
        <v>387470</v>
      </c>
      <c r="E52" s="106">
        <v>437940</v>
      </c>
    </row>
    <row r="53" spans="2:5">
      <c r="B53" s="348"/>
      <c r="C53" s="106"/>
      <c r="D53" s="106"/>
      <c r="E53" s="106"/>
    </row>
    <row r="54" spans="2:5">
      <c r="B54" s="348"/>
      <c r="C54" s="106"/>
      <c r="D54" s="106"/>
      <c r="E54" s="106"/>
    </row>
    <row r="55" spans="2:5">
      <c r="B55" s="348"/>
      <c r="C55" s="106"/>
      <c r="D55" s="106"/>
      <c r="E55" s="106"/>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52" t="s">
        <v>182</v>
      </c>
      <c r="C61" s="106"/>
      <c r="D61" s="345"/>
      <c r="E61" s="345"/>
    </row>
    <row r="62" spans="2:5">
      <c r="B62" s="352" t="s">
        <v>667</v>
      </c>
      <c r="C62" s="548" t="str">
        <f>IF(C63*0.1&lt;C61,"Exceed 10% Rule","")</f>
        <v/>
      </c>
      <c r="D62" s="353" t="str">
        <f>IF(D63*0.1&lt;D61,"Exceed 10% Rule","")</f>
        <v/>
      </c>
      <c r="E62" s="353" t="str">
        <f>IF(E63*0.1&lt;E61,"Exceed 10% Rule","")</f>
        <v/>
      </c>
    </row>
    <row r="63" spans="2:5">
      <c r="B63" s="354" t="s">
        <v>295</v>
      </c>
      <c r="C63" s="356">
        <f>SUM(C52:C61)</f>
        <v>429840</v>
      </c>
      <c r="D63" s="356">
        <f>SUM(D52:D61)</f>
        <v>387470</v>
      </c>
      <c r="E63" s="356">
        <f>SUM(E52:E61)</f>
        <v>437940</v>
      </c>
    </row>
    <row r="64" spans="2:5">
      <c r="B64" s="167" t="s">
        <v>58</v>
      </c>
      <c r="C64" s="119">
        <f>C50-C63</f>
        <v>633353</v>
      </c>
      <c r="D64" s="119">
        <f>D50-D63</f>
        <v>689633</v>
      </c>
      <c r="E64" s="119">
        <f>E50-E63</f>
        <v>669293</v>
      </c>
    </row>
    <row r="65" spans="2:5">
      <c r="B65" s="197" t="str">
        <f>CONCATENATE("",E1-2," Budget Authority Limited Amount:")</f>
        <v>2012 Budget Authority Limited Amount:</v>
      </c>
      <c r="C65" s="303">
        <f>inputOth!B83</f>
        <v>429840</v>
      </c>
      <c r="D65" s="303">
        <f>inputPrYr!D36</f>
        <v>436530</v>
      </c>
      <c r="E65" s="547" t="str">
        <f>IF(E64&lt;0,"See Tab E","")</f>
        <v/>
      </c>
    </row>
    <row r="66" spans="2:5">
      <c r="B66" s="197"/>
      <c r="C66" s="358" t="str">
        <f>IF(C63&gt;C65,"See Tab A","")</f>
        <v/>
      </c>
      <c r="D66" s="358" t="str">
        <f>IF(D63&gt;D65,"See Tab C","")</f>
        <v/>
      </c>
      <c r="E66" s="84"/>
    </row>
    <row r="67" spans="2:5">
      <c r="B67" s="197"/>
      <c r="C67" s="358" t="str">
        <f>IF(C64&lt;0,"See Tab B","")</f>
        <v/>
      </c>
      <c r="D67" s="358" t="str">
        <f>IF(D64&lt;0,"See Tab D","")</f>
        <v/>
      </c>
      <c r="E67" s="84"/>
    </row>
    <row r="68" spans="2:5">
      <c r="B68" s="84"/>
      <c r="C68" s="84"/>
      <c r="D68" s="84"/>
      <c r="E68" s="84"/>
    </row>
    <row r="69" spans="2:5">
      <c r="B69" s="197" t="s">
        <v>298</v>
      </c>
      <c r="C69" s="297">
        <v>14</v>
      </c>
      <c r="D69" s="84"/>
      <c r="E69" s="84"/>
    </row>
  </sheetData>
  <phoneticPr fontId="0" type="noConversion"/>
  <conditionalFormatting sqref="C47">
    <cfRule type="cellIs" dxfId="212" priority="3" stopIfTrue="1" operator="greaterThan">
      <formula>$C$49*0.1</formula>
    </cfRule>
  </conditionalFormatting>
  <conditionalFormatting sqref="D47">
    <cfRule type="cellIs" dxfId="211" priority="4" stopIfTrue="1" operator="greaterThan">
      <formula>$D$49*0.1</formula>
    </cfRule>
  </conditionalFormatting>
  <conditionalFormatting sqref="E47">
    <cfRule type="cellIs" dxfId="210" priority="5" stopIfTrue="1" operator="greaterThan">
      <formula>$E$49*0.1</formula>
    </cfRule>
  </conditionalFormatting>
  <conditionalFormatting sqref="C61">
    <cfRule type="cellIs" dxfId="209" priority="6" stopIfTrue="1" operator="greaterThan">
      <formula>$C$63*0.1</formula>
    </cfRule>
  </conditionalFormatting>
  <conditionalFormatting sqref="D61">
    <cfRule type="cellIs" dxfId="208" priority="7" stopIfTrue="1" operator="greaterThan">
      <formula>$D$63*0.1</formula>
    </cfRule>
  </conditionalFormatting>
  <conditionalFormatting sqref="E61">
    <cfRule type="cellIs" dxfId="207" priority="8" stopIfTrue="1" operator="greaterThan">
      <formula>$E$63*0.1</formula>
    </cfRule>
  </conditionalFormatting>
  <conditionalFormatting sqref="C28">
    <cfRule type="cellIs" dxfId="206" priority="9" stopIfTrue="1" operator="greaterThan">
      <formula>$C$30*0.1</formula>
    </cfRule>
  </conditionalFormatting>
  <conditionalFormatting sqref="D28">
    <cfRule type="cellIs" dxfId="205" priority="10" stopIfTrue="1" operator="greaterThan">
      <formula>$D$30*0.1</formula>
    </cfRule>
  </conditionalFormatting>
  <conditionalFormatting sqref="E28">
    <cfRule type="cellIs" dxfId="204" priority="11" stopIfTrue="1" operator="greaterThan">
      <formula>$E$30*0.1</formula>
    </cfRule>
  </conditionalFormatting>
  <conditionalFormatting sqref="C14">
    <cfRule type="cellIs" dxfId="203" priority="12" stopIfTrue="1" operator="greaterThan">
      <formula>$C$16*0.1</formula>
    </cfRule>
  </conditionalFormatting>
  <conditionalFormatting sqref="D14">
    <cfRule type="cellIs" dxfId="202" priority="13" stopIfTrue="1" operator="greaterThan">
      <formula>$D$16*0.1</formula>
    </cfRule>
  </conditionalFormatting>
  <conditionalFormatting sqref="E14">
    <cfRule type="cellIs" dxfId="201" priority="14" stopIfTrue="1" operator="greaterThan">
      <formula>$E$16*0.1</formula>
    </cfRule>
  </conditionalFormatting>
  <conditionalFormatting sqref="E31 C31 E64 C64">
    <cfRule type="cellIs" dxfId="200" priority="15" stopIfTrue="1" operator="lessThan">
      <formula>0</formula>
    </cfRule>
  </conditionalFormatting>
  <conditionalFormatting sqref="C30">
    <cfRule type="cellIs" dxfId="199" priority="16" stopIfTrue="1" operator="greaterThan">
      <formula>$C$32</formula>
    </cfRule>
  </conditionalFormatting>
  <conditionalFormatting sqref="D30">
    <cfRule type="cellIs" dxfId="198" priority="17" stopIfTrue="1" operator="greaterThan">
      <formula>$D$32</formula>
    </cfRule>
  </conditionalFormatting>
  <conditionalFormatting sqref="C63">
    <cfRule type="cellIs" dxfId="197" priority="18" stopIfTrue="1" operator="greaterThan">
      <formula>$C$65</formula>
    </cfRule>
  </conditionalFormatting>
  <conditionalFormatting sqref="D63">
    <cfRule type="cellIs" dxfId="196" priority="19" stopIfTrue="1" operator="greaterThan">
      <formula>$D$65</formula>
    </cfRule>
  </conditionalFormatting>
  <conditionalFormatting sqref="D64">
    <cfRule type="cellIs" dxfId="195" priority="2" stopIfTrue="1" operator="lessThan">
      <formula>0</formula>
    </cfRule>
  </conditionalFormatting>
  <conditionalFormatting sqref="D31">
    <cfRule type="cellIs" dxfId="194"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3"/>
  <sheetViews>
    <sheetView topLeftCell="A42" workbookViewId="0">
      <selection activeCell="B23" sqref="B23"/>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inputPrYr!B37</f>
        <v>Spec. Rev. Park Dedication</v>
      </c>
      <c r="C5" s="440" t="str">
        <f>CONCATENATE("Actual for ",E1-2,"")</f>
        <v>Actual for 2012</v>
      </c>
      <c r="D5" s="440" t="str">
        <f>CONCATENATE("Estimate for ",E1-1,"")</f>
        <v>Estimate for 2013</v>
      </c>
      <c r="E5" s="268" t="str">
        <f>CONCATENATE("Year for ",E1,"")</f>
        <v>Year for 2014</v>
      </c>
    </row>
    <row r="6" spans="2:5">
      <c r="B6" s="360" t="s">
        <v>57</v>
      </c>
      <c r="C6" s="106">
        <v>15070</v>
      </c>
      <c r="D6" s="346">
        <f>C25</f>
        <v>26126</v>
      </c>
      <c r="E6" s="346">
        <f>D25</f>
        <v>31166</v>
      </c>
    </row>
    <row r="7" spans="2:5" s="80" customFormat="1">
      <c r="B7" s="361" t="s">
        <v>59</v>
      </c>
      <c r="C7" s="124"/>
      <c r="D7" s="124"/>
      <c r="E7" s="124"/>
    </row>
    <row r="8" spans="2:5">
      <c r="B8" s="348" t="s">
        <v>1090</v>
      </c>
      <c r="C8" s="106">
        <v>11000</v>
      </c>
      <c r="D8" s="106">
        <v>5000</v>
      </c>
      <c r="E8" s="106">
        <v>4000</v>
      </c>
    </row>
    <row r="9" spans="2:5">
      <c r="B9" s="348" t="s">
        <v>331</v>
      </c>
      <c r="C9" s="106">
        <v>56</v>
      </c>
      <c r="D9" s="106">
        <v>40</v>
      </c>
      <c r="E9" s="106">
        <v>40</v>
      </c>
    </row>
    <row r="10" spans="2:5">
      <c r="B10" s="348"/>
      <c r="C10" s="106"/>
      <c r="D10" s="106"/>
      <c r="E10" s="106"/>
    </row>
    <row r="11" spans="2:5">
      <c r="B11" s="362" t="s">
        <v>260</v>
      </c>
      <c r="C11" s="106"/>
      <c r="D11" s="106"/>
      <c r="E11" s="106"/>
    </row>
    <row r="12" spans="2:5">
      <c r="B12" s="352" t="s">
        <v>182</v>
      </c>
      <c r="C12" s="106"/>
      <c r="D12" s="345"/>
      <c r="E12" s="345"/>
    </row>
    <row r="13" spans="2:5">
      <c r="B13" s="352" t="s">
        <v>668</v>
      </c>
      <c r="C13" s="548" t="str">
        <f>IF(C14*0.1&lt;C12,"Exceed 10% Rule","")</f>
        <v/>
      </c>
      <c r="D13" s="353" t="str">
        <f>IF(D14*0.1&lt;D12,"Exceed 10% Rule","")</f>
        <v/>
      </c>
      <c r="E13" s="353" t="str">
        <f>IF(E14*0.1&lt;E12,"Exceed 10% Rule","")</f>
        <v/>
      </c>
    </row>
    <row r="14" spans="2:5">
      <c r="B14" s="354" t="s">
        <v>288</v>
      </c>
      <c r="C14" s="356">
        <f>SUM(C8:C12)</f>
        <v>11056</v>
      </c>
      <c r="D14" s="356">
        <f>SUM(D8:D12)</f>
        <v>5040</v>
      </c>
      <c r="E14" s="356">
        <f>SUM(E8:E12)</f>
        <v>4040</v>
      </c>
    </row>
    <row r="15" spans="2:5">
      <c r="B15" s="354" t="s">
        <v>289</v>
      </c>
      <c r="C15" s="356">
        <f>C6+C14</f>
        <v>26126</v>
      </c>
      <c r="D15" s="356">
        <f>D6+D14</f>
        <v>31166</v>
      </c>
      <c r="E15" s="356">
        <f>E6+E14</f>
        <v>35206</v>
      </c>
    </row>
    <row r="16" spans="2:5">
      <c r="B16" s="167" t="s">
        <v>291</v>
      </c>
      <c r="C16" s="346"/>
      <c r="D16" s="346"/>
      <c r="E16" s="346"/>
    </row>
    <row r="17" spans="2:5">
      <c r="B17" s="348"/>
      <c r="C17" s="106"/>
      <c r="D17" s="106"/>
      <c r="E17" s="106"/>
    </row>
    <row r="18" spans="2:5">
      <c r="B18" s="348"/>
      <c r="C18" s="106"/>
      <c r="D18" s="106"/>
      <c r="E18" s="106"/>
    </row>
    <row r="19" spans="2:5">
      <c r="B19" s="348"/>
      <c r="C19" s="106"/>
      <c r="D19" s="106"/>
      <c r="E19" s="106"/>
    </row>
    <row r="20" spans="2:5">
      <c r="B20" s="348"/>
      <c r="C20" s="106"/>
      <c r="D20" s="106"/>
      <c r="E20" s="106"/>
    </row>
    <row r="21" spans="2:5">
      <c r="B21" s="348"/>
      <c r="C21" s="106"/>
      <c r="D21" s="106"/>
      <c r="E21" s="106"/>
    </row>
    <row r="22" spans="2:5">
      <c r="B22" s="352" t="s">
        <v>182</v>
      </c>
      <c r="C22" s="106"/>
      <c r="D22" s="345"/>
      <c r="E22" s="345"/>
    </row>
    <row r="23" spans="2:5">
      <c r="B23" s="352" t="s">
        <v>667</v>
      </c>
      <c r="C23" s="548" t="str">
        <f>IF(C24*0.1&lt;C22,"Exceed 10% Rule","")</f>
        <v/>
      </c>
      <c r="D23" s="353" t="str">
        <f>IF(D24*0.1&lt;D22,"Exceed 10% Rule","")</f>
        <v/>
      </c>
      <c r="E23" s="353" t="str">
        <f>IF(E24*0.1&lt;E22,"Exceed 10% Rule","")</f>
        <v/>
      </c>
    </row>
    <row r="24" spans="2:5">
      <c r="B24" s="354" t="s">
        <v>295</v>
      </c>
      <c r="C24" s="356">
        <f>SUM(C17:C22)</f>
        <v>0</v>
      </c>
      <c r="D24" s="356">
        <f>SUM(D17:D22)</f>
        <v>0</v>
      </c>
      <c r="E24" s="356">
        <f>SUM(E17:E22)</f>
        <v>0</v>
      </c>
    </row>
    <row r="25" spans="2:5">
      <c r="B25" s="167" t="s">
        <v>58</v>
      </c>
      <c r="C25" s="119">
        <f>C15-C24</f>
        <v>26126</v>
      </c>
      <c r="D25" s="119">
        <f>D15-D24</f>
        <v>31166</v>
      </c>
      <c r="E25" s="119">
        <f>E15-E24</f>
        <v>35206</v>
      </c>
    </row>
    <row r="26" spans="2:5">
      <c r="B26" s="197" t="str">
        <f>CONCATENATE("",E1-2,"/",E1-1," Budget Authority Amount:")</f>
        <v>2012/2013 Budget Authority Amount:</v>
      </c>
      <c r="C26" s="303">
        <f>inputOth!B84</f>
        <v>0</v>
      </c>
      <c r="D26" s="303">
        <f>inputPrYr!D37</f>
        <v>0</v>
      </c>
      <c r="E26" s="547" t="str">
        <f>IF(E25&lt;0,"See Tab E","")</f>
        <v/>
      </c>
    </row>
    <row r="27" spans="2:5">
      <c r="B27" s="197"/>
      <c r="C27" s="358" t="str">
        <f>IF(C24&gt;C26,"See Tab A","")</f>
        <v/>
      </c>
      <c r="D27" s="358" t="str">
        <f>IF(D24&gt;D26,"See Tab C","")</f>
        <v/>
      </c>
      <c r="E27" s="136"/>
    </row>
    <row r="28" spans="2:5">
      <c r="B28" s="197"/>
      <c r="C28" s="358" t="str">
        <f>IF(C25&lt;0,"See Tab B","")</f>
        <v/>
      </c>
      <c r="D28" s="358" t="str">
        <f>IF(D25&lt;0,"See Tab D","")</f>
        <v/>
      </c>
      <c r="E28" s="136"/>
    </row>
    <row r="29" spans="2:5">
      <c r="B29" s="84"/>
      <c r="C29" s="136"/>
      <c r="D29" s="136"/>
      <c r="E29" s="136"/>
    </row>
    <row r="30" spans="2:5">
      <c r="B30" s="91"/>
      <c r="C30" s="363"/>
      <c r="D30" s="363"/>
      <c r="E30" s="363"/>
    </row>
    <row r="31" spans="2:5">
      <c r="B31" s="91" t="s">
        <v>282</v>
      </c>
      <c r="C31" s="293" t="s">
        <v>806</v>
      </c>
      <c r="D31" s="204" t="s">
        <v>809</v>
      </c>
      <c r="E31" s="204" t="s">
        <v>808</v>
      </c>
    </row>
    <row r="32" spans="2:5">
      <c r="B32" s="561" t="str">
        <f>inputPrYr!B38</f>
        <v>Spec. Rev. Recreation Programs</v>
      </c>
      <c r="C32" s="359" t="str">
        <f>C5</f>
        <v>Actual for 2012</v>
      </c>
      <c r="D32" s="359" t="str">
        <f>D5</f>
        <v>Estimate for 2013</v>
      </c>
      <c r="E32" s="359" t="str">
        <f>E5</f>
        <v>Year for 2014</v>
      </c>
    </row>
    <row r="33" spans="2:5">
      <c r="B33" s="360" t="s">
        <v>57</v>
      </c>
      <c r="C33" s="106">
        <v>14350</v>
      </c>
      <c r="D33" s="346">
        <f>C58</f>
        <v>21863</v>
      </c>
      <c r="E33" s="346">
        <f>D58</f>
        <v>18418</v>
      </c>
    </row>
    <row r="34" spans="2:5" s="80" customFormat="1">
      <c r="B34" s="361" t="s">
        <v>59</v>
      </c>
      <c r="C34" s="124"/>
      <c r="D34" s="124"/>
      <c r="E34" s="124"/>
    </row>
    <row r="35" spans="2:5">
      <c r="B35" s="348" t="s">
        <v>1061</v>
      </c>
      <c r="C35" s="106">
        <v>73197</v>
      </c>
      <c r="D35" s="106">
        <v>140250</v>
      </c>
      <c r="E35" s="106">
        <v>143120</v>
      </c>
    </row>
    <row r="36" spans="2:5">
      <c r="B36" s="348"/>
      <c r="C36" s="106"/>
      <c r="D36" s="106"/>
      <c r="E36" s="106"/>
    </row>
    <row r="37" spans="2:5">
      <c r="B37" s="348"/>
      <c r="C37" s="106"/>
      <c r="D37" s="106"/>
      <c r="E37" s="106"/>
    </row>
    <row r="38" spans="2:5">
      <c r="B38" s="348"/>
      <c r="C38" s="106"/>
      <c r="D38" s="106"/>
      <c r="E38" s="106"/>
    </row>
    <row r="39" spans="2:5">
      <c r="B39" s="348"/>
      <c r="C39" s="106"/>
      <c r="D39" s="106"/>
      <c r="E39" s="106"/>
    </row>
    <row r="40" spans="2:5">
      <c r="B40" s="362" t="s">
        <v>260</v>
      </c>
      <c r="C40" s="106"/>
      <c r="D40" s="106"/>
      <c r="E40" s="106"/>
    </row>
    <row r="41" spans="2:5">
      <c r="B41" s="352" t="s">
        <v>182</v>
      </c>
      <c r="C41" s="106"/>
      <c r="D41" s="345"/>
      <c r="E41" s="345"/>
    </row>
    <row r="42" spans="2:5">
      <c r="B42" s="352" t="s">
        <v>668</v>
      </c>
      <c r="C42" s="548" t="str">
        <f>IF(C43*0.1&lt;C41,"Exceed 10% Rule","")</f>
        <v/>
      </c>
      <c r="D42" s="353" t="str">
        <f>IF(D43*0.1&lt;D41,"Exceed 10% Rule","")</f>
        <v/>
      </c>
      <c r="E42" s="353" t="str">
        <f>IF(E43*0.1&lt;E41,"Exceed 10% Rule","")</f>
        <v/>
      </c>
    </row>
    <row r="43" spans="2:5">
      <c r="B43" s="354" t="s">
        <v>288</v>
      </c>
      <c r="C43" s="356">
        <f>SUM(C35:C41)</f>
        <v>73197</v>
      </c>
      <c r="D43" s="356">
        <f>SUM(D35:D41)</f>
        <v>140250</v>
      </c>
      <c r="E43" s="356">
        <f>SUM(E35:E41)</f>
        <v>143120</v>
      </c>
    </row>
    <row r="44" spans="2:5">
      <c r="B44" s="354" t="s">
        <v>289</v>
      </c>
      <c r="C44" s="356">
        <f>C33+C43</f>
        <v>87547</v>
      </c>
      <c r="D44" s="356">
        <f>D33+D43</f>
        <v>162113</v>
      </c>
      <c r="E44" s="356">
        <f>E33+E43</f>
        <v>161538</v>
      </c>
    </row>
    <row r="45" spans="2:5">
      <c r="B45" s="167" t="s">
        <v>291</v>
      </c>
      <c r="C45" s="346"/>
      <c r="D45" s="346"/>
      <c r="E45" s="346"/>
    </row>
    <row r="46" spans="2:5">
      <c r="B46" s="348" t="s">
        <v>1062</v>
      </c>
      <c r="C46" s="106">
        <v>48137</v>
      </c>
      <c r="D46" s="106">
        <v>89475</v>
      </c>
      <c r="E46" s="106">
        <v>89475</v>
      </c>
    </row>
    <row r="47" spans="2:5">
      <c r="B47" s="348" t="s">
        <v>1071</v>
      </c>
      <c r="C47" s="106">
        <v>9127</v>
      </c>
      <c r="D47" s="106">
        <v>26350</v>
      </c>
      <c r="E47" s="106">
        <v>26650</v>
      </c>
    </row>
    <row r="48" spans="2:5">
      <c r="B48" s="348" t="s">
        <v>1063</v>
      </c>
      <c r="C48" s="106">
        <v>3765</v>
      </c>
      <c r="D48" s="106">
        <v>13500</v>
      </c>
      <c r="E48" s="106">
        <v>15000</v>
      </c>
    </row>
    <row r="49" spans="2:5">
      <c r="B49" s="348" t="s">
        <v>1064</v>
      </c>
      <c r="C49" s="106">
        <v>0</v>
      </c>
      <c r="D49" s="106">
        <v>8500</v>
      </c>
      <c r="E49" s="106">
        <v>0</v>
      </c>
    </row>
    <row r="50" spans="2:5">
      <c r="B50" s="348" t="s">
        <v>1065</v>
      </c>
      <c r="C50" s="106">
        <v>0</v>
      </c>
      <c r="D50" s="106">
        <v>670</v>
      </c>
      <c r="E50" s="106">
        <v>670</v>
      </c>
    </row>
    <row r="51" spans="2:5">
      <c r="B51" s="348" t="s">
        <v>1066</v>
      </c>
      <c r="C51" s="106">
        <v>4655</v>
      </c>
      <c r="D51" s="106">
        <v>5200</v>
      </c>
      <c r="E51" s="106">
        <v>5400</v>
      </c>
    </row>
    <row r="52" spans="2:5">
      <c r="B52" s="348"/>
      <c r="C52" s="106"/>
      <c r="D52" s="106"/>
      <c r="E52" s="106"/>
    </row>
    <row r="53" spans="2:5">
      <c r="B53" s="348"/>
      <c r="C53" s="106"/>
      <c r="D53" s="106"/>
      <c r="E53" s="106"/>
    </row>
    <row r="54" spans="2:5">
      <c r="B54" s="348"/>
      <c r="C54" s="106"/>
      <c r="D54" s="106"/>
      <c r="E54" s="106"/>
    </row>
    <row r="55" spans="2:5">
      <c r="B55" s="352" t="s">
        <v>182</v>
      </c>
      <c r="C55" s="106"/>
      <c r="D55" s="345"/>
      <c r="E55" s="345"/>
    </row>
    <row r="56" spans="2:5">
      <c r="B56" s="352" t="s">
        <v>667</v>
      </c>
      <c r="C56" s="548" t="str">
        <f>IF(C57*0.1&lt;C55,"Exceed 10% Rule","")</f>
        <v/>
      </c>
      <c r="D56" s="353" t="str">
        <f>IF(D57*0.1&lt;D55,"Exceed 10% Rule","")</f>
        <v/>
      </c>
      <c r="E56" s="353" t="str">
        <f>IF(E57*0.1&lt;E55,"Exceed 10% Rule","")</f>
        <v/>
      </c>
    </row>
    <row r="57" spans="2:5">
      <c r="B57" s="354" t="s">
        <v>295</v>
      </c>
      <c r="C57" s="356">
        <f>SUM(C46:C55)</f>
        <v>65684</v>
      </c>
      <c r="D57" s="356">
        <f>SUM(D46:D55)</f>
        <v>143695</v>
      </c>
      <c r="E57" s="356">
        <f>SUM(E46:E55)</f>
        <v>137195</v>
      </c>
    </row>
    <row r="58" spans="2:5">
      <c r="B58" s="167" t="s">
        <v>58</v>
      </c>
      <c r="C58" s="119">
        <f>C44-C57</f>
        <v>21863</v>
      </c>
      <c r="D58" s="119">
        <f>D44-D57</f>
        <v>18418</v>
      </c>
      <c r="E58" s="119">
        <f>E44-E57</f>
        <v>24343</v>
      </c>
    </row>
    <row r="59" spans="2:5">
      <c r="B59" s="197" t="str">
        <f>CONCATENATE("",E1-2,"/",E1-1," Budget Authority Amount:")</f>
        <v>2012/2013 Budget Authority Amount:</v>
      </c>
      <c r="C59" s="303">
        <f>inputOth!B85</f>
        <v>68397</v>
      </c>
      <c r="D59" s="303">
        <f>inputPrYr!D38</f>
        <v>143695</v>
      </c>
      <c r="E59" s="547" t="str">
        <f>IF(E58&lt;0,"See Tab E","")</f>
        <v/>
      </c>
    </row>
    <row r="60" spans="2:5">
      <c r="B60" s="197"/>
      <c r="C60" s="358" t="str">
        <f>IF(C57&gt;C59,"See Tab A","")</f>
        <v/>
      </c>
      <c r="D60" s="358" t="str">
        <f>IF(D57&gt;D59,"See Tab C","")</f>
        <v/>
      </c>
      <c r="E60" s="84"/>
    </row>
    <row r="61" spans="2:5">
      <c r="B61" s="197"/>
      <c r="C61" s="358" t="str">
        <f>IF(C58&lt;0,"See Tab B","")</f>
        <v/>
      </c>
      <c r="D61" s="358" t="str">
        <f>IF(D58&lt;0,"See Tab D","")</f>
        <v/>
      </c>
      <c r="E61" s="84"/>
    </row>
    <row r="62" spans="2:5">
      <c r="B62" s="84"/>
      <c r="C62" s="84"/>
      <c r="D62" s="84"/>
      <c r="E62" s="84"/>
    </row>
    <row r="63" spans="2:5">
      <c r="B63" s="197" t="s">
        <v>298</v>
      </c>
      <c r="C63" s="297">
        <v>15</v>
      </c>
      <c r="D63" s="84"/>
      <c r="E63" s="84"/>
    </row>
  </sheetData>
  <phoneticPr fontId="0" type="noConversion"/>
  <conditionalFormatting sqref="C41">
    <cfRule type="cellIs" dxfId="193" priority="3" stopIfTrue="1" operator="greaterThan">
      <formula>$C$43*0.1</formula>
    </cfRule>
  </conditionalFormatting>
  <conditionalFormatting sqref="D41">
    <cfRule type="cellIs" dxfId="192" priority="4" stopIfTrue="1" operator="greaterThan">
      <formula>$D$43*0.1</formula>
    </cfRule>
  </conditionalFormatting>
  <conditionalFormatting sqref="E41">
    <cfRule type="cellIs" dxfId="191" priority="5" stopIfTrue="1" operator="greaterThan">
      <formula>$E$43*0.1</formula>
    </cfRule>
  </conditionalFormatting>
  <conditionalFormatting sqref="C55">
    <cfRule type="cellIs" dxfId="190" priority="6" stopIfTrue="1" operator="greaterThan">
      <formula>$C$57*0.1</formula>
    </cfRule>
  </conditionalFormatting>
  <conditionalFormatting sqref="D55">
    <cfRule type="cellIs" dxfId="189" priority="7" stopIfTrue="1" operator="greaterThan">
      <formula>$D$57*0.1</formula>
    </cfRule>
  </conditionalFormatting>
  <conditionalFormatting sqref="E55">
    <cfRule type="cellIs" dxfId="188" priority="8" stopIfTrue="1" operator="greaterThan">
      <formula>$E$57*0.1</formula>
    </cfRule>
  </conditionalFormatting>
  <conditionalFormatting sqref="C22">
    <cfRule type="cellIs" dxfId="187" priority="9" stopIfTrue="1" operator="greaterThan">
      <formula>$C$24*0.1</formula>
    </cfRule>
  </conditionalFormatting>
  <conditionalFormatting sqref="D22">
    <cfRule type="cellIs" dxfId="186" priority="10" stopIfTrue="1" operator="greaterThan">
      <formula>$D$24*0.1</formula>
    </cfRule>
  </conditionalFormatting>
  <conditionalFormatting sqref="E22">
    <cfRule type="cellIs" dxfId="185" priority="11" stopIfTrue="1" operator="greaterThan">
      <formula>$E$24*0.1</formula>
    </cfRule>
  </conditionalFormatting>
  <conditionalFormatting sqref="C12">
    <cfRule type="cellIs" dxfId="184" priority="12" stopIfTrue="1" operator="greaterThan">
      <formula>$C$14*0.1</formula>
    </cfRule>
  </conditionalFormatting>
  <conditionalFormatting sqref="D12">
    <cfRule type="cellIs" dxfId="183" priority="13" stopIfTrue="1" operator="greaterThan">
      <formula>$D$14*0.1</formula>
    </cfRule>
  </conditionalFormatting>
  <conditionalFormatting sqref="E12">
    <cfRule type="cellIs" dxfId="182" priority="14" stopIfTrue="1" operator="greaterThan">
      <formula>$E$14*0.1</formula>
    </cfRule>
  </conditionalFormatting>
  <conditionalFormatting sqref="E25 C25 E58 C58">
    <cfRule type="cellIs" dxfId="181" priority="15" stopIfTrue="1" operator="lessThan">
      <formula>0</formula>
    </cfRule>
  </conditionalFormatting>
  <conditionalFormatting sqref="C24">
    <cfRule type="cellIs" dxfId="180" priority="16" stopIfTrue="1" operator="greaterThan">
      <formula>$C$26</formula>
    </cfRule>
  </conditionalFormatting>
  <conditionalFormatting sqref="D24">
    <cfRule type="cellIs" dxfId="179" priority="17" stopIfTrue="1" operator="greaterThan">
      <formula>$D$26</formula>
    </cfRule>
  </conditionalFormatting>
  <conditionalFormatting sqref="C57">
    <cfRule type="cellIs" dxfId="178" priority="18" stopIfTrue="1" operator="greaterThan">
      <formula>$C$59</formula>
    </cfRule>
  </conditionalFormatting>
  <conditionalFormatting sqref="D57">
    <cfRule type="cellIs" dxfId="177" priority="19" stopIfTrue="1" operator="greaterThan">
      <formula>$D$59</formula>
    </cfRule>
  </conditionalFormatting>
  <conditionalFormatting sqref="D58">
    <cfRule type="cellIs" dxfId="176" priority="2" stopIfTrue="1" operator="lessThan">
      <formula>0</formula>
    </cfRule>
  </conditionalFormatting>
  <conditionalFormatting sqref="D25">
    <cfRule type="cellIs" dxfId="175"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9"/>
  <sheetViews>
    <sheetView topLeftCell="B48" workbookViewId="0">
      <selection activeCell="B29" sqref="B29"/>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inputPrYr!B39</f>
        <v>Spec. Rev. Risk Management</v>
      </c>
      <c r="C5" s="440" t="str">
        <f>CONCATENATE("Actual for ",E1-2,"")</f>
        <v>Actual for 2012</v>
      </c>
      <c r="D5" s="440" t="str">
        <f>CONCATENATE("Estimate for ",E1-1,"")</f>
        <v>Estimate for 2013</v>
      </c>
      <c r="E5" s="268" t="str">
        <f>CONCATENATE("Year for ",E1,"")</f>
        <v>Year for 2014</v>
      </c>
    </row>
    <row r="6" spans="2:5">
      <c r="B6" s="360" t="s">
        <v>57</v>
      </c>
      <c r="C6" s="106">
        <v>140714</v>
      </c>
      <c r="D6" s="346">
        <f>C31</f>
        <v>146773</v>
      </c>
      <c r="E6" s="346">
        <f>D31</f>
        <v>141734</v>
      </c>
    </row>
    <row r="7" spans="2:5" s="80" customFormat="1">
      <c r="B7" s="361" t="s">
        <v>59</v>
      </c>
      <c r="C7" s="124"/>
      <c r="D7" s="124"/>
      <c r="E7" s="124"/>
    </row>
    <row r="8" spans="2:5">
      <c r="B8" s="348" t="s">
        <v>1069</v>
      </c>
      <c r="C8" s="106">
        <v>15697</v>
      </c>
      <c r="D8" s="106">
        <v>2267</v>
      </c>
      <c r="E8" s="106">
        <v>0</v>
      </c>
    </row>
    <row r="9" spans="2:5">
      <c r="B9" s="348" t="s">
        <v>331</v>
      </c>
      <c r="C9" s="106">
        <v>406</v>
      </c>
      <c r="D9" s="106">
        <v>200</v>
      </c>
      <c r="E9" s="106">
        <v>200</v>
      </c>
    </row>
    <row r="10" spans="2:5">
      <c r="B10" s="348"/>
      <c r="C10" s="106"/>
      <c r="D10" s="106"/>
      <c r="E10" s="106"/>
    </row>
    <row r="11" spans="2:5">
      <c r="B11" s="348"/>
      <c r="C11" s="106"/>
      <c r="D11" s="106"/>
      <c r="E11" s="106"/>
    </row>
    <row r="12" spans="2:5">
      <c r="B12" s="348"/>
      <c r="C12" s="106"/>
      <c r="D12" s="106"/>
      <c r="E12" s="106"/>
    </row>
    <row r="13" spans="2:5">
      <c r="B13" s="362" t="s">
        <v>260</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16103</v>
      </c>
      <c r="D16" s="356">
        <f>SUM(D8:D14)</f>
        <v>2467</v>
      </c>
      <c r="E16" s="356">
        <f>SUM(E8:E14)</f>
        <v>200</v>
      </c>
    </row>
    <row r="17" spans="2:5">
      <c r="B17" s="354" t="s">
        <v>289</v>
      </c>
      <c r="C17" s="356">
        <f>C6+C16</f>
        <v>156817</v>
      </c>
      <c r="D17" s="356">
        <f>D6+D16</f>
        <v>149240</v>
      </c>
      <c r="E17" s="356">
        <f>E6+E16</f>
        <v>141934</v>
      </c>
    </row>
    <row r="18" spans="2:5">
      <c r="B18" s="167" t="s">
        <v>291</v>
      </c>
      <c r="C18" s="346"/>
      <c r="D18" s="346"/>
      <c r="E18" s="346"/>
    </row>
    <row r="19" spans="2:5">
      <c r="B19" s="348" t="s">
        <v>1071</v>
      </c>
      <c r="C19" s="106">
        <v>7522</v>
      </c>
      <c r="D19" s="106">
        <v>7506</v>
      </c>
      <c r="E19" s="106">
        <v>141934</v>
      </c>
    </row>
    <row r="20" spans="2:5">
      <c r="B20" s="348" t="s">
        <v>1063</v>
      </c>
      <c r="C20" s="106">
        <v>0</v>
      </c>
      <c r="D20" s="106">
        <v>0</v>
      </c>
      <c r="E20" s="106">
        <v>0</v>
      </c>
    </row>
    <row r="21" spans="2:5">
      <c r="B21" s="348" t="s">
        <v>1064</v>
      </c>
      <c r="C21" s="106">
        <v>2522</v>
      </c>
      <c r="D21" s="106">
        <v>0</v>
      </c>
      <c r="E21" s="106">
        <v>0</v>
      </c>
    </row>
    <row r="22" spans="2:5">
      <c r="B22" s="348"/>
      <c r="C22" s="106"/>
      <c r="D22" s="106"/>
      <c r="E22" s="106"/>
    </row>
    <row r="23" spans="2:5">
      <c r="B23" s="348"/>
      <c r="C23" s="106"/>
      <c r="D23" s="106"/>
      <c r="E23" s="106"/>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52" t="s">
        <v>182</v>
      </c>
      <c r="C28" s="106"/>
      <c r="D28" s="345"/>
      <c r="E28" s="345"/>
    </row>
    <row r="29" spans="2:5">
      <c r="B29" s="352" t="s">
        <v>667</v>
      </c>
      <c r="C29" s="548" t="str">
        <f>IF(C30*0.1&lt;C28,"Exceed 10% Rule","")</f>
        <v/>
      </c>
      <c r="D29" s="353" t="str">
        <f>IF(D30*0.1&lt;D28,"Exceed 10% Rule","")</f>
        <v/>
      </c>
      <c r="E29" s="353" t="str">
        <f>IF(E30*0.1&lt;E28,"Exceed 10% Rule","")</f>
        <v/>
      </c>
    </row>
    <row r="30" spans="2:5">
      <c r="B30" s="354" t="s">
        <v>295</v>
      </c>
      <c r="C30" s="356">
        <f>SUM(C19:C28)</f>
        <v>10044</v>
      </c>
      <c r="D30" s="356">
        <f>SUM(D19:D28)</f>
        <v>7506</v>
      </c>
      <c r="E30" s="356">
        <f>SUM(E19:E28)</f>
        <v>141934</v>
      </c>
    </row>
    <row r="31" spans="2:5">
      <c r="B31" s="167" t="s">
        <v>58</v>
      </c>
      <c r="C31" s="119">
        <f>C17-C30</f>
        <v>146773</v>
      </c>
      <c r="D31" s="119">
        <f>D17-D30</f>
        <v>141734</v>
      </c>
      <c r="E31" s="119">
        <f>E17-E30</f>
        <v>0</v>
      </c>
    </row>
    <row r="32" spans="2:5">
      <c r="B32" s="197" t="str">
        <f>CONCATENATE("",E1-2,"/",E1-1," Budget Authority Amount:")</f>
        <v>2012/2013 Budget Authority Amount:</v>
      </c>
      <c r="C32" s="303">
        <f>inputOth!B86</f>
        <v>98386</v>
      </c>
      <c r="D32" s="303">
        <f>inputPrYr!D39</f>
        <v>134289</v>
      </c>
      <c r="E32" s="547" t="str">
        <f>IF(E31&lt;0,"See Tab E","")</f>
        <v/>
      </c>
    </row>
    <row r="33" spans="2:5">
      <c r="B33" s="197"/>
      <c r="C33" s="358" t="str">
        <f>IF(C30&gt;C32,"See Tab A","")</f>
        <v/>
      </c>
      <c r="D33" s="358" t="str">
        <f>IF(D30&gt;D32,"See Tab C","")</f>
        <v/>
      </c>
      <c r="E33" s="136"/>
    </row>
    <row r="34" spans="2:5">
      <c r="B34" s="197"/>
      <c r="C34" s="358" t="str">
        <f>IF(C31&lt;0,"See Tab B","")</f>
        <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inputPrYr!B40</f>
        <v>Spec. Rev. Senior Center</v>
      </c>
      <c r="C38" s="359" t="str">
        <f>C5</f>
        <v>Actual for 2012</v>
      </c>
      <c r="D38" s="359" t="str">
        <f>D5</f>
        <v>Estimate for 2013</v>
      </c>
      <c r="E38" s="359" t="str">
        <f>E5</f>
        <v>Year for 2014</v>
      </c>
    </row>
    <row r="39" spans="2:5">
      <c r="B39" s="360" t="s">
        <v>57</v>
      </c>
      <c r="C39" s="106">
        <v>0</v>
      </c>
      <c r="D39" s="346">
        <f>C64</f>
        <v>-30</v>
      </c>
      <c r="E39" s="346">
        <f>D64</f>
        <v>0</v>
      </c>
    </row>
    <row r="40" spans="2:5" s="80" customFormat="1">
      <c r="B40" s="361" t="s">
        <v>59</v>
      </c>
      <c r="C40" s="124"/>
      <c r="D40" s="124"/>
      <c r="E40" s="124"/>
    </row>
    <row r="41" spans="2:5">
      <c r="B41" s="348" t="s">
        <v>1160</v>
      </c>
      <c r="C41" s="106">
        <v>6450</v>
      </c>
      <c r="D41" s="106">
        <v>6450</v>
      </c>
      <c r="E41" s="106">
        <v>6450</v>
      </c>
    </row>
    <row r="42" spans="2:5">
      <c r="B42" s="348" t="s">
        <v>1156</v>
      </c>
      <c r="C42" s="106">
        <v>10</v>
      </c>
      <c r="D42" s="106">
        <v>30</v>
      </c>
      <c r="E42" s="106">
        <v>0</v>
      </c>
    </row>
    <row r="43" spans="2:5">
      <c r="B43" s="348" t="s">
        <v>1130</v>
      </c>
      <c r="C43" s="106">
        <v>36637</v>
      </c>
      <c r="D43" s="106">
        <v>41000</v>
      </c>
      <c r="E43" s="106">
        <v>41830</v>
      </c>
    </row>
    <row r="44" spans="2:5">
      <c r="B44" s="348"/>
      <c r="C44" s="106"/>
      <c r="D44" s="106"/>
      <c r="E44" s="106"/>
    </row>
    <row r="45" spans="2:5">
      <c r="B45" s="348"/>
      <c r="C45" s="106"/>
      <c r="D45" s="106"/>
      <c r="E45" s="106"/>
    </row>
    <row r="46" spans="2:5">
      <c r="B46" s="362" t="s">
        <v>260</v>
      </c>
      <c r="C46" s="106"/>
      <c r="D46" s="106"/>
      <c r="E46" s="106"/>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SUM(C41:C47)</f>
        <v>43097</v>
      </c>
      <c r="D49" s="356">
        <f>SUM(D41:D47)</f>
        <v>47480</v>
      </c>
      <c r="E49" s="356">
        <f>SUM(E41:E47)</f>
        <v>48280</v>
      </c>
    </row>
    <row r="50" spans="2:5">
      <c r="B50" s="354" t="s">
        <v>289</v>
      </c>
      <c r="C50" s="356">
        <f>C39+C49</f>
        <v>43097</v>
      </c>
      <c r="D50" s="356">
        <f>D39+D49</f>
        <v>47450</v>
      </c>
      <c r="E50" s="356">
        <f>E39+E49</f>
        <v>48280</v>
      </c>
    </row>
    <row r="51" spans="2:5">
      <c r="B51" s="167" t="s">
        <v>291</v>
      </c>
      <c r="C51" s="346"/>
      <c r="D51" s="346"/>
      <c r="E51" s="346"/>
    </row>
    <row r="52" spans="2:5">
      <c r="B52" s="348" t="s">
        <v>1062</v>
      </c>
      <c r="C52" s="106">
        <v>36537</v>
      </c>
      <c r="D52" s="106">
        <v>38370</v>
      </c>
      <c r="E52" s="106">
        <v>40350</v>
      </c>
    </row>
    <row r="53" spans="2:5">
      <c r="B53" s="348" t="s">
        <v>1071</v>
      </c>
      <c r="C53" s="106">
        <v>4498</v>
      </c>
      <c r="D53" s="106">
        <v>5830</v>
      </c>
      <c r="E53" s="106">
        <v>5330</v>
      </c>
    </row>
    <row r="54" spans="2:5">
      <c r="B54" s="348" t="s">
        <v>1063</v>
      </c>
      <c r="C54" s="106">
        <v>2092</v>
      </c>
      <c r="D54" s="106">
        <v>3250</v>
      </c>
      <c r="E54" s="106">
        <v>2600</v>
      </c>
    </row>
    <row r="55" spans="2:5">
      <c r="B55" s="348" t="s">
        <v>1064</v>
      </c>
      <c r="C55" s="106">
        <v>0</v>
      </c>
      <c r="D55" s="106">
        <v>0</v>
      </c>
      <c r="E55" s="106">
        <v>0</v>
      </c>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52" t="s">
        <v>182</v>
      </c>
      <c r="C61" s="106"/>
      <c r="D61" s="345"/>
      <c r="E61" s="345"/>
    </row>
    <row r="62" spans="2:5">
      <c r="B62" s="352" t="s">
        <v>667</v>
      </c>
      <c r="C62" s="548" t="str">
        <f>IF(C63*0.1&lt;C61,"Exceed 10% Rule","")</f>
        <v/>
      </c>
      <c r="D62" s="353" t="str">
        <f>IF(D63*0.1&lt;D61,"Exceed 10% Rule","")</f>
        <v/>
      </c>
      <c r="E62" s="353" t="str">
        <f>IF(E63*0.1&lt;E61,"Exceed 10% Rule","")</f>
        <v/>
      </c>
    </row>
    <row r="63" spans="2:5">
      <c r="B63" s="354" t="s">
        <v>295</v>
      </c>
      <c r="C63" s="356">
        <f>SUM(C52:C61)</f>
        <v>43127</v>
      </c>
      <c r="D63" s="356">
        <f>SUM(D52:D61)</f>
        <v>47450</v>
      </c>
      <c r="E63" s="356">
        <f>SUM(E52:E61)</f>
        <v>48280</v>
      </c>
    </row>
    <row r="64" spans="2:5">
      <c r="B64" s="167" t="s">
        <v>58</v>
      </c>
      <c r="C64" s="119">
        <f>C50-C63</f>
        <v>-30</v>
      </c>
      <c r="D64" s="119">
        <f>D50-D63</f>
        <v>0</v>
      </c>
      <c r="E64" s="119">
        <f>E50-E63</f>
        <v>0</v>
      </c>
    </row>
    <row r="65" spans="2:5">
      <c r="B65" s="197" t="str">
        <f>CONCATENATE("",E1-2,"/",E1-1," Budget Authority Amount:")</f>
        <v>2012/2013 Budget Authority Amount:</v>
      </c>
      <c r="C65" s="303">
        <f>inputOth!B87</f>
        <v>50574</v>
      </c>
      <c r="D65" s="303">
        <f>inputPrYr!D40</f>
        <v>47450</v>
      </c>
      <c r="E65" s="547" t="str">
        <f>IF(E64&lt;0,"See Tab E","")</f>
        <v/>
      </c>
    </row>
    <row r="66" spans="2:5">
      <c r="B66" s="197"/>
      <c r="C66" s="358" t="str">
        <f>IF(C63&gt;C65,"See Tab A","")</f>
        <v/>
      </c>
      <c r="D66" s="358" t="str">
        <f>IF(D63&gt;D65,"See Tab C","")</f>
        <v/>
      </c>
      <c r="E66" s="84"/>
    </row>
    <row r="67" spans="2:5">
      <c r="B67" s="197"/>
      <c r="C67" s="358" t="str">
        <f>IF(C64&lt;0,"See Tab B","")</f>
        <v>See Tab B</v>
      </c>
      <c r="D67" s="358" t="str">
        <f>IF(D64&lt;0,"See Tab D","")</f>
        <v/>
      </c>
      <c r="E67" s="84"/>
    </row>
    <row r="68" spans="2:5">
      <c r="B68" s="84"/>
      <c r="C68" s="84"/>
      <c r="D68" s="84"/>
      <c r="E68" s="84"/>
    </row>
    <row r="69" spans="2:5">
      <c r="B69" s="197" t="s">
        <v>298</v>
      </c>
      <c r="C69" s="297">
        <v>16</v>
      </c>
      <c r="D69" s="84"/>
      <c r="E69" s="84"/>
    </row>
  </sheetData>
  <conditionalFormatting sqref="C47">
    <cfRule type="cellIs" dxfId="174" priority="19" stopIfTrue="1" operator="greaterThan">
      <formula>$C$49*0.1</formula>
    </cfRule>
  </conditionalFormatting>
  <conditionalFormatting sqref="D47">
    <cfRule type="cellIs" dxfId="173" priority="18" stopIfTrue="1" operator="greaterThan">
      <formula>$D$49*0.1</formula>
    </cfRule>
  </conditionalFormatting>
  <conditionalFormatting sqref="E47">
    <cfRule type="cellIs" dxfId="172" priority="17" stopIfTrue="1" operator="greaterThan">
      <formula>$E$49*0.1</formula>
    </cfRule>
  </conditionalFormatting>
  <conditionalFormatting sqref="C61">
    <cfRule type="cellIs" dxfId="171" priority="16" stopIfTrue="1" operator="greaterThan">
      <formula>$C$63*0.1</formula>
    </cfRule>
  </conditionalFormatting>
  <conditionalFormatting sqref="D61">
    <cfRule type="cellIs" dxfId="170" priority="15" stopIfTrue="1" operator="greaterThan">
      <formula>$D$63*0.1</formula>
    </cfRule>
  </conditionalFormatting>
  <conditionalFormatting sqref="E61">
    <cfRule type="cellIs" dxfId="169" priority="14" stopIfTrue="1" operator="greaterThan">
      <formula>$E$63*0.1</formula>
    </cfRule>
  </conditionalFormatting>
  <conditionalFormatting sqref="C28">
    <cfRule type="cellIs" dxfId="168" priority="13" stopIfTrue="1" operator="greaterThan">
      <formula>$C$30*0.1</formula>
    </cfRule>
  </conditionalFormatting>
  <conditionalFormatting sqref="D28">
    <cfRule type="cellIs" dxfId="167" priority="12" stopIfTrue="1" operator="greaterThan">
      <formula>$D$30*0.1</formula>
    </cfRule>
  </conditionalFormatting>
  <conditionalFormatting sqref="E28">
    <cfRule type="cellIs" dxfId="166" priority="11" stopIfTrue="1" operator="greaterThan">
      <formula>$E$30*0.1</formula>
    </cfRule>
  </conditionalFormatting>
  <conditionalFormatting sqref="C14">
    <cfRule type="cellIs" dxfId="165" priority="10" stopIfTrue="1" operator="greaterThan">
      <formula>$C$16*0.1</formula>
    </cfRule>
  </conditionalFormatting>
  <conditionalFormatting sqref="D14">
    <cfRule type="cellIs" dxfId="164" priority="9" stopIfTrue="1" operator="greaterThan">
      <formula>$D$16*0.1</formula>
    </cfRule>
  </conditionalFormatting>
  <conditionalFormatting sqref="E14">
    <cfRule type="cellIs" dxfId="163" priority="8" stopIfTrue="1" operator="greaterThan">
      <formula>$E$16*0.1</formula>
    </cfRule>
  </conditionalFormatting>
  <conditionalFormatting sqref="E31 C31 E64 C64">
    <cfRule type="cellIs" dxfId="162" priority="7" stopIfTrue="1" operator="lessThan">
      <formula>0</formula>
    </cfRule>
  </conditionalFormatting>
  <conditionalFormatting sqref="C30">
    <cfRule type="cellIs" dxfId="161" priority="6" stopIfTrue="1" operator="greaterThan">
      <formula>$C$32</formula>
    </cfRule>
  </conditionalFormatting>
  <conditionalFormatting sqref="D30">
    <cfRule type="cellIs" dxfId="160" priority="5" stopIfTrue="1" operator="greaterThan">
      <formula>$D$32</formula>
    </cfRule>
  </conditionalFormatting>
  <conditionalFormatting sqref="C63">
    <cfRule type="cellIs" dxfId="159" priority="4" stopIfTrue="1" operator="greaterThan">
      <formula>$C$65</formula>
    </cfRule>
  </conditionalFormatting>
  <conditionalFormatting sqref="D63">
    <cfRule type="cellIs" dxfId="158" priority="3" stopIfTrue="1" operator="greaterThan">
      <formula>$D$65</formula>
    </cfRule>
  </conditionalFormatting>
  <conditionalFormatting sqref="D64">
    <cfRule type="cellIs" dxfId="157" priority="2" stopIfTrue="1" operator="lessThan">
      <formula>0</formula>
    </cfRule>
  </conditionalFormatting>
  <conditionalFormatting sqref="D31">
    <cfRule type="cellIs" dxfId="156" priority="1" stopIfTrue="1" operator="lessThan">
      <formula>0</formula>
    </cfRule>
  </conditionalFormatting>
  <pageMargins left="0.7" right="0.7" top="0.75" bottom="0.75" header="0.3" footer="0.3"/>
  <pageSetup scale="72" orientation="portrait" blackAndWhite="1" r:id="rId1"/>
</worksheet>
</file>

<file path=xl/worksheets/sheet23.xml><?xml version="1.0" encoding="utf-8"?>
<worksheet xmlns="http://schemas.openxmlformats.org/spreadsheetml/2006/main" xmlns:r="http://schemas.openxmlformats.org/officeDocument/2006/relationships">
  <dimension ref="B1:E63"/>
  <sheetViews>
    <sheetView topLeftCell="A42" workbookViewId="0">
      <selection activeCell="B29" sqref="B29"/>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inputPrYr!B41</f>
        <v>Spec. Rev. Sidewalk Escrow</v>
      </c>
      <c r="C5" s="440" t="str">
        <f>CONCATENATE("Actual for ",E1-2,"")</f>
        <v>Actual for 2012</v>
      </c>
      <c r="D5" s="440" t="str">
        <f>CONCATENATE("Estimate for ",E1-1,"")</f>
        <v>Estimate for 2013</v>
      </c>
      <c r="E5" s="268" t="str">
        <f>CONCATENATE("Year for ",E1,"")</f>
        <v>Year for 2014</v>
      </c>
    </row>
    <row r="6" spans="2:5">
      <c r="B6" s="360" t="s">
        <v>57</v>
      </c>
      <c r="C6" s="106">
        <v>34193</v>
      </c>
      <c r="D6" s="346">
        <f>C31</f>
        <v>34286</v>
      </c>
      <c r="E6" s="346">
        <f>D31</f>
        <v>34346</v>
      </c>
    </row>
    <row r="7" spans="2:5" s="80" customFormat="1">
      <c r="B7" s="361" t="s">
        <v>59</v>
      </c>
      <c r="C7" s="124"/>
      <c r="D7" s="124"/>
      <c r="E7" s="124"/>
    </row>
    <row r="8" spans="2:5">
      <c r="B8" s="348" t="s">
        <v>1161</v>
      </c>
      <c r="C8" s="106">
        <v>0</v>
      </c>
      <c r="D8" s="106">
        <v>0</v>
      </c>
      <c r="E8" s="106">
        <v>0</v>
      </c>
    </row>
    <row r="9" spans="2:5">
      <c r="B9" s="348" t="s">
        <v>331</v>
      </c>
      <c r="C9" s="106">
        <v>93</v>
      </c>
      <c r="D9" s="106">
        <v>60</v>
      </c>
      <c r="E9" s="106">
        <v>50</v>
      </c>
    </row>
    <row r="10" spans="2:5">
      <c r="B10" s="348"/>
      <c r="C10" s="106"/>
      <c r="D10" s="106"/>
      <c r="E10" s="106"/>
    </row>
    <row r="11" spans="2:5">
      <c r="B11" s="348"/>
      <c r="C11" s="106"/>
      <c r="D11" s="106"/>
      <c r="E11" s="106"/>
    </row>
    <row r="12" spans="2:5">
      <c r="B12" s="348"/>
      <c r="C12" s="106"/>
      <c r="D12" s="106"/>
      <c r="E12" s="106"/>
    </row>
    <row r="13" spans="2:5">
      <c r="B13" s="362" t="s">
        <v>260</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93</v>
      </c>
      <c r="D16" s="356">
        <f>SUM(D8:D14)</f>
        <v>60</v>
      </c>
      <c r="E16" s="356">
        <f>SUM(E8:E14)</f>
        <v>50</v>
      </c>
    </row>
    <row r="17" spans="2:5">
      <c r="B17" s="354" t="s">
        <v>289</v>
      </c>
      <c r="C17" s="356">
        <f>C6+C16</f>
        <v>34286</v>
      </c>
      <c r="D17" s="356">
        <f>D6+D16</f>
        <v>34346</v>
      </c>
      <c r="E17" s="356">
        <f>E6+E16</f>
        <v>34396</v>
      </c>
    </row>
    <row r="18" spans="2:5">
      <c r="B18" s="167" t="s">
        <v>291</v>
      </c>
      <c r="C18" s="346"/>
      <c r="D18" s="346"/>
      <c r="E18" s="346"/>
    </row>
    <row r="19" spans="2:5">
      <c r="B19" s="348" t="s">
        <v>1162</v>
      </c>
      <c r="C19" s="106">
        <v>0</v>
      </c>
      <c r="D19" s="106">
        <v>0</v>
      </c>
      <c r="E19" s="106">
        <v>34396</v>
      </c>
    </row>
    <row r="20" spans="2:5">
      <c r="B20" s="348"/>
      <c r="C20" s="106"/>
      <c r="D20" s="106"/>
      <c r="E20" s="106"/>
    </row>
    <row r="21" spans="2:5">
      <c r="B21" s="348"/>
      <c r="C21" s="106"/>
      <c r="D21" s="106"/>
      <c r="E21" s="106"/>
    </row>
    <row r="22" spans="2:5">
      <c r="B22" s="348"/>
      <c r="C22" s="106"/>
      <c r="D22" s="106"/>
      <c r="E22" s="106"/>
    </row>
    <row r="23" spans="2:5">
      <c r="B23" s="348"/>
      <c r="C23" s="106"/>
      <c r="D23" s="106"/>
      <c r="E23" s="106"/>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52" t="s">
        <v>182</v>
      </c>
      <c r="C28" s="106"/>
      <c r="D28" s="345"/>
      <c r="E28" s="345"/>
    </row>
    <row r="29" spans="2:5">
      <c r="B29" s="352" t="s">
        <v>667</v>
      </c>
      <c r="C29" s="548" t="str">
        <f>IF(C30*0.1&lt;C28,"Exceed 10% Rule","")</f>
        <v/>
      </c>
      <c r="D29" s="353" t="str">
        <f>IF(D30*0.1&lt;D28,"Exceed 10% Rule","")</f>
        <v/>
      </c>
      <c r="E29" s="353" t="str">
        <f>IF(E30*0.1&lt;E28,"Exceed 10% Rule","")</f>
        <v/>
      </c>
    </row>
    <row r="30" spans="2:5">
      <c r="B30" s="354" t="s">
        <v>295</v>
      </c>
      <c r="C30" s="356">
        <f>SUM(C19:C28)</f>
        <v>0</v>
      </c>
      <c r="D30" s="356">
        <f>SUM(D19:D28)</f>
        <v>0</v>
      </c>
      <c r="E30" s="356">
        <f>SUM(E19:E28)</f>
        <v>34396</v>
      </c>
    </row>
    <row r="31" spans="2:5">
      <c r="B31" s="167" t="s">
        <v>58</v>
      </c>
      <c r="C31" s="119">
        <f>C17-C30</f>
        <v>34286</v>
      </c>
      <c r="D31" s="119">
        <f>D17-D30</f>
        <v>34346</v>
      </c>
      <c r="E31" s="119">
        <f>E17-E30</f>
        <v>0</v>
      </c>
    </row>
    <row r="32" spans="2:5">
      <c r="B32" s="797" t="str">
        <f>CONCATENATE("",E1-2,"/",E1-1," Budget Authority Amount:")</f>
        <v>2012/2013 Budget Authority Amount:</v>
      </c>
      <c r="C32" s="303">
        <f>inputOth!B88</f>
        <v>34296</v>
      </c>
      <c r="D32" s="303">
        <f>inputPrYr!D41</f>
        <v>34383</v>
      </c>
      <c r="E32" s="547" t="str">
        <f>IF(E31&lt;0,"See Tab E","")</f>
        <v/>
      </c>
    </row>
    <row r="33" spans="2:5">
      <c r="B33" s="797"/>
      <c r="C33" s="358" t="str">
        <f>IF(C30&gt;C32,"See Tab A","")</f>
        <v/>
      </c>
      <c r="D33" s="358" t="str">
        <f>IF(D30&gt;D32,"See Tab C","")</f>
        <v/>
      </c>
      <c r="E33" s="136"/>
    </row>
    <row r="34" spans="2:5">
      <c r="B34" s="797"/>
      <c r="C34" s="358" t="str">
        <f>IF(C31&lt;0,"See Tab B","")</f>
        <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inputPrYr!B42</f>
        <v>Spec. Rev. Soccer</v>
      </c>
      <c r="C38" s="359" t="str">
        <f>C5</f>
        <v>Actual for 2012</v>
      </c>
      <c r="D38" s="359" t="str">
        <f>D5</f>
        <v>Estimate for 2013</v>
      </c>
      <c r="E38" s="359" t="str">
        <f>E5</f>
        <v>Year for 2014</v>
      </c>
    </row>
    <row r="39" spans="2:5">
      <c r="B39" s="360" t="s">
        <v>57</v>
      </c>
      <c r="C39" s="106">
        <v>0</v>
      </c>
      <c r="D39" s="346">
        <f>C58</f>
        <v>0</v>
      </c>
      <c r="E39" s="346">
        <f>D58</f>
        <v>190</v>
      </c>
    </row>
    <row r="40" spans="2:5" s="80" customFormat="1">
      <c r="B40" s="361" t="s">
        <v>59</v>
      </c>
      <c r="C40" s="124"/>
      <c r="D40" s="124"/>
      <c r="E40" s="124"/>
    </row>
    <row r="41" spans="2:5">
      <c r="B41" s="348" t="s">
        <v>1074</v>
      </c>
      <c r="C41" s="106">
        <v>7262</v>
      </c>
      <c r="D41" s="106">
        <v>0</v>
      </c>
      <c r="E41" s="106">
        <v>0</v>
      </c>
    </row>
    <row r="42" spans="2:5">
      <c r="B42" s="348" t="s">
        <v>1072</v>
      </c>
      <c r="C42" s="106">
        <v>10841</v>
      </c>
      <c r="D42" s="106">
        <v>12000</v>
      </c>
      <c r="E42" s="106">
        <v>12000</v>
      </c>
    </row>
    <row r="43" spans="2:5">
      <c r="B43" s="348" t="s">
        <v>1073</v>
      </c>
      <c r="C43" s="106">
        <v>20</v>
      </c>
      <c r="D43" s="106">
        <v>0</v>
      </c>
      <c r="E43" s="106">
        <v>0</v>
      </c>
    </row>
    <row r="44" spans="2:5">
      <c r="B44" s="352" t="s">
        <v>182</v>
      </c>
      <c r="C44" s="106"/>
      <c r="D44" s="345"/>
      <c r="E44" s="345"/>
    </row>
    <row r="45" spans="2:5">
      <c r="B45" s="352" t="s">
        <v>668</v>
      </c>
      <c r="C45" s="548" t="str">
        <f>IF(C46*0.1&lt;C44,"Exceed 10% Rule","")</f>
        <v/>
      </c>
      <c r="D45" s="353" t="str">
        <f>IF(D46*0.1&lt;D44,"Exceed 10% Rule","")</f>
        <v/>
      </c>
      <c r="E45" s="353" t="str">
        <f>IF(E46*0.1&lt;E44,"Exceed 10% Rule","")</f>
        <v/>
      </c>
    </row>
    <row r="46" spans="2:5">
      <c r="B46" s="354" t="s">
        <v>288</v>
      </c>
      <c r="C46" s="356">
        <f>SUM(C41:C44)</f>
        <v>18123</v>
      </c>
      <c r="D46" s="356">
        <f>SUM(D41:D44)</f>
        <v>12000</v>
      </c>
      <c r="E46" s="356">
        <f>SUM(E41:E44)</f>
        <v>12000</v>
      </c>
    </row>
    <row r="47" spans="2:5">
      <c r="B47" s="354" t="s">
        <v>289</v>
      </c>
      <c r="C47" s="356">
        <f>C39+C46</f>
        <v>18123</v>
      </c>
      <c r="D47" s="356">
        <f>D39+D46</f>
        <v>12000</v>
      </c>
      <c r="E47" s="356">
        <f>E39+E46</f>
        <v>12190</v>
      </c>
    </row>
    <row r="48" spans="2:5">
      <c r="B48" s="167" t="s">
        <v>291</v>
      </c>
      <c r="C48" s="346"/>
      <c r="D48" s="346"/>
      <c r="E48" s="346"/>
    </row>
    <row r="49" spans="2:5">
      <c r="B49" s="348" t="s">
        <v>1062</v>
      </c>
      <c r="C49" s="106">
        <v>819</v>
      </c>
      <c r="D49" s="106">
        <v>560</v>
      </c>
      <c r="E49" s="106">
        <v>1005</v>
      </c>
    </row>
    <row r="50" spans="2:5">
      <c r="B50" s="348" t="s">
        <v>1071</v>
      </c>
      <c r="C50" s="106">
        <v>13477</v>
      </c>
      <c r="D50" s="106">
        <v>6200</v>
      </c>
      <c r="E50" s="106">
        <v>6100</v>
      </c>
    </row>
    <row r="51" spans="2:5">
      <c r="B51" s="348" t="s">
        <v>1063</v>
      </c>
      <c r="C51" s="106">
        <v>3827</v>
      </c>
      <c r="D51" s="106">
        <v>5050</v>
      </c>
      <c r="E51" s="106">
        <v>4350</v>
      </c>
    </row>
    <row r="52" spans="2:5">
      <c r="B52" s="348"/>
      <c r="C52" s="106"/>
      <c r="D52" s="106"/>
      <c r="E52" s="106"/>
    </row>
    <row r="53" spans="2:5">
      <c r="B53" s="348"/>
      <c r="C53" s="106"/>
      <c r="D53" s="106"/>
      <c r="E53" s="106"/>
    </row>
    <row r="54" spans="2:5">
      <c r="B54" s="348"/>
      <c r="C54" s="106"/>
      <c r="D54" s="106"/>
      <c r="E54" s="106"/>
    </row>
    <row r="55" spans="2:5">
      <c r="B55" s="352" t="s">
        <v>182</v>
      </c>
      <c r="C55" s="106"/>
      <c r="D55" s="345"/>
      <c r="E55" s="345"/>
    </row>
    <row r="56" spans="2:5">
      <c r="B56" s="352" t="s">
        <v>667</v>
      </c>
      <c r="C56" s="548" t="str">
        <f>IF(C57*0.1&lt;C55,"Exceed 10% Rule","")</f>
        <v/>
      </c>
      <c r="D56" s="353" t="str">
        <f>IF(D57*0.1&lt;D55,"Exceed 10% Rule","")</f>
        <v/>
      </c>
      <c r="E56" s="353" t="str">
        <f>IF(E57*0.1&lt;E55,"Exceed 10% Rule","")</f>
        <v/>
      </c>
    </row>
    <row r="57" spans="2:5">
      <c r="B57" s="354" t="s">
        <v>295</v>
      </c>
      <c r="C57" s="356">
        <f>SUM(C49:C55)</f>
        <v>18123</v>
      </c>
      <c r="D57" s="356">
        <f>SUM(D49:D55)</f>
        <v>11810</v>
      </c>
      <c r="E57" s="356">
        <f>SUM(E49:E55)</f>
        <v>11455</v>
      </c>
    </row>
    <row r="58" spans="2:5">
      <c r="B58" s="167" t="s">
        <v>58</v>
      </c>
      <c r="C58" s="119">
        <f>C47-C57</f>
        <v>0</v>
      </c>
      <c r="D58" s="119">
        <f>D47-D57</f>
        <v>190</v>
      </c>
      <c r="E58" s="119">
        <f>E47-E57</f>
        <v>735</v>
      </c>
    </row>
    <row r="59" spans="2:5">
      <c r="B59" s="797" t="str">
        <f>CONCATENATE("",E1-2,"/",E1-1," Budget Authority Amount:")</f>
        <v>2012/2013 Budget Authority Amount:</v>
      </c>
      <c r="C59" s="303">
        <f>inputOth!B89</f>
        <v>18175</v>
      </c>
      <c r="D59" s="303">
        <f>inputPrYr!D42</f>
        <v>11810</v>
      </c>
      <c r="E59" s="547" t="str">
        <f>IF(E58&lt;0,"See Tab E","")</f>
        <v/>
      </c>
    </row>
    <row r="60" spans="2:5">
      <c r="B60" s="797"/>
      <c r="C60" s="358" t="str">
        <f>IF(C57&gt;C59,"See Tab A","")</f>
        <v/>
      </c>
      <c r="D60" s="358" t="str">
        <f>IF(D57&gt;D59,"See Tab C","")</f>
        <v/>
      </c>
      <c r="E60" s="84"/>
    </row>
    <row r="61" spans="2:5">
      <c r="B61" s="797"/>
      <c r="C61" s="358" t="str">
        <f>IF(C58&lt;0,"See Tab B","")</f>
        <v/>
      </c>
      <c r="D61" s="358" t="str">
        <f>IF(D58&lt;0,"See Tab D","")</f>
        <v/>
      </c>
      <c r="E61" s="84"/>
    </row>
    <row r="62" spans="2:5">
      <c r="B62" s="84"/>
      <c r="C62" s="84"/>
      <c r="D62" s="84"/>
      <c r="E62" s="84"/>
    </row>
    <row r="63" spans="2:5">
      <c r="B63" s="797" t="s">
        <v>298</v>
      </c>
      <c r="C63" s="297">
        <v>17</v>
      </c>
      <c r="D63" s="84"/>
      <c r="E63" s="84"/>
    </row>
  </sheetData>
  <conditionalFormatting sqref="C44">
    <cfRule type="cellIs" dxfId="155" priority="19" stopIfTrue="1" operator="greaterThan">
      <formula>$C$46*0.1</formula>
    </cfRule>
  </conditionalFormatting>
  <conditionalFormatting sqref="D44">
    <cfRule type="cellIs" dxfId="154" priority="18" stopIfTrue="1" operator="greaterThan">
      <formula>$D$46*0.1</formula>
    </cfRule>
  </conditionalFormatting>
  <conditionalFormatting sqref="E44">
    <cfRule type="cellIs" dxfId="153" priority="17" stopIfTrue="1" operator="greaterThan">
      <formula>$E$46*0.1</formula>
    </cfRule>
  </conditionalFormatting>
  <conditionalFormatting sqref="C55">
    <cfRule type="cellIs" dxfId="152" priority="16" stopIfTrue="1" operator="greaterThan">
      <formula>$C$57*0.1</formula>
    </cfRule>
  </conditionalFormatting>
  <conditionalFormatting sqref="D55">
    <cfRule type="cellIs" dxfId="151" priority="15" stopIfTrue="1" operator="greaterThan">
      <formula>$D$57*0.1</formula>
    </cfRule>
  </conditionalFormatting>
  <conditionalFormatting sqref="E55">
    <cfRule type="cellIs" dxfId="150" priority="14" stopIfTrue="1" operator="greaterThan">
      <formula>$E$57*0.1</formula>
    </cfRule>
  </conditionalFormatting>
  <conditionalFormatting sqref="C28">
    <cfRule type="cellIs" dxfId="149" priority="13" stopIfTrue="1" operator="greaterThan">
      <formula>$C$30*0.1</formula>
    </cfRule>
  </conditionalFormatting>
  <conditionalFormatting sqref="D28">
    <cfRule type="cellIs" dxfId="148" priority="12" stopIfTrue="1" operator="greaterThan">
      <formula>$D$30*0.1</formula>
    </cfRule>
  </conditionalFormatting>
  <conditionalFormatting sqref="E28">
    <cfRule type="cellIs" dxfId="147" priority="11" stopIfTrue="1" operator="greaterThan">
      <formula>$E$30*0.1</formula>
    </cfRule>
  </conditionalFormatting>
  <conditionalFormatting sqref="C14">
    <cfRule type="cellIs" dxfId="146" priority="10" stopIfTrue="1" operator="greaterThan">
      <formula>$C$16*0.1</formula>
    </cfRule>
  </conditionalFormatting>
  <conditionalFormatting sqref="D14">
    <cfRule type="cellIs" dxfId="145" priority="9" stopIfTrue="1" operator="greaterThan">
      <formula>$D$16*0.1</formula>
    </cfRule>
  </conditionalFormatting>
  <conditionalFormatting sqref="E14">
    <cfRule type="cellIs" dxfId="144" priority="8" stopIfTrue="1" operator="greaterThan">
      <formula>$E$16*0.1</formula>
    </cfRule>
  </conditionalFormatting>
  <conditionalFormatting sqref="E31 C31 E58 C58">
    <cfRule type="cellIs" dxfId="143" priority="7" stopIfTrue="1" operator="lessThan">
      <formula>0</formula>
    </cfRule>
  </conditionalFormatting>
  <conditionalFormatting sqref="C30">
    <cfRule type="cellIs" dxfId="142" priority="6" stopIfTrue="1" operator="greaterThan">
      <formula>$C$32</formula>
    </cfRule>
  </conditionalFormatting>
  <conditionalFormatting sqref="D30">
    <cfRule type="cellIs" dxfId="141" priority="5" stopIfTrue="1" operator="greaterThan">
      <formula>$D$32</formula>
    </cfRule>
  </conditionalFormatting>
  <conditionalFormatting sqref="C57">
    <cfRule type="cellIs" dxfId="140" priority="4" stopIfTrue="1" operator="greaterThan">
      <formula>$C$59</formula>
    </cfRule>
  </conditionalFormatting>
  <conditionalFormatting sqref="D57">
    <cfRule type="cellIs" dxfId="139" priority="3" stopIfTrue="1" operator="greaterThan">
      <formula>$D$59</formula>
    </cfRule>
  </conditionalFormatting>
  <conditionalFormatting sqref="D58">
    <cfRule type="cellIs" dxfId="138" priority="2" stopIfTrue="1" operator="lessThan">
      <formula>0</formula>
    </cfRule>
  </conditionalFormatting>
  <conditionalFormatting sqref="D31">
    <cfRule type="cellIs" dxfId="137" priority="1" stopIfTrue="1" operator="lessThan">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B1:E57"/>
  <sheetViews>
    <sheetView topLeftCell="A39" workbookViewId="0">
      <selection activeCell="B50" sqref="B50"/>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inputPrYr!B43</f>
        <v>Spec. Rev. Special Parks &amp; Recreation</v>
      </c>
      <c r="C5" s="440" t="str">
        <f>CONCATENATE("Actual for ",E1-2,"")</f>
        <v>Actual for 2012</v>
      </c>
      <c r="D5" s="440" t="str">
        <f>CONCATENATE("Estimate for ",E1-1,"")</f>
        <v>Estimate for 2013</v>
      </c>
      <c r="E5" s="268" t="str">
        <f>CONCATENATE("Year for ",E1,"")</f>
        <v>Year for 2014</v>
      </c>
    </row>
    <row r="6" spans="2:5">
      <c r="B6" s="360" t="s">
        <v>57</v>
      </c>
      <c r="C6" s="106">
        <v>126673</v>
      </c>
      <c r="D6" s="346">
        <f>C23</f>
        <v>112844</v>
      </c>
      <c r="E6" s="346">
        <f>D23</f>
        <v>57444</v>
      </c>
    </row>
    <row r="7" spans="2:5" s="80" customFormat="1">
      <c r="B7" s="361" t="s">
        <v>59</v>
      </c>
      <c r="C7" s="124"/>
      <c r="D7" s="124"/>
      <c r="E7" s="124"/>
    </row>
    <row r="8" spans="2:5">
      <c r="B8" s="348" t="s">
        <v>1059</v>
      </c>
      <c r="C8" s="106">
        <v>50560</v>
      </c>
      <c r="D8" s="106">
        <v>45000</v>
      </c>
      <c r="E8" s="106">
        <v>45000</v>
      </c>
    </row>
    <row r="9" spans="2:5">
      <c r="B9" s="348" t="s">
        <v>1057</v>
      </c>
      <c r="C9" s="106">
        <v>0</v>
      </c>
      <c r="D9" s="106">
        <v>4700</v>
      </c>
      <c r="E9" s="106">
        <v>0</v>
      </c>
    </row>
    <row r="10" spans="2:5">
      <c r="B10" s="348" t="s">
        <v>331</v>
      </c>
      <c r="C10" s="106">
        <v>363</v>
      </c>
      <c r="D10" s="106">
        <v>300</v>
      </c>
      <c r="E10" s="106">
        <v>300</v>
      </c>
    </row>
    <row r="11" spans="2:5">
      <c r="B11" s="362" t="s">
        <v>260</v>
      </c>
      <c r="C11" s="106"/>
      <c r="D11" s="106"/>
      <c r="E11" s="106"/>
    </row>
    <row r="12" spans="2:5">
      <c r="B12" s="352" t="s">
        <v>182</v>
      </c>
      <c r="C12" s="106"/>
      <c r="D12" s="345"/>
      <c r="E12" s="345"/>
    </row>
    <row r="13" spans="2:5">
      <c r="B13" s="352" t="s">
        <v>668</v>
      </c>
      <c r="C13" s="548" t="str">
        <f>IF(C14*0.1&lt;C12,"Exceed 10% Rule","")</f>
        <v/>
      </c>
      <c r="D13" s="353" t="str">
        <f>IF(D14*0.1&lt;D12,"Exceed 10% Rule","")</f>
        <v/>
      </c>
      <c r="E13" s="353" t="str">
        <f>IF(E14*0.1&lt;E12,"Exceed 10% Rule","")</f>
        <v/>
      </c>
    </row>
    <row r="14" spans="2:5">
      <c r="B14" s="354" t="s">
        <v>288</v>
      </c>
      <c r="C14" s="356">
        <f>SUM(C8:C12)</f>
        <v>50923</v>
      </c>
      <c r="D14" s="356">
        <f>SUM(D8:D12)</f>
        <v>50000</v>
      </c>
      <c r="E14" s="356">
        <f>SUM(E8:E12)</f>
        <v>45300</v>
      </c>
    </row>
    <row r="15" spans="2:5">
      <c r="B15" s="354" t="s">
        <v>289</v>
      </c>
      <c r="C15" s="356">
        <f>C6+C14</f>
        <v>177596</v>
      </c>
      <c r="D15" s="356">
        <f>D6+D14</f>
        <v>162844</v>
      </c>
      <c r="E15" s="356">
        <f>E6+E14</f>
        <v>102744</v>
      </c>
    </row>
    <row r="16" spans="2:5">
      <c r="B16" s="167" t="s">
        <v>291</v>
      </c>
      <c r="C16" s="346"/>
      <c r="D16" s="346"/>
      <c r="E16" s="346"/>
    </row>
    <row r="17" spans="2:5">
      <c r="B17" s="348" t="s">
        <v>1058</v>
      </c>
      <c r="C17" s="106">
        <v>7095</v>
      </c>
      <c r="D17" s="106">
        <v>86500</v>
      </c>
      <c r="E17" s="106">
        <v>39142</v>
      </c>
    </row>
    <row r="18" spans="2:5">
      <c r="B18" s="348" t="s">
        <v>1060</v>
      </c>
      <c r="C18" s="106">
        <v>57657</v>
      </c>
      <c r="D18" s="106">
        <v>18900</v>
      </c>
      <c r="E18" s="106">
        <v>21200</v>
      </c>
    </row>
    <row r="19" spans="2:5">
      <c r="B19" s="348"/>
      <c r="C19" s="106"/>
      <c r="D19" s="106"/>
      <c r="E19" s="106"/>
    </row>
    <row r="20" spans="2:5">
      <c r="B20" s="352" t="s">
        <v>182</v>
      </c>
      <c r="C20" s="106"/>
      <c r="D20" s="345"/>
      <c r="E20" s="345"/>
    </row>
    <row r="21" spans="2:5">
      <c r="B21" s="352" t="s">
        <v>667</v>
      </c>
      <c r="C21" s="548" t="str">
        <f>IF(C22*0.1&lt;C20,"Exceed 10% Rule","")</f>
        <v/>
      </c>
      <c r="D21" s="353" t="str">
        <f>IF(D22*0.1&lt;D20,"Exceed 10% Rule","")</f>
        <v/>
      </c>
      <c r="E21" s="353" t="str">
        <f>IF(E22*0.1&lt;E20,"Exceed 10% Rule","")</f>
        <v/>
      </c>
    </row>
    <row r="22" spans="2:5">
      <c r="B22" s="354" t="s">
        <v>295</v>
      </c>
      <c r="C22" s="356">
        <f>SUM(C17:C20)</f>
        <v>64752</v>
      </c>
      <c r="D22" s="356">
        <f>SUM(D17:D20)</f>
        <v>105400</v>
      </c>
      <c r="E22" s="356">
        <f>SUM(E17:E20)</f>
        <v>60342</v>
      </c>
    </row>
    <row r="23" spans="2:5">
      <c r="B23" s="167" t="s">
        <v>58</v>
      </c>
      <c r="C23" s="119">
        <f>C15-C22</f>
        <v>112844</v>
      </c>
      <c r="D23" s="119">
        <f>D15-D22</f>
        <v>57444</v>
      </c>
      <c r="E23" s="119">
        <f>E15-E22</f>
        <v>42402</v>
      </c>
    </row>
    <row r="24" spans="2:5">
      <c r="B24" s="797" t="str">
        <f>CONCATENATE("",E1-2,"/",E1-1," Budget Authority Amount:")</f>
        <v>2012/2013 Budget Authority Amount:</v>
      </c>
      <c r="C24" s="303">
        <f>inputOth!B90</f>
        <v>65100</v>
      </c>
      <c r="D24" s="303">
        <f>inputPrYr!D43</f>
        <v>105400</v>
      </c>
      <c r="E24" s="547" t="str">
        <f>IF(E23&lt;0,"See Tab E","")</f>
        <v/>
      </c>
    </row>
    <row r="25" spans="2:5">
      <c r="B25" s="797"/>
      <c r="C25" s="358" t="str">
        <f>IF(C22&gt;C24,"See Tab A","")</f>
        <v/>
      </c>
      <c r="D25" s="358" t="str">
        <f>IF(D22&gt;D24,"See Tab C","")</f>
        <v/>
      </c>
      <c r="E25" s="136"/>
    </row>
    <row r="26" spans="2:5">
      <c r="B26" s="797"/>
      <c r="C26" s="358" t="str">
        <f>IF(C23&lt;0,"See Tab B","")</f>
        <v/>
      </c>
      <c r="D26" s="358" t="str">
        <f>IF(D23&lt;0,"See Tab D","")</f>
        <v/>
      </c>
      <c r="E26" s="136"/>
    </row>
    <row r="27" spans="2:5">
      <c r="B27" s="84"/>
      <c r="C27" s="136"/>
      <c r="D27" s="136"/>
      <c r="E27" s="136"/>
    </row>
    <row r="28" spans="2:5">
      <c r="B28" s="91"/>
      <c r="C28" s="363"/>
      <c r="D28" s="363"/>
      <c r="E28" s="363"/>
    </row>
    <row r="29" spans="2:5">
      <c r="B29" s="91" t="s">
        <v>282</v>
      </c>
      <c r="C29" s="293" t="s">
        <v>806</v>
      </c>
      <c r="D29" s="204" t="s">
        <v>809</v>
      </c>
      <c r="E29" s="204" t="s">
        <v>808</v>
      </c>
    </row>
    <row r="30" spans="2:5">
      <c r="B30" s="561" t="str">
        <f>inputPrYr!B44</f>
        <v>Spec. Rev. Street Projects</v>
      </c>
      <c r="C30" s="359" t="str">
        <f>C5</f>
        <v>Actual for 2012</v>
      </c>
      <c r="D30" s="359" t="str">
        <f>D5</f>
        <v>Estimate for 2013</v>
      </c>
      <c r="E30" s="359" t="str">
        <f>E5</f>
        <v>Year for 2014</v>
      </c>
    </row>
    <row r="31" spans="2:5">
      <c r="B31" s="360" t="s">
        <v>57</v>
      </c>
      <c r="C31" s="106">
        <v>171868</v>
      </c>
      <c r="D31" s="346">
        <f>C52</f>
        <v>187185</v>
      </c>
      <c r="E31" s="346">
        <f>D52</f>
        <v>167963</v>
      </c>
    </row>
    <row r="32" spans="2:5" s="80" customFormat="1">
      <c r="B32" s="361" t="s">
        <v>59</v>
      </c>
      <c r="C32" s="124"/>
      <c r="D32" s="124"/>
      <c r="E32" s="124"/>
    </row>
    <row r="33" spans="2:5">
      <c r="B33" s="348" t="s">
        <v>1163</v>
      </c>
      <c r="C33" s="106">
        <v>189902</v>
      </c>
      <c r="D33" s="106">
        <v>184000</v>
      </c>
      <c r="E33" s="106">
        <v>184000</v>
      </c>
    </row>
    <row r="34" spans="2:5">
      <c r="B34" s="348" t="s">
        <v>1164</v>
      </c>
      <c r="C34" s="106">
        <v>139614</v>
      </c>
      <c r="D34" s="106">
        <v>110000</v>
      </c>
      <c r="E34" s="106">
        <v>110000</v>
      </c>
    </row>
    <row r="35" spans="2:5">
      <c r="B35" s="348" t="s">
        <v>1165</v>
      </c>
      <c r="C35" s="106">
        <v>14872</v>
      </c>
      <c r="D35" s="106">
        <v>14862</v>
      </c>
      <c r="E35" s="106">
        <v>14862</v>
      </c>
    </row>
    <row r="36" spans="2:5">
      <c r="B36" s="348" t="s">
        <v>331</v>
      </c>
      <c r="C36" s="106">
        <v>644</v>
      </c>
      <c r="D36" s="106">
        <v>400</v>
      </c>
      <c r="E36" s="106">
        <v>400</v>
      </c>
    </row>
    <row r="37" spans="2:5">
      <c r="B37" s="348" t="s">
        <v>1166</v>
      </c>
      <c r="C37" s="106">
        <v>0</v>
      </c>
      <c r="D37" s="106">
        <v>0</v>
      </c>
      <c r="E37" s="106">
        <v>1315</v>
      </c>
    </row>
    <row r="38" spans="2:5">
      <c r="B38" s="362" t="s">
        <v>1130</v>
      </c>
      <c r="C38" s="106">
        <v>276922</v>
      </c>
      <c r="D38" s="106">
        <v>250428</v>
      </c>
      <c r="E38" s="106">
        <v>208928</v>
      </c>
    </row>
    <row r="39" spans="2:5">
      <c r="B39" s="352" t="s">
        <v>182</v>
      </c>
      <c r="C39" s="106"/>
      <c r="D39" s="345"/>
      <c r="E39" s="345"/>
    </row>
    <row r="40" spans="2:5">
      <c r="B40" s="352" t="s">
        <v>668</v>
      </c>
      <c r="C40" s="548" t="str">
        <f>IF(C41*0.1&lt;C39,"Exceed 10% Rule","")</f>
        <v/>
      </c>
      <c r="D40" s="353" t="str">
        <f>IF(D41*0.1&lt;D39,"Exceed 10% Rule","")</f>
        <v/>
      </c>
      <c r="E40" s="353" t="str">
        <f>IF(E41*0.1&lt;E39,"Exceed 10% Rule","")</f>
        <v/>
      </c>
    </row>
    <row r="41" spans="2:5">
      <c r="B41" s="354" t="s">
        <v>288</v>
      </c>
      <c r="C41" s="356">
        <f>SUM(C33:C39)</f>
        <v>621954</v>
      </c>
      <c r="D41" s="356">
        <f>SUM(D33:D39)</f>
        <v>559690</v>
      </c>
      <c r="E41" s="356">
        <f>SUM(E33:E39)</f>
        <v>519505</v>
      </c>
    </row>
    <row r="42" spans="2:5">
      <c r="B42" s="354" t="s">
        <v>289</v>
      </c>
      <c r="C42" s="356">
        <f>C31+C41</f>
        <v>793822</v>
      </c>
      <c r="D42" s="356">
        <f>D31+D41</f>
        <v>746875</v>
      </c>
      <c r="E42" s="356">
        <f>E31+E41</f>
        <v>687468</v>
      </c>
    </row>
    <row r="43" spans="2:5">
      <c r="B43" s="167" t="s">
        <v>291</v>
      </c>
      <c r="C43" s="346"/>
      <c r="D43" s="346"/>
      <c r="E43" s="346"/>
    </row>
    <row r="44" spans="2:5">
      <c r="B44" s="348" t="s">
        <v>1071</v>
      </c>
      <c r="C44" s="106">
        <v>563288</v>
      </c>
      <c r="D44" s="106">
        <v>578912</v>
      </c>
      <c r="E44" s="106">
        <v>539100</v>
      </c>
    </row>
    <row r="45" spans="2:5">
      <c r="B45" s="348" t="s">
        <v>1063</v>
      </c>
      <c r="C45" s="106">
        <v>0</v>
      </c>
      <c r="D45" s="106">
        <v>0</v>
      </c>
      <c r="E45" s="106">
        <v>0</v>
      </c>
    </row>
    <row r="46" spans="2:5">
      <c r="B46" s="348" t="s">
        <v>1167</v>
      </c>
      <c r="C46" s="106">
        <v>43349</v>
      </c>
      <c r="D46" s="106">
        <v>0</v>
      </c>
      <c r="E46" s="106">
        <v>0</v>
      </c>
    </row>
    <row r="47" spans="2:5">
      <c r="B47" s="348" t="s">
        <v>260</v>
      </c>
      <c r="C47" s="106"/>
      <c r="D47" s="106"/>
      <c r="E47" s="106"/>
    </row>
    <row r="48" spans="2:5">
      <c r="B48" s="348"/>
      <c r="C48" s="106"/>
      <c r="D48" s="106"/>
      <c r="E48" s="106"/>
    </row>
    <row r="49" spans="2:5">
      <c r="B49" s="352" t="s">
        <v>182</v>
      </c>
      <c r="C49" s="106"/>
      <c r="D49" s="345"/>
      <c r="E49" s="345"/>
    </row>
    <row r="50" spans="2:5">
      <c r="B50" s="352" t="s">
        <v>667</v>
      </c>
      <c r="C50" s="548" t="str">
        <f>IF(C51*0.1&lt;C49,"Exceed 10% Rule","")</f>
        <v/>
      </c>
      <c r="D50" s="353" t="str">
        <f>IF(D51*0.1&lt;D49,"Exceed 10% Rule","")</f>
        <v/>
      </c>
      <c r="E50" s="353" t="str">
        <f>IF(E51*0.1&lt;E49,"Exceed 10% Rule","")</f>
        <v/>
      </c>
    </row>
    <row r="51" spans="2:5">
      <c r="B51" s="354" t="s">
        <v>295</v>
      </c>
      <c r="C51" s="356">
        <f>SUM(C44:C49)</f>
        <v>606637</v>
      </c>
      <c r="D51" s="356">
        <f>SUM(D44:D49)</f>
        <v>578912</v>
      </c>
      <c r="E51" s="356">
        <f>SUM(E44:E49)</f>
        <v>539100</v>
      </c>
    </row>
    <row r="52" spans="2:5">
      <c r="B52" s="167" t="s">
        <v>58</v>
      </c>
      <c r="C52" s="119">
        <f>C42-C51</f>
        <v>187185</v>
      </c>
      <c r="D52" s="119">
        <f>D42-D51</f>
        <v>167963</v>
      </c>
      <c r="E52" s="119">
        <f>E42-E51</f>
        <v>148368</v>
      </c>
    </row>
    <row r="53" spans="2:5">
      <c r="B53" s="797" t="str">
        <f>CONCATENATE("",E1-2,"/",E1-1," Budget Authority Amount:")</f>
        <v>2012/2013 Budget Authority Amount:</v>
      </c>
      <c r="C53" s="303">
        <f>inputOth!B91</f>
        <v>622600</v>
      </c>
      <c r="D53" s="303">
        <f>inputPrYr!D44</f>
        <v>578912</v>
      </c>
      <c r="E53" s="547" t="str">
        <f>IF(E52&lt;0,"See Tab E","")</f>
        <v/>
      </c>
    </row>
    <row r="54" spans="2:5">
      <c r="B54" s="797"/>
      <c r="C54" s="358" t="str">
        <f>IF(C51&gt;C53,"See Tab A","")</f>
        <v/>
      </c>
      <c r="D54" s="358" t="str">
        <f>IF(D51&gt;D53,"See Tab C","")</f>
        <v/>
      </c>
      <c r="E54" s="84"/>
    </row>
    <row r="55" spans="2:5">
      <c r="B55" s="797"/>
      <c r="C55" s="358" t="str">
        <f>IF(C52&lt;0,"See Tab B","")</f>
        <v/>
      </c>
      <c r="D55" s="358" t="str">
        <f>IF(D52&lt;0,"See Tab D","")</f>
        <v/>
      </c>
      <c r="E55" s="84"/>
    </row>
    <row r="56" spans="2:5">
      <c r="B56" s="84"/>
      <c r="C56" s="84"/>
      <c r="D56" s="84"/>
      <c r="E56" s="84"/>
    </row>
    <row r="57" spans="2:5">
      <c r="B57" s="797" t="s">
        <v>298</v>
      </c>
      <c r="C57" s="297">
        <v>18</v>
      </c>
      <c r="D57" s="84"/>
      <c r="E57" s="84"/>
    </row>
  </sheetData>
  <conditionalFormatting sqref="C39">
    <cfRule type="cellIs" dxfId="136" priority="19" stopIfTrue="1" operator="greaterThan">
      <formula>$C$41*0.1</formula>
    </cfRule>
  </conditionalFormatting>
  <conditionalFormatting sqref="D39">
    <cfRule type="cellIs" dxfId="135" priority="18" stopIfTrue="1" operator="greaterThan">
      <formula>$D$41*0.1</formula>
    </cfRule>
  </conditionalFormatting>
  <conditionalFormatting sqref="E39">
    <cfRule type="cellIs" dxfId="134" priority="17" stopIfTrue="1" operator="greaterThan">
      <formula>$E$41*0.1</formula>
    </cfRule>
  </conditionalFormatting>
  <conditionalFormatting sqref="C49">
    <cfRule type="cellIs" dxfId="133" priority="16" stopIfTrue="1" operator="greaterThan">
      <formula>$C$51*0.1</formula>
    </cfRule>
  </conditionalFormatting>
  <conditionalFormatting sqref="D49">
    <cfRule type="cellIs" dxfId="132" priority="15" stopIfTrue="1" operator="greaterThan">
      <formula>$D$51*0.1</formula>
    </cfRule>
  </conditionalFormatting>
  <conditionalFormatting sqref="E49">
    <cfRule type="cellIs" dxfId="131" priority="14" stopIfTrue="1" operator="greaterThan">
      <formula>$E$51*0.1</formula>
    </cfRule>
  </conditionalFormatting>
  <conditionalFormatting sqref="C20">
    <cfRule type="cellIs" dxfId="130" priority="13" stopIfTrue="1" operator="greaterThan">
      <formula>$C$22*0.1</formula>
    </cfRule>
  </conditionalFormatting>
  <conditionalFormatting sqref="D20">
    <cfRule type="cellIs" dxfId="129" priority="12" stopIfTrue="1" operator="greaterThan">
      <formula>$D$22*0.1</formula>
    </cfRule>
  </conditionalFormatting>
  <conditionalFormatting sqref="E20">
    <cfRule type="cellIs" dxfId="128" priority="11" stopIfTrue="1" operator="greaterThan">
      <formula>$E$22*0.1</formula>
    </cfRule>
  </conditionalFormatting>
  <conditionalFormatting sqref="C12">
    <cfRule type="cellIs" dxfId="127" priority="10" stopIfTrue="1" operator="greaterThan">
      <formula>$C$14*0.1</formula>
    </cfRule>
  </conditionalFormatting>
  <conditionalFormatting sqref="D12">
    <cfRule type="cellIs" dxfId="126" priority="9" stopIfTrue="1" operator="greaterThan">
      <formula>$D$14*0.1</formula>
    </cfRule>
  </conditionalFormatting>
  <conditionalFormatting sqref="E12">
    <cfRule type="cellIs" dxfId="125" priority="8" stopIfTrue="1" operator="greaterThan">
      <formula>$E$14*0.1</formula>
    </cfRule>
  </conditionalFormatting>
  <conditionalFormatting sqref="E23 C23 E52 C52">
    <cfRule type="cellIs" dxfId="124" priority="7" stopIfTrue="1" operator="lessThan">
      <formula>0</formula>
    </cfRule>
  </conditionalFormatting>
  <conditionalFormatting sqref="C22">
    <cfRule type="cellIs" dxfId="123" priority="6" stopIfTrue="1" operator="greaterThan">
      <formula>$C$24</formula>
    </cfRule>
  </conditionalFormatting>
  <conditionalFormatting sqref="D22">
    <cfRule type="cellIs" dxfId="122" priority="5" stopIfTrue="1" operator="greaterThan">
      <formula>$D$24</formula>
    </cfRule>
  </conditionalFormatting>
  <conditionalFormatting sqref="C51">
    <cfRule type="cellIs" dxfId="121" priority="4" stopIfTrue="1" operator="greaterThan">
      <formula>$C$53</formula>
    </cfRule>
  </conditionalFormatting>
  <conditionalFormatting sqref="D51">
    <cfRule type="cellIs" dxfId="120" priority="3" stopIfTrue="1" operator="greaterThan">
      <formula>$D$53</formula>
    </cfRule>
  </conditionalFormatting>
  <conditionalFormatting sqref="D52">
    <cfRule type="cellIs" dxfId="119" priority="2" stopIfTrue="1" operator="lessThan">
      <formula>0</formula>
    </cfRule>
  </conditionalFormatting>
  <conditionalFormatting sqref="D23">
    <cfRule type="cellIs" dxfId="118" priority="1" stopIfTrue="1" operator="lessThan">
      <formula>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B1:E64"/>
  <sheetViews>
    <sheetView topLeftCell="A43" workbookViewId="0">
      <selection activeCell="B22" sqref="B22"/>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inputPrYr!B45</f>
        <v>Spec. Rev. Summer Ball</v>
      </c>
      <c r="C5" s="440" t="str">
        <f>CONCATENATE("Actual for ",E1-2,"")</f>
        <v>Actual for 2012</v>
      </c>
      <c r="D5" s="440" t="str">
        <f>CONCATENATE("Estimate for ",E1-1,"")</f>
        <v>Estimate for 2013</v>
      </c>
      <c r="E5" s="268" t="str">
        <f>CONCATENATE("Year for ",E1,"")</f>
        <v>Year for 2014</v>
      </c>
    </row>
    <row r="6" spans="2:5">
      <c r="B6" s="360" t="s">
        <v>57</v>
      </c>
      <c r="C6" s="106">
        <v>17346</v>
      </c>
      <c r="D6" s="346">
        <f>C24</f>
        <v>25799</v>
      </c>
      <c r="E6" s="346">
        <f>D24</f>
        <v>11329</v>
      </c>
    </row>
    <row r="7" spans="2:5" s="80" customFormat="1">
      <c r="B7" s="361" t="s">
        <v>59</v>
      </c>
      <c r="C7" s="124"/>
      <c r="D7" s="124"/>
      <c r="E7" s="124"/>
    </row>
    <row r="8" spans="2:5">
      <c r="B8" s="348" t="s">
        <v>1067</v>
      </c>
      <c r="C8" s="106">
        <v>24182</v>
      </c>
      <c r="D8" s="106">
        <v>20000</v>
      </c>
      <c r="E8" s="106">
        <v>24000</v>
      </c>
    </row>
    <row r="9" spans="2:5">
      <c r="B9" s="348" t="s">
        <v>1068</v>
      </c>
      <c r="C9" s="106">
        <v>1725</v>
      </c>
      <c r="D9" s="106">
        <v>1500</v>
      </c>
      <c r="E9" s="106">
        <v>5500</v>
      </c>
    </row>
    <row r="10" spans="2:5">
      <c r="B10" s="348" t="s">
        <v>1069</v>
      </c>
      <c r="C10" s="106">
        <v>40</v>
      </c>
      <c r="D10" s="106">
        <v>0</v>
      </c>
      <c r="E10" s="106">
        <v>0</v>
      </c>
    </row>
    <row r="11" spans="2:5">
      <c r="B11" s="348" t="s">
        <v>1070</v>
      </c>
      <c r="C11" s="106">
        <v>6267</v>
      </c>
      <c r="D11" s="106">
        <v>6300</v>
      </c>
      <c r="E11" s="106">
        <v>5900</v>
      </c>
    </row>
    <row r="12" spans="2:5">
      <c r="B12" s="352" t="s">
        <v>182</v>
      </c>
      <c r="C12" s="106"/>
      <c r="D12" s="345"/>
      <c r="E12" s="345"/>
    </row>
    <row r="13" spans="2:5">
      <c r="B13" s="352" t="s">
        <v>668</v>
      </c>
      <c r="C13" s="548" t="str">
        <f>IF(C14*0.1&lt;C12,"Exceed 10% Rule","")</f>
        <v/>
      </c>
      <c r="D13" s="353" t="str">
        <f>IF(D14*0.1&lt;D12,"Exceed 10% Rule","")</f>
        <v/>
      </c>
      <c r="E13" s="353" t="str">
        <f>IF(E14*0.1&lt;E12,"Exceed 10% Rule","")</f>
        <v/>
      </c>
    </row>
    <row r="14" spans="2:5">
      <c r="B14" s="354" t="s">
        <v>288</v>
      </c>
      <c r="C14" s="356">
        <f>SUM(C8:C12)</f>
        <v>32214</v>
      </c>
      <c r="D14" s="356">
        <f>SUM(D8:D12)</f>
        <v>27800</v>
      </c>
      <c r="E14" s="356">
        <f>SUM(E8:E12)</f>
        <v>35400</v>
      </c>
    </row>
    <row r="15" spans="2:5">
      <c r="B15" s="354" t="s">
        <v>289</v>
      </c>
      <c r="C15" s="356">
        <f>C6+C14</f>
        <v>49560</v>
      </c>
      <c r="D15" s="356">
        <f>D6+D14</f>
        <v>53599</v>
      </c>
      <c r="E15" s="356">
        <f>E6+E14</f>
        <v>46729</v>
      </c>
    </row>
    <row r="16" spans="2:5">
      <c r="B16" s="167" t="s">
        <v>291</v>
      </c>
      <c r="C16" s="346"/>
      <c r="D16" s="346"/>
      <c r="E16" s="346"/>
    </row>
    <row r="17" spans="2:5">
      <c r="B17" s="348" t="s">
        <v>1062</v>
      </c>
      <c r="C17" s="106">
        <v>6421</v>
      </c>
      <c r="D17" s="106">
        <v>6370</v>
      </c>
      <c r="E17" s="106">
        <v>6500</v>
      </c>
    </row>
    <row r="18" spans="2:5">
      <c r="B18" s="348" t="s">
        <v>1071</v>
      </c>
      <c r="C18" s="106">
        <v>5843</v>
      </c>
      <c r="D18" s="106">
        <v>8750</v>
      </c>
      <c r="E18" s="106">
        <v>11800</v>
      </c>
    </row>
    <row r="19" spans="2:5">
      <c r="B19" s="348" t="s">
        <v>1063</v>
      </c>
      <c r="C19" s="106">
        <v>9997</v>
      </c>
      <c r="D19" s="106">
        <v>12350</v>
      </c>
      <c r="E19" s="106">
        <v>11950</v>
      </c>
    </row>
    <row r="20" spans="2:5">
      <c r="B20" s="348" t="s">
        <v>1064</v>
      </c>
      <c r="C20" s="106">
        <v>1500</v>
      </c>
      <c r="D20" s="106">
        <v>14800</v>
      </c>
      <c r="E20" s="106">
        <v>16000</v>
      </c>
    </row>
    <row r="21" spans="2:5">
      <c r="B21" s="352" t="s">
        <v>182</v>
      </c>
      <c r="C21" s="106"/>
      <c r="D21" s="345"/>
      <c r="E21" s="345"/>
    </row>
    <row r="22" spans="2:5">
      <c r="B22" s="352" t="s">
        <v>667</v>
      </c>
      <c r="C22" s="548" t="str">
        <f>IF(C23*0.1&lt;C21,"Exceed 10% Rule","")</f>
        <v/>
      </c>
      <c r="D22" s="353" t="str">
        <f>IF(D23*0.1&lt;D21,"Exceed 10% Rule","")</f>
        <v/>
      </c>
      <c r="E22" s="353" t="str">
        <f>IF(E23*0.1&lt;E21,"Exceed 10% Rule","")</f>
        <v/>
      </c>
    </row>
    <row r="23" spans="2:5">
      <c r="B23" s="354" t="s">
        <v>295</v>
      </c>
      <c r="C23" s="356">
        <f>SUM(C17:C21)</f>
        <v>23761</v>
      </c>
      <c r="D23" s="356">
        <f>SUM(D17:D21)</f>
        <v>42270</v>
      </c>
      <c r="E23" s="356">
        <f>SUM(E17:E21)</f>
        <v>46250</v>
      </c>
    </row>
    <row r="24" spans="2:5">
      <c r="B24" s="167" t="s">
        <v>58</v>
      </c>
      <c r="C24" s="119">
        <f>C15-C23</f>
        <v>25799</v>
      </c>
      <c r="D24" s="119">
        <f>D15-D23</f>
        <v>11329</v>
      </c>
      <c r="E24" s="119">
        <f>E15-E23</f>
        <v>479</v>
      </c>
    </row>
    <row r="25" spans="2:5">
      <c r="B25" s="797" t="str">
        <f>CONCATENATE("",E1-2,"/",E1-1," Budget Authority Amount:")</f>
        <v>2012/2013 Budget Authority Amount:</v>
      </c>
      <c r="C25" s="303">
        <f>inputOth!B92</f>
        <v>31855</v>
      </c>
      <c r="D25" s="303">
        <f>inputPrYr!D45</f>
        <v>42270</v>
      </c>
      <c r="E25" s="547" t="str">
        <f>IF(E24&lt;0,"See Tab E","")</f>
        <v/>
      </c>
    </row>
    <row r="26" spans="2:5">
      <c r="B26" s="91"/>
      <c r="C26" s="363"/>
      <c r="D26" s="363"/>
      <c r="E26" s="363"/>
    </row>
    <row r="27" spans="2:5">
      <c r="B27" s="91" t="s">
        <v>282</v>
      </c>
      <c r="C27" s="293" t="s">
        <v>806</v>
      </c>
      <c r="D27" s="204" t="s">
        <v>809</v>
      </c>
      <c r="E27" s="204" t="s">
        <v>808</v>
      </c>
    </row>
    <row r="28" spans="2:5">
      <c r="B28" s="561" t="str">
        <f>inputPrYr!B46</f>
        <v>Spec. Rev. Swimming Pool</v>
      </c>
      <c r="C28" s="359" t="str">
        <f>C5</f>
        <v>Actual for 2012</v>
      </c>
      <c r="D28" s="359" t="str">
        <f>D5</f>
        <v>Estimate for 2013</v>
      </c>
      <c r="E28" s="359" t="str">
        <f>E5</f>
        <v>Year for 2014</v>
      </c>
    </row>
    <row r="29" spans="2:5">
      <c r="B29" s="360" t="s">
        <v>57</v>
      </c>
      <c r="C29" s="106">
        <v>0</v>
      </c>
      <c r="D29" s="346">
        <f>C59</f>
        <v>0</v>
      </c>
      <c r="E29" s="346">
        <f>D59</f>
        <v>0</v>
      </c>
    </row>
    <row r="30" spans="2:5" s="80" customFormat="1">
      <c r="B30" s="361" t="s">
        <v>59</v>
      </c>
      <c r="C30" s="124"/>
      <c r="D30" s="124"/>
      <c r="E30" s="124"/>
    </row>
    <row r="31" spans="2:5">
      <c r="B31" s="348" t="s">
        <v>1087</v>
      </c>
      <c r="C31" s="106">
        <v>4681</v>
      </c>
      <c r="D31" s="106">
        <v>18900</v>
      </c>
      <c r="E31" s="106">
        <v>21200</v>
      </c>
    </row>
    <row r="32" spans="2:5">
      <c r="B32" s="348" t="s">
        <v>1088</v>
      </c>
      <c r="C32" s="106">
        <v>112441</v>
      </c>
      <c r="D32" s="106">
        <v>68345</v>
      </c>
      <c r="E32" s="106">
        <v>78124</v>
      </c>
    </row>
    <row r="33" spans="2:5">
      <c r="B33" s="348" t="s">
        <v>1076</v>
      </c>
      <c r="C33" s="106">
        <v>51443</v>
      </c>
      <c r="D33" s="106">
        <v>60000</v>
      </c>
      <c r="E33" s="106">
        <v>60000</v>
      </c>
    </row>
    <row r="34" spans="2:5">
      <c r="B34" s="348" t="s">
        <v>1077</v>
      </c>
      <c r="C34" s="106">
        <v>40282</v>
      </c>
      <c r="D34" s="106">
        <v>50000</v>
      </c>
      <c r="E34" s="106">
        <v>50000</v>
      </c>
    </row>
    <row r="35" spans="2:5">
      <c r="B35" s="348" t="s">
        <v>1078</v>
      </c>
      <c r="C35" s="106">
        <v>2575</v>
      </c>
      <c r="D35" s="106">
        <v>3000</v>
      </c>
      <c r="E35" s="106">
        <v>3000</v>
      </c>
    </row>
    <row r="36" spans="2:5">
      <c r="B36" s="348" t="s">
        <v>1079</v>
      </c>
      <c r="C36" s="106">
        <v>250</v>
      </c>
      <c r="D36" s="106">
        <v>0</v>
      </c>
      <c r="E36" s="106">
        <v>0</v>
      </c>
    </row>
    <row r="37" spans="2:5">
      <c r="B37" s="348" t="s">
        <v>1080</v>
      </c>
      <c r="C37" s="106">
        <v>0</v>
      </c>
      <c r="D37" s="345">
        <v>0</v>
      </c>
      <c r="E37" s="345">
        <v>1000</v>
      </c>
    </row>
    <row r="38" spans="2:5">
      <c r="B38" s="362" t="s">
        <v>1081</v>
      </c>
      <c r="C38" s="106">
        <v>10050</v>
      </c>
      <c r="D38" s="345">
        <v>8200</v>
      </c>
      <c r="E38" s="345">
        <v>9000</v>
      </c>
    </row>
    <row r="39" spans="2:5">
      <c r="B39" s="362" t="s">
        <v>1082</v>
      </c>
      <c r="C39" s="106">
        <v>908</v>
      </c>
      <c r="D39" s="345">
        <v>500</v>
      </c>
      <c r="E39" s="345">
        <v>500</v>
      </c>
    </row>
    <row r="40" spans="2:5">
      <c r="B40" s="362" t="s">
        <v>1083</v>
      </c>
      <c r="C40" s="106">
        <v>2160</v>
      </c>
      <c r="D40" s="345">
        <v>2500</v>
      </c>
      <c r="E40" s="345">
        <v>4000</v>
      </c>
    </row>
    <row r="41" spans="2:5">
      <c r="B41" s="362" t="s">
        <v>1205</v>
      </c>
      <c r="C41" s="106">
        <v>362</v>
      </c>
      <c r="D41" s="345">
        <v>0</v>
      </c>
      <c r="E41" s="345">
        <v>0</v>
      </c>
    </row>
    <row r="42" spans="2:5">
      <c r="B42" s="362" t="s">
        <v>1084</v>
      </c>
      <c r="C42" s="106">
        <v>920</v>
      </c>
      <c r="D42" s="345">
        <v>0</v>
      </c>
      <c r="E42" s="345">
        <v>900</v>
      </c>
    </row>
    <row r="43" spans="2:5">
      <c r="B43" s="362" t="s">
        <v>1085</v>
      </c>
      <c r="C43" s="106">
        <v>261</v>
      </c>
      <c r="D43" s="345">
        <v>1200</v>
      </c>
      <c r="E43" s="345">
        <v>1200</v>
      </c>
    </row>
    <row r="44" spans="2:5">
      <c r="B44" s="362" t="s">
        <v>1089</v>
      </c>
      <c r="C44" s="106">
        <v>8</v>
      </c>
      <c r="D44" s="345">
        <v>0</v>
      </c>
      <c r="E44" s="345">
        <v>0</v>
      </c>
    </row>
    <row r="45" spans="2:5">
      <c r="B45" s="362" t="s">
        <v>1073</v>
      </c>
      <c r="C45" s="106">
        <v>10</v>
      </c>
      <c r="D45" s="345">
        <v>0</v>
      </c>
      <c r="E45" s="345">
        <v>0</v>
      </c>
    </row>
    <row r="46" spans="2:5">
      <c r="B46" s="362" t="s">
        <v>1086</v>
      </c>
      <c r="C46" s="106">
        <v>27560</v>
      </c>
      <c r="D46" s="345">
        <v>33000</v>
      </c>
      <c r="E46" s="345">
        <v>33000</v>
      </c>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SUM(C31:C47)</f>
        <v>253911</v>
      </c>
      <c r="D49" s="356">
        <f>SUM(D31:D47)</f>
        <v>245645</v>
      </c>
      <c r="E49" s="356">
        <f>SUM(E31:E47)</f>
        <v>261924</v>
      </c>
    </row>
    <row r="50" spans="2:5">
      <c r="B50" s="354" t="s">
        <v>289</v>
      </c>
      <c r="C50" s="356">
        <f>C29+C49</f>
        <v>253911</v>
      </c>
      <c r="D50" s="356">
        <f>D29+D49</f>
        <v>245645</v>
      </c>
      <c r="E50" s="356">
        <f>E29+E49</f>
        <v>261924</v>
      </c>
    </row>
    <row r="51" spans="2:5">
      <c r="B51" s="167" t="s">
        <v>291</v>
      </c>
      <c r="C51" s="346"/>
      <c r="D51" s="346"/>
      <c r="E51" s="346"/>
    </row>
    <row r="52" spans="2:5">
      <c r="B52" s="348" t="s">
        <v>1062</v>
      </c>
      <c r="C52" s="106">
        <v>171689</v>
      </c>
      <c r="D52" s="106">
        <v>148550</v>
      </c>
      <c r="E52" s="106">
        <v>150650</v>
      </c>
    </row>
    <row r="53" spans="2:5">
      <c r="B53" s="348" t="s">
        <v>1071</v>
      </c>
      <c r="C53" s="106">
        <v>41375</v>
      </c>
      <c r="D53" s="106">
        <v>42420</v>
      </c>
      <c r="E53" s="106">
        <v>54224</v>
      </c>
    </row>
    <row r="54" spans="2:5">
      <c r="B54" s="348" t="s">
        <v>1063</v>
      </c>
      <c r="C54" s="106">
        <v>36166</v>
      </c>
      <c r="D54" s="106">
        <v>35775</v>
      </c>
      <c r="E54" s="106">
        <v>35850</v>
      </c>
    </row>
    <row r="55" spans="2:5">
      <c r="B55" s="348" t="s">
        <v>1075</v>
      </c>
      <c r="C55" s="106">
        <v>4681</v>
      </c>
      <c r="D55" s="106">
        <v>18900</v>
      </c>
      <c r="E55" s="106">
        <v>21200</v>
      </c>
    </row>
    <row r="56" spans="2:5">
      <c r="B56" s="352" t="s">
        <v>182</v>
      </c>
      <c r="C56" s="106"/>
      <c r="D56" s="345"/>
      <c r="E56" s="345"/>
    </row>
    <row r="57" spans="2:5">
      <c r="B57" s="352" t="s">
        <v>667</v>
      </c>
      <c r="C57" s="548" t="str">
        <f>IF(C58*0.1&lt;C56,"Exceed 10% Rule","")</f>
        <v/>
      </c>
      <c r="D57" s="353" t="str">
        <f>IF(D58*0.1&lt;D56,"Exceed 10% Rule","")</f>
        <v/>
      </c>
      <c r="E57" s="353" t="str">
        <f>IF(E58*0.1&lt;E56,"Exceed 10% Rule","")</f>
        <v/>
      </c>
    </row>
    <row r="58" spans="2:5">
      <c r="B58" s="354" t="s">
        <v>295</v>
      </c>
      <c r="C58" s="356">
        <f>SUM(C52:C56)</f>
        <v>253911</v>
      </c>
      <c r="D58" s="356">
        <f>SUM(D52:D56)</f>
        <v>245645</v>
      </c>
      <c r="E58" s="356">
        <f>SUM(E52:E56)</f>
        <v>261924</v>
      </c>
    </row>
    <row r="59" spans="2:5">
      <c r="B59" s="167" t="s">
        <v>58</v>
      </c>
      <c r="C59" s="119">
        <f>C50-C58</f>
        <v>0</v>
      </c>
      <c r="D59" s="119">
        <f>D50-D58</f>
        <v>0</v>
      </c>
      <c r="E59" s="119">
        <f>E50-E58</f>
        <v>0</v>
      </c>
    </row>
    <row r="60" spans="2:5">
      <c r="B60" s="797" t="str">
        <f>CONCATENATE("",E1-2,"/",E1-1," Budget Authority Amount:")</f>
        <v>2012/2013 Budget Authority Amount:</v>
      </c>
      <c r="C60" s="303">
        <f>inputOth!B93</f>
        <v>257977</v>
      </c>
      <c r="D60" s="303">
        <f>inputPrYr!D46</f>
        <v>245645</v>
      </c>
      <c r="E60" s="547" t="str">
        <f>IF(E59&lt;0,"See Tab E","")</f>
        <v/>
      </c>
    </row>
    <row r="61" spans="2:5">
      <c r="B61" s="797"/>
      <c r="C61" s="358" t="str">
        <f>IF(C58&gt;C60,"See Tab A","")</f>
        <v/>
      </c>
      <c r="D61" s="358" t="str">
        <f>IF(D58&gt;D60,"See Tab C","")</f>
        <v/>
      </c>
      <c r="E61" s="84"/>
    </row>
    <row r="62" spans="2:5">
      <c r="B62" s="797"/>
      <c r="C62" s="358" t="str">
        <f>IF(C59&lt;0,"See Tab B","")</f>
        <v/>
      </c>
      <c r="D62" s="358" t="str">
        <f>IF(D59&lt;0,"See Tab D","")</f>
        <v/>
      </c>
      <c r="E62" s="84"/>
    </row>
    <row r="63" spans="2:5">
      <c r="B63" s="84"/>
      <c r="C63" s="84"/>
      <c r="D63" s="84"/>
      <c r="E63" s="84"/>
    </row>
    <row r="64" spans="2:5">
      <c r="B64" s="797" t="s">
        <v>298</v>
      </c>
      <c r="C64" s="297">
        <v>19</v>
      </c>
      <c r="D64" s="84"/>
      <c r="E64" s="84"/>
    </row>
  </sheetData>
  <conditionalFormatting sqref="C47">
    <cfRule type="cellIs" dxfId="117" priority="19" stopIfTrue="1" operator="greaterThan">
      <formula>$C$49*0.1</formula>
    </cfRule>
  </conditionalFormatting>
  <conditionalFormatting sqref="D47">
    <cfRule type="cellIs" dxfId="116" priority="18" stopIfTrue="1" operator="greaterThan">
      <formula>$D$49*0.1</formula>
    </cfRule>
  </conditionalFormatting>
  <conditionalFormatting sqref="E47">
    <cfRule type="cellIs" dxfId="115" priority="17" stopIfTrue="1" operator="greaterThan">
      <formula>$E$49*0.1</formula>
    </cfRule>
  </conditionalFormatting>
  <conditionalFormatting sqref="C56">
    <cfRule type="cellIs" dxfId="114" priority="16" stopIfTrue="1" operator="greaterThan">
      <formula>$C$58*0.1</formula>
    </cfRule>
  </conditionalFormatting>
  <conditionalFormatting sqref="D56">
    <cfRule type="cellIs" dxfId="113" priority="15" stopIfTrue="1" operator="greaterThan">
      <formula>$D$58*0.1</formula>
    </cfRule>
  </conditionalFormatting>
  <conditionalFormatting sqref="E56">
    <cfRule type="cellIs" dxfId="112" priority="14" stopIfTrue="1" operator="greaterThan">
      <formula>$E$58*0.1</formula>
    </cfRule>
  </conditionalFormatting>
  <conditionalFormatting sqref="C21">
    <cfRule type="cellIs" dxfId="111" priority="13" stopIfTrue="1" operator="greaterThan">
      <formula>$C$23*0.1</formula>
    </cfRule>
  </conditionalFormatting>
  <conditionalFormatting sqref="D21">
    <cfRule type="cellIs" dxfId="110" priority="12" stopIfTrue="1" operator="greaterThan">
      <formula>$D$23*0.1</formula>
    </cfRule>
  </conditionalFormatting>
  <conditionalFormatting sqref="E21">
    <cfRule type="cellIs" dxfId="109" priority="11" stopIfTrue="1" operator="greaterThan">
      <formula>$E$23*0.1</formula>
    </cfRule>
  </conditionalFormatting>
  <conditionalFormatting sqref="C12">
    <cfRule type="cellIs" dxfId="108" priority="10" stopIfTrue="1" operator="greaterThan">
      <formula>$C$14*0.1</formula>
    </cfRule>
  </conditionalFormatting>
  <conditionalFormatting sqref="D12">
    <cfRule type="cellIs" dxfId="107" priority="9" stopIfTrue="1" operator="greaterThan">
      <formula>$D$14*0.1</formula>
    </cfRule>
  </conditionalFormatting>
  <conditionalFormatting sqref="E12">
    <cfRule type="cellIs" dxfId="106" priority="8" stopIfTrue="1" operator="greaterThan">
      <formula>$E$14*0.1</formula>
    </cfRule>
  </conditionalFormatting>
  <conditionalFormatting sqref="E24 C24 E59 C59">
    <cfRule type="cellIs" dxfId="105" priority="7" stopIfTrue="1" operator="lessThan">
      <formula>0</formula>
    </cfRule>
  </conditionalFormatting>
  <conditionalFormatting sqref="C23">
    <cfRule type="cellIs" dxfId="104" priority="6" stopIfTrue="1" operator="greaterThan">
      <formula>$C$25</formula>
    </cfRule>
  </conditionalFormatting>
  <conditionalFormatting sqref="D23">
    <cfRule type="cellIs" dxfId="103" priority="5" stopIfTrue="1" operator="greaterThan">
      <formula>$D$25</formula>
    </cfRule>
  </conditionalFormatting>
  <conditionalFormatting sqref="C58">
    <cfRule type="cellIs" dxfId="102" priority="4" stopIfTrue="1" operator="greaterThan">
      <formula>$C$60</formula>
    </cfRule>
  </conditionalFormatting>
  <conditionalFormatting sqref="D58">
    <cfRule type="cellIs" dxfId="101" priority="3" stopIfTrue="1" operator="greaterThan">
      <formula>$D$60</formula>
    </cfRule>
  </conditionalFormatting>
  <conditionalFormatting sqref="D59">
    <cfRule type="cellIs" dxfId="100" priority="2" stopIfTrue="1" operator="lessThan">
      <formula>0</formula>
    </cfRule>
  </conditionalFormatting>
  <conditionalFormatting sqref="D24">
    <cfRule type="cellIs" dxfId="99" priority="1" stopIfTrue="1" operator="lessThan">
      <formula>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B1:E70"/>
  <sheetViews>
    <sheetView workbookViewId="0">
      <selection activeCell="B63" sqref="B63"/>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inputPrYr!B47</f>
        <v>Spec. Rev. Tiblow Transit</v>
      </c>
      <c r="C5" s="440" t="str">
        <f>CONCATENATE("Actual for ",E1-2,"")</f>
        <v>Actual for 2012</v>
      </c>
      <c r="D5" s="440" t="str">
        <f>CONCATENATE("Estimate for ",E1-1,"")</f>
        <v>Estimate for 2013</v>
      </c>
      <c r="E5" s="268" t="str">
        <f>CONCATENATE("Year for ",E1,"")</f>
        <v>Year for 2014</v>
      </c>
    </row>
    <row r="6" spans="2:5">
      <c r="B6" s="360" t="s">
        <v>57</v>
      </c>
      <c r="C6" s="106">
        <v>0</v>
      </c>
      <c r="D6" s="346">
        <f>C32</f>
        <v>-44</v>
      </c>
      <c r="E6" s="346">
        <f>D32</f>
        <v>0</v>
      </c>
    </row>
    <row r="7" spans="2:5" s="80" customFormat="1">
      <c r="B7" s="361" t="s">
        <v>59</v>
      </c>
      <c r="C7" s="124"/>
      <c r="D7" s="124"/>
      <c r="E7" s="124"/>
    </row>
    <row r="8" spans="2:5">
      <c r="B8" s="348" t="s">
        <v>1168</v>
      </c>
      <c r="C8" s="106">
        <v>56990</v>
      </c>
      <c r="D8" s="106">
        <v>53760</v>
      </c>
      <c r="E8" s="106">
        <v>57600</v>
      </c>
    </row>
    <row r="9" spans="2:5">
      <c r="B9" s="348" t="s">
        <v>1169</v>
      </c>
      <c r="C9" s="106">
        <v>3048</v>
      </c>
      <c r="D9" s="106">
        <v>3759</v>
      </c>
      <c r="E9" s="106">
        <v>3200</v>
      </c>
    </row>
    <row r="10" spans="2:5">
      <c r="B10" s="348" t="s">
        <v>1170</v>
      </c>
      <c r="C10" s="106">
        <v>3750</v>
      </c>
      <c r="D10" s="106">
        <v>3800</v>
      </c>
      <c r="E10" s="106">
        <v>3800</v>
      </c>
    </row>
    <row r="11" spans="2:5">
      <c r="B11" s="348" t="s">
        <v>1172</v>
      </c>
      <c r="C11" s="106">
        <v>1500</v>
      </c>
      <c r="D11" s="106">
        <v>1500</v>
      </c>
      <c r="E11" s="106">
        <v>1500</v>
      </c>
    </row>
    <row r="12" spans="2:5">
      <c r="B12" s="348" t="s">
        <v>1156</v>
      </c>
      <c r="C12" s="106">
        <v>0</v>
      </c>
      <c r="D12" s="106">
        <v>44</v>
      </c>
      <c r="E12" s="106">
        <v>0</v>
      </c>
    </row>
    <row r="13" spans="2:5">
      <c r="B13" s="348" t="s">
        <v>1171</v>
      </c>
      <c r="C13" s="106">
        <v>0</v>
      </c>
      <c r="D13" s="106">
        <v>0</v>
      </c>
      <c r="E13" s="106">
        <v>1225</v>
      </c>
    </row>
    <row r="14" spans="2:5">
      <c r="B14" s="348" t="s">
        <v>1130</v>
      </c>
      <c r="C14" s="106">
        <v>20653</v>
      </c>
      <c r="D14" s="106">
        <v>32570</v>
      </c>
      <c r="E14" s="106">
        <v>23208</v>
      </c>
    </row>
    <row r="15" spans="2:5">
      <c r="B15" s="352" t="s">
        <v>182</v>
      </c>
      <c r="C15" s="106"/>
      <c r="D15" s="345"/>
      <c r="E15" s="345"/>
    </row>
    <row r="16" spans="2:5">
      <c r="B16" s="352" t="s">
        <v>668</v>
      </c>
      <c r="C16" s="548" t="str">
        <f>IF(C17*0.1&lt;C15,"Exceed 10% Rule","")</f>
        <v/>
      </c>
      <c r="D16" s="353" t="str">
        <f>IF(D17*0.1&lt;D15,"Exceed 10% Rule","")</f>
        <v/>
      </c>
      <c r="E16" s="353" t="str">
        <f>IF(E17*0.1&lt;E15,"Exceed 10% Rule","")</f>
        <v/>
      </c>
    </row>
    <row r="17" spans="2:5">
      <c r="B17" s="354" t="s">
        <v>288</v>
      </c>
      <c r="C17" s="356">
        <f>SUM(C8:C15)</f>
        <v>85941</v>
      </c>
      <c r="D17" s="356">
        <f>SUM(D8:D15)</f>
        <v>95433</v>
      </c>
      <c r="E17" s="356">
        <f>SUM(E8:E15)</f>
        <v>90533</v>
      </c>
    </row>
    <row r="18" spans="2:5">
      <c r="B18" s="354" t="s">
        <v>289</v>
      </c>
      <c r="C18" s="356">
        <f>C6+C17</f>
        <v>85941</v>
      </c>
      <c r="D18" s="356">
        <f>D6+D17</f>
        <v>95389</v>
      </c>
      <c r="E18" s="356">
        <f>E6+E17</f>
        <v>90533</v>
      </c>
    </row>
    <row r="19" spans="2:5">
      <c r="B19" s="167" t="s">
        <v>291</v>
      </c>
      <c r="C19" s="346"/>
      <c r="D19" s="346"/>
      <c r="E19" s="346"/>
    </row>
    <row r="20" spans="2:5">
      <c r="B20" s="348" t="s">
        <v>1062</v>
      </c>
      <c r="C20" s="106">
        <v>46117</v>
      </c>
      <c r="D20" s="106">
        <v>50259</v>
      </c>
      <c r="E20" s="106">
        <v>52914</v>
      </c>
    </row>
    <row r="21" spans="2:5">
      <c r="B21" s="348" t="s">
        <v>1071</v>
      </c>
      <c r="C21" s="106">
        <v>21589</v>
      </c>
      <c r="D21" s="106">
        <v>16430</v>
      </c>
      <c r="E21" s="106">
        <v>14519</v>
      </c>
    </row>
    <row r="22" spans="2:5">
      <c r="B22" s="348" t="s">
        <v>1063</v>
      </c>
      <c r="C22" s="106">
        <v>18279</v>
      </c>
      <c r="D22" s="106">
        <v>16100</v>
      </c>
      <c r="E22" s="106">
        <v>18100</v>
      </c>
    </row>
    <row r="23" spans="2:5">
      <c r="B23" s="348" t="s">
        <v>1058</v>
      </c>
      <c r="C23" s="106">
        <v>0</v>
      </c>
      <c r="D23" s="106">
        <v>12600</v>
      </c>
      <c r="E23" s="106">
        <v>5000</v>
      </c>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48"/>
      <c r="C28" s="106"/>
      <c r="D28" s="106"/>
      <c r="E28" s="106"/>
    </row>
    <row r="29" spans="2:5">
      <c r="B29" s="352" t="s">
        <v>182</v>
      </c>
      <c r="C29" s="106"/>
      <c r="D29" s="345"/>
      <c r="E29" s="345"/>
    </row>
    <row r="30" spans="2:5">
      <c r="B30" s="352" t="s">
        <v>667</v>
      </c>
      <c r="C30" s="548" t="str">
        <f>IF(C31*0.1&lt;C29,"Exceed 10% Rule","")</f>
        <v/>
      </c>
      <c r="D30" s="353" t="str">
        <f>IF(D31*0.1&lt;D29,"Exceed 10% Rule","")</f>
        <v/>
      </c>
      <c r="E30" s="353" t="str">
        <f>IF(E31*0.1&lt;E29,"Exceed 10% Rule","")</f>
        <v/>
      </c>
    </row>
    <row r="31" spans="2:5">
      <c r="B31" s="354" t="s">
        <v>295</v>
      </c>
      <c r="C31" s="356">
        <f>SUM(C20:C29)</f>
        <v>85985</v>
      </c>
      <c r="D31" s="356">
        <f>SUM(D20:D29)</f>
        <v>95389</v>
      </c>
      <c r="E31" s="356">
        <f>SUM(E20:E29)</f>
        <v>90533</v>
      </c>
    </row>
    <row r="32" spans="2:5">
      <c r="B32" s="167" t="s">
        <v>58</v>
      </c>
      <c r="C32" s="119">
        <f>C18-C31</f>
        <v>-44</v>
      </c>
      <c r="D32" s="119">
        <f>D18-D31</f>
        <v>0</v>
      </c>
      <c r="E32" s="119">
        <f>E18-E31</f>
        <v>0</v>
      </c>
    </row>
    <row r="33" spans="2:5">
      <c r="B33" s="797" t="str">
        <f>CONCATENATE("",E1-2,"/",E1-1," Budget Authority Amount:")</f>
        <v>2012/2013 Budget Authority Amount:</v>
      </c>
      <c r="C33" s="303">
        <f>inputOth!B94</f>
        <v>87409</v>
      </c>
      <c r="D33" s="303">
        <f>inputPrYr!D47</f>
        <v>95389</v>
      </c>
      <c r="E33" s="547" t="str">
        <f>IF(E32&lt;0,"See Tab E","")</f>
        <v/>
      </c>
    </row>
    <row r="34" spans="2:5">
      <c r="B34" s="797"/>
      <c r="C34" s="358" t="str">
        <f>IF(C31&gt;C33,"See Tab A","")</f>
        <v/>
      </c>
      <c r="D34" s="358" t="str">
        <f>IF(D31&gt;D33,"See Tab C","")</f>
        <v/>
      </c>
      <c r="E34" s="136"/>
    </row>
    <row r="35" spans="2:5">
      <c r="B35" s="797"/>
      <c r="C35" s="358" t="str">
        <f>IF(C32&lt;0,"See Tab B","")</f>
        <v>See Tab B</v>
      </c>
      <c r="D35" s="358" t="str">
        <f>IF(D32&lt;0,"See Tab D","")</f>
        <v/>
      </c>
      <c r="E35" s="136"/>
    </row>
    <row r="36" spans="2:5">
      <c r="B36" s="84"/>
      <c r="C36" s="136"/>
      <c r="D36" s="136"/>
      <c r="E36" s="136"/>
    </row>
    <row r="37" spans="2:5">
      <c r="B37" s="91"/>
      <c r="C37" s="363"/>
      <c r="D37" s="363"/>
      <c r="E37" s="363"/>
    </row>
    <row r="38" spans="2:5">
      <c r="B38" s="91" t="s">
        <v>282</v>
      </c>
      <c r="C38" s="293" t="s">
        <v>806</v>
      </c>
      <c r="D38" s="204" t="s">
        <v>809</v>
      </c>
      <c r="E38" s="204" t="s">
        <v>808</v>
      </c>
    </row>
    <row r="39" spans="2:5">
      <c r="B39" s="561" t="str">
        <f>inputPrYr!B48</f>
        <v>Spec. Rev. TIF Develop Funds</v>
      </c>
      <c r="C39" s="359" t="str">
        <f>C5</f>
        <v>Actual for 2012</v>
      </c>
      <c r="D39" s="359" t="str">
        <f>D5</f>
        <v>Estimate for 2013</v>
      </c>
      <c r="E39" s="359" t="str">
        <f>E5</f>
        <v>Year for 2014</v>
      </c>
    </row>
    <row r="40" spans="2:5">
      <c r="B40" s="360" t="s">
        <v>57</v>
      </c>
      <c r="C40" s="106">
        <v>2343</v>
      </c>
      <c r="D40" s="346">
        <f>C65</f>
        <v>2343</v>
      </c>
      <c r="E40" s="346">
        <f>D65</f>
        <v>2343</v>
      </c>
    </row>
    <row r="41" spans="2:5" s="80" customFormat="1">
      <c r="B41" s="361" t="s">
        <v>59</v>
      </c>
      <c r="C41" s="124"/>
      <c r="D41" s="124"/>
      <c r="E41" s="124"/>
    </row>
    <row r="42" spans="2:5">
      <c r="B42" s="348" t="s">
        <v>1135</v>
      </c>
      <c r="C42" s="106">
        <v>0</v>
      </c>
      <c r="D42" s="106">
        <v>0</v>
      </c>
      <c r="E42" s="106">
        <v>0</v>
      </c>
    </row>
    <row r="43" spans="2:5">
      <c r="B43" s="348"/>
      <c r="C43" s="106"/>
      <c r="D43" s="106"/>
      <c r="E43" s="106"/>
    </row>
    <row r="44" spans="2:5">
      <c r="B44" s="348"/>
      <c r="C44" s="106"/>
      <c r="D44" s="106"/>
      <c r="E44" s="106"/>
    </row>
    <row r="45" spans="2:5">
      <c r="B45" s="348"/>
      <c r="C45" s="106"/>
      <c r="D45" s="106"/>
      <c r="E45" s="106"/>
    </row>
    <row r="46" spans="2:5">
      <c r="B46" s="348"/>
      <c r="C46" s="106"/>
      <c r="D46" s="106"/>
      <c r="E46" s="106"/>
    </row>
    <row r="47" spans="2:5">
      <c r="B47" s="362" t="s">
        <v>260</v>
      </c>
      <c r="C47" s="106"/>
      <c r="D47" s="106"/>
      <c r="E47" s="106"/>
    </row>
    <row r="48" spans="2:5">
      <c r="B48" s="352" t="s">
        <v>182</v>
      </c>
      <c r="C48" s="106"/>
      <c r="D48" s="345"/>
      <c r="E48" s="345"/>
    </row>
    <row r="49" spans="2:5">
      <c r="B49" s="352" t="s">
        <v>668</v>
      </c>
      <c r="C49" s="548" t="str">
        <f>IF(C50*0.1&lt;C48,"Exceed 10% Rule","")</f>
        <v/>
      </c>
      <c r="D49" s="353" t="str">
        <f>IF(D50*0.1&lt;D48,"Exceed 10% Rule","")</f>
        <v/>
      </c>
      <c r="E49" s="353" t="str">
        <f>IF(E50*0.1&lt;E48,"Exceed 10% Rule","")</f>
        <v/>
      </c>
    </row>
    <row r="50" spans="2:5">
      <c r="B50" s="354" t="s">
        <v>288</v>
      </c>
      <c r="C50" s="356">
        <f>SUM(C42:C48)</f>
        <v>0</v>
      </c>
      <c r="D50" s="356">
        <f>SUM(D42:D48)</f>
        <v>0</v>
      </c>
      <c r="E50" s="356">
        <f>SUM(E42:E48)</f>
        <v>0</v>
      </c>
    </row>
    <row r="51" spans="2:5">
      <c r="B51" s="354" t="s">
        <v>289</v>
      </c>
      <c r="C51" s="356">
        <f>C40+C50</f>
        <v>2343</v>
      </c>
      <c r="D51" s="356">
        <f>D40+D50</f>
        <v>2343</v>
      </c>
      <c r="E51" s="356">
        <f>E40+E50</f>
        <v>2343</v>
      </c>
    </row>
    <row r="52" spans="2:5">
      <c r="B52" s="167" t="s">
        <v>291</v>
      </c>
      <c r="C52" s="346"/>
      <c r="D52" s="346"/>
      <c r="E52" s="346"/>
    </row>
    <row r="53" spans="2:5">
      <c r="B53" s="348" t="s">
        <v>1071</v>
      </c>
      <c r="C53" s="106">
        <v>0</v>
      </c>
      <c r="D53" s="106">
        <v>0</v>
      </c>
      <c r="E53" s="106">
        <v>0</v>
      </c>
    </row>
    <row r="54" spans="2:5">
      <c r="B54" s="348"/>
      <c r="C54" s="106"/>
      <c r="D54" s="106"/>
      <c r="E54" s="106"/>
    </row>
    <row r="55" spans="2:5">
      <c r="B55" s="348"/>
      <c r="C55" s="106"/>
      <c r="D55" s="106"/>
      <c r="E55" s="106"/>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48"/>
      <c r="C61" s="106"/>
      <c r="D61" s="106"/>
      <c r="E61" s="106"/>
    </row>
    <row r="62" spans="2:5">
      <c r="B62" s="352" t="s">
        <v>182</v>
      </c>
      <c r="C62" s="106"/>
      <c r="D62" s="345"/>
      <c r="E62" s="345"/>
    </row>
    <row r="63" spans="2:5">
      <c r="B63" s="352" t="s">
        <v>667</v>
      </c>
      <c r="C63" s="548" t="str">
        <f>IF(C64*0.1&lt;C62,"Exceed 10% Rule","")</f>
        <v/>
      </c>
      <c r="D63" s="353" t="str">
        <f>IF(D64*0.1&lt;D62,"Exceed 10% Rule","")</f>
        <v/>
      </c>
      <c r="E63" s="353" t="str">
        <f>IF(E64*0.1&lt;E62,"Exceed 10% Rule","")</f>
        <v/>
      </c>
    </row>
    <row r="64" spans="2:5">
      <c r="B64" s="354" t="s">
        <v>295</v>
      </c>
      <c r="C64" s="356">
        <f>SUM(C53:C62)</f>
        <v>0</v>
      </c>
      <c r="D64" s="356">
        <f>SUM(D53:D62)</f>
        <v>0</v>
      </c>
      <c r="E64" s="356">
        <f>SUM(E53:E62)</f>
        <v>0</v>
      </c>
    </row>
    <row r="65" spans="2:5">
      <c r="B65" s="167" t="s">
        <v>58</v>
      </c>
      <c r="C65" s="119">
        <f>C51-C64</f>
        <v>2343</v>
      </c>
      <c r="D65" s="119">
        <f>D51-D64</f>
        <v>2343</v>
      </c>
      <c r="E65" s="119">
        <f>E51-E64</f>
        <v>2343</v>
      </c>
    </row>
    <row r="66" spans="2:5">
      <c r="B66" s="797" t="str">
        <f>CONCATENATE("",E1-2,"/",E1-1," Budget Authority Amount:")</f>
        <v>2012/2013 Budget Authority Amount:</v>
      </c>
      <c r="C66" s="303">
        <f>inputOth!B95</f>
        <v>0</v>
      </c>
      <c r="D66" s="303">
        <f>inputPrYr!D48</f>
        <v>0</v>
      </c>
      <c r="E66" s="547" t="str">
        <f>IF(E65&lt;0,"See Tab E","")</f>
        <v/>
      </c>
    </row>
    <row r="67" spans="2:5">
      <c r="B67" s="797"/>
      <c r="C67" s="358" t="str">
        <f>IF(C64&gt;C66,"See Tab A","")</f>
        <v/>
      </c>
      <c r="D67" s="358" t="str">
        <f>IF(D64&gt;D66,"See Tab C","")</f>
        <v/>
      </c>
      <c r="E67" s="84"/>
    </row>
    <row r="68" spans="2:5">
      <c r="B68" s="797"/>
      <c r="C68" s="358" t="str">
        <f>IF(C65&lt;0,"See Tab B","")</f>
        <v/>
      </c>
      <c r="D68" s="358" t="str">
        <f>IF(D65&lt;0,"See Tab D","")</f>
        <v/>
      </c>
      <c r="E68" s="84"/>
    </row>
    <row r="69" spans="2:5">
      <c r="B69" s="84"/>
      <c r="C69" s="84"/>
      <c r="D69" s="84"/>
      <c r="E69" s="84"/>
    </row>
    <row r="70" spans="2:5">
      <c r="B70" s="797" t="s">
        <v>298</v>
      </c>
      <c r="C70" s="297">
        <v>20</v>
      </c>
      <c r="D70" s="84"/>
      <c r="E70" s="84"/>
    </row>
  </sheetData>
  <conditionalFormatting sqref="C48">
    <cfRule type="cellIs" dxfId="98" priority="19" stopIfTrue="1" operator="greaterThan">
      <formula>$C$50*0.1</formula>
    </cfRule>
  </conditionalFormatting>
  <conditionalFormatting sqref="D48">
    <cfRule type="cellIs" dxfId="97" priority="18" stopIfTrue="1" operator="greaterThan">
      <formula>$D$50*0.1</formula>
    </cfRule>
  </conditionalFormatting>
  <conditionalFormatting sqref="E48">
    <cfRule type="cellIs" dxfId="96" priority="17" stopIfTrue="1" operator="greaterThan">
      <formula>$E$50*0.1</formula>
    </cfRule>
  </conditionalFormatting>
  <conditionalFormatting sqref="C62">
    <cfRule type="cellIs" dxfId="95" priority="16" stopIfTrue="1" operator="greaterThan">
      <formula>$C$64*0.1</formula>
    </cfRule>
  </conditionalFormatting>
  <conditionalFormatting sqref="D62">
    <cfRule type="cellIs" dxfId="94" priority="15" stopIfTrue="1" operator="greaterThan">
      <formula>$D$64*0.1</formula>
    </cfRule>
  </conditionalFormatting>
  <conditionalFormatting sqref="E62">
    <cfRule type="cellIs" dxfId="93" priority="14" stopIfTrue="1" operator="greaterThan">
      <formula>$E$64*0.1</formula>
    </cfRule>
  </conditionalFormatting>
  <conditionalFormatting sqref="C29">
    <cfRule type="cellIs" dxfId="92" priority="13" stopIfTrue="1" operator="greaterThan">
      <formula>$C$31*0.1</formula>
    </cfRule>
  </conditionalFormatting>
  <conditionalFormatting sqref="D29">
    <cfRule type="cellIs" dxfId="91" priority="12" stopIfTrue="1" operator="greaterThan">
      <formula>$D$31*0.1</formula>
    </cfRule>
  </conditionalFormatting>
  <conditionalFormatting sqref="E29">
    <cfRule type="cellIs" dxfId="90" priority="11" stopIfTrue="1" operator="greaterThan">
      <formula>$E$31*0.1</formula>
    </cfRule>
  </conditionalFormatting>
  <conditionalFormatting sqref="C15">
    <cfRule type="cellIs" dxfId="89" priority="10" stopIfTrue="1" operator="greaterThan">
      <formula>$C$17*0.1</formula>
    </cfRule>
  </conditionalFormatting>
  <conditionalFormatting sqref="D15">
    <cfRule type="cellIs" dxfId="88" priority="9" stopIfTrue="1" operator="greaterThan">
      <formula>$D$17*0.1</formula>
    </cfRule>
  </conditionalFormatting>
  <conditionalFormatting sqref="E15">
    <cfRule type="cellIs" dxfId="87" priority="8" stopIfTrue="1" operator="greaterThan">
      <formula>$E$17*0.1</formula>
    </cfRule>
  </conditionalFormatting>
  <conditionalFormatting sqref="E32 C32 E65 C65">
    <cfRule type="cellIs" dxfId="86" priority="7" stopIfTrue="1" operator="lessThan">
      <formula>0</formula>
    </cfRule>
  </conditionalFormatting>
  <conditionalFormatting sqref="C31">
    <cfRule type="cellIs" dxfId="85" priority="6" stopIfTrue="1" operator="greaterThan">
      <formula>$C$33</formula>
    </cfRule>
  </conditionalFormatting>
  <conditionalFormatting sqref="D31">
    <cfRule type="cellIs" dxfId="84" priority="5" stopIfTrue="1" operator="greaterThan">
      <formula>$D$33</formula>
    </cfRule>
  </conditionalFormatting>
  <conditionalFormatting sqref="C64">
    <cfRule type="cellIs" dxfId="83" priority="4" stopIfTrue="1" operator="greaterThan">
      <formula>$C$66</formula>
    </cfRule>
  </conditionalFormatting>
  <conditionalFormatting sqref="D64">
    <cfRule type="cellIs" dxfId="82" priority="3" stopIfTrue="1" operator="greaterThan">
      <formula>$D$66</formula>
    </cfRule>
  </conditionalFormatting>
  <conditionalFormatting sqref="D65">
    <cfRule type="cellIs" dxfId="81" priority="2" stopIfTrue="1" operator="lessThan">
      <formula>0</formula>
    </cfRule>
  </conditionalFormatting>
  <conditionalFormatting sqref="D32">
    <cfRule type="cellIs" dxfId="80" priority="1" stopIfTrue="1" operator="lessThan">
      <formula>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B1:E69"/>
  <sheetViews>
    <sheetView workbookViewId="0">
      <selection activeCell="B29" sqref="B29"/>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inputPrYr!B49</f>
        <v>Bonner Pointe TIF Increment</v>
      </c>
      <c r="C5" s="440" t="str">
        <f>CONCATENATE("Actual for ",E1-2,"")</f>
        <v>Actual for 2012</v>
      </c>
      <c r="D5" s="440" t="str">
        <f>CONCATENATE("Estimate for ",E1-1,"")</f>
        <v>Estimate for 2013</v>
      </c>
      <c r="E5" s="268" t="str">
        <f>CONCATENATE("Year for ",E1,"")</f>
        <v>Year for 2014</v>
      </c>
    </row>
    <row r="6" spans="2:5">
      <c r="B6" s="360" t="s">
        <v>57</v>
      </c>
      <c r="C6" s="106">
        <v>9500</v>
      </c>
      <c r="D6" s="346">
        <f>C31</f>
        <v>0</v>
      </c>
      <c r="E6" s="346">
        <f>D31</f>
        <v>0</v>
      </c>
    </row>
    <row r="7" spans="2:5" s="80" customFormat="1">
      <c r="B7" s="361" t="s">
        <v>59</v>
      </c>
      <c r="C7" s="124"/>
      <c r="D7" s="124"/>
      <c r="E7" s="124"/>
    </row>
    <row r="8" spans="2:5">
      <c r="B8" s="348" t="s">
        <v>1127</v>
      </c>
      <c r="C8" s="106">
        <v>115096</v>
      </c>
      <c r="D8" s="106">
        <v>140000</v>
      </c>
      <c r="E8" s="106">
        <v>180000</v>
      </c>
    </row>
    <row r="9" spans="2:5">
      <c r="B9" s="348"/>
      <c r="C9" s="106"/>
      <c r="D9" s="106"/>
      <c r="E9" s="106"/>
    </row>
    <row r="10" spans="2:5">
      <c r="B10" s="348"/>
      <c r="C10" s="106"/>
      <c r="D10" s="106"/>
      <c r="E10" s="106"/>
    </row>
    <row r="11" spans="2:5">
      <c r="B11" s="348"/>
      <c r="C11" s="106"/>
      <c r="D11" s="106"/>
      <c r="E11" s="106"/>
    </row>
    <row r="12" spans="2:5">
      <c r="B12" s="348"/>
      <c r="C12" s="106"/>
      <c r="D12" s="106"/>
      <c r="E12" s="106"/>
    </row>
    <row r="13" spans="2:5">
      <c r="B13" s="362" t="s">
        <v>260</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115096</v>
      </c>
      <c r="D16" s="356">
        <f>SUM(D8:D14)</f>
        <v>140000</v>
      </c>
      <c r="E16" s="356">
        <f>SUM(E8:E14)</f>
        <v>180000</v>
      </c>
    </row>
    <row r="17" spans="2:5">
      <c r="B17" s="354" t="s">
        <v>289</v>
      </c>
      <c r="C17" s="356">
        <f>C6+C16</f>
        <v>124596</v>
      </c>
      <c r="D17" s="356">
        <f>D6+D16</f>
        <v>140000</v>
      </c>
      <c r="E17" s="356">
        <f>E6+E16</f>
        <v>180000</v>
      </c>
    </row>
    <row r="18" spans="2:5">
      <c r="B18" s="167" t="s">
        <v>291</v>
      </c>
      <c r="C18" s="346"/>
      <c r="D18" s="346"/>
      <c r="E18" s="346"/>
    </row>
    <row r="19" spans="2:5">
      <c r="B19" s="348" t="s">
        <v>1071</v>
      </c>
      <c r="C19" s="106"/>
      <c r="D19" s="106"/>
      <c r="E19" s="106"/>
    </row>
    <row r="20" spans="2:5">
      <c r="B20" s="348" t="s">
        <v>1128</v>
      </c>
      <c r="C20" s="106">
        <v>623</v>
      </c>
      <c r="D20" s="106">
        <v>700</v>
      </c>
      <c r="E20" s="106">
        <v>900</v>
      </c>
    </row>
    <row r="21" spans="2:5">
      <c r="B21" s="348" t="s">
        <v>1129</v>
      </c>
      <c r="C21" s="106">
        <v>123973</v>
      </c>
      <c r="D21" s="106">
        <v>139300</v>
      </c>
      <c r="E21" s="106">
        <v>179100</v>
      </c>
    </row>
    <row r="22" spans="2:5">
      <c r="B22" s="348" t="s">
        <v>260</v>
      </c>
      <c r="C22" s="106"/>
      <c r="D22" s="106"/>
      <c r="E22" s="106"/>
    </row>
    <row r="23" spans="2:5">
      <c r="B23" s="348"/>
      <c r="C23" s="106"/>
      <c r="D23" s="106"/>
      <c r="E23" s="106"/>
    </row>
    <row r="24" spans="2:5">
      <c r="B24" s="348"/>
      <c r="C24" s="106"/>
      <c r="D24" s="106"/>
      <c r="E24" s="106"/>
    </row>
    <row r="25" spans="2:5">
      <c r="B25" s="348"/>
      <c r="C25" s="106"/>
      <c r="D25" s="106"/>
      <c r="E25" s="106"/>
    </row>
    <row r="26" spans="2:5">
      <c r="B26" s="348"/>
      <c r="C26" s="106"/>
      <c r="D26" s="106"/>
      <c r="E26" s="106"/>
    </row>
    <row r="27" spans="2:5">
      <c r="B27" s="348"/>
      <c r="C27" s="106"/>
      <c r="D27" s="106"/>
      <c r="E27" s="106"/>
    </row>
    <row r="28" spans="2:5">
      <c r="B28" s="352" t="s">
        <v>182</v>
      </c>
      <c r="C28" s="106"/>
      <c r="D28" s="345"/>
      <c r="E28" s="345"/>
    </row>
    <row r="29" spans="2:5">
      <c r="B29" s="352" t="s">
        <v>667</v>
      </c>
      <c r="C29" s="548" t="str">
        <f>IF(C30*0.1&lt;C28,"Exceed 10% Rule","")</f>
        <v/>
      </c>
      <c r="D29" s="353" t="str">
        <f>IF(D30*0.1&lt;D28,"Exceed 10% Rule","")</f>
        <v/>
      </c>
      <c r="E29" s="353" t="str">
        <f>IF(E30*0.1&lt;E28,"Exceed 10% Rule","")</f>
        <v/>
      </c>
    </row>
    <row r="30" spans="2:5">
      <c r="B30" s="354" t="s">
        <v>295</v>
      </c>
      <c r="C30" s="356">
        <f>SUM(C19:C28)</f>
        <v>124596</v>
      </c>
      <c r="D30" s="356">
        <f>SUM(D19:D28)</f>
        <v>140000</v>
      </c>
      <c r="E30" s="356">
        <f>SUM(E19:E28)</f>
        <v>180000</v>
      </c>
    </row>
    <row r="31" spans="2:5">
      <c r="B31" s="167" t="s">
        <v>58</v>
      </c>
      <c r="C31" s="119">
        <f>C17-C30</f>
        <v>0</v>
      </c>
      <c r="D31" s="119">
        <f>D17-D30</f>
        <v>0</v>
      </c>
      <c r="E31" s="119">
        <f>E17-E30</f>
        <v>0</v>
      </c>
    </row>
    <row r="32" spans="2:5">
      <c r="B32" s="797" t="str">
        <f>CONCATENATE("",E1-2,"/",E1-1," Budget Authority Amount:")</f>
        <v>2012/2013 Budget Authority Amount:</v>
      </c>
      <c r="C32" s="303">
        <f>inputOth!B96</f>
        <v>139500</v>
      </c>
      <c r="D32" s="303">
        <f>inputPrYr!D49</f>
        <v>140000</v>
      </c>
      <c r="E32" s="547" t="str">
        <f>IF(E31&lt;0,"See Tab E","")</f>
        <v/>
      </c>
    </row>
    <row r="33" spans="2:5">
      <c r="B33" s="797"/>
      <c r="C33" s="358" t="str">
        <f>IF(C30&gt;C32,"See Tab A","")</f>
        <v/>
      </c>
      <c r="D33" s="358" t="str">
        <f>IF(D30&gt;D32,"See Tab C","")</f>
        <v/>
      </c>
      <c r="E33" s="136"/>
    </row>
    <row r="34" spans="2:5">
      <c r="B34" s="797"/>
      <c r="C34" s="358" t="str">
        <f>IF(C31&lt;0,"See Tab B","")</f>
        <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inputPrYr!B50</f>
        <v>CID Development Fees</v>
      </c>
      <c r="C38" s="359" t="str">
        <f>C5</f>
        <v>Actual for 2012</v>
      </c>
      <c r="D38" s="359" t="str">
        <f>D5</f>
        <v>Estimate for 2013</v>
      </c>
      <c r="E38" s="359" t="str">
        <f>E5</f>
        <v>Year for 2014</v>
      </c>
    </row>
    <row r="39" spans="2:5">
      <c r="B39" s="360" t="s">
        <v>57</v>
      </c>
      <c r="C39" s="106">
        <v>1190</v>
      </c>
      <c r="D39" s="346">
        <f>C64</f>
        <v>11190</v>
      </c>
      <c r="E39" s="346">
        <f>D64</f>
        <v>0</v>
      </c>
    </row>
    <row r="40" spans="2:5" s="80" customFormat="1">
      <c r="B40" s="361" t="s">
        <v>59</v>
      </c>
      <c r="C40" s="124"/>
      <c r="D40" s="124"/>
      <c r="E40" s="124"/>
    </row>
    <row r="41" spans="2:5">
      <c r="B41" s="348" t="s">
        <v>1135</v>
      </c>
      <c r="C41" s="106">
        <v>10000</v>
      </c>
      <c r="D41" s="106">
        <v>0</v>
      </c>
      <c r="E41" s="106">
        <v>0</v>
      </c>
    </row>
    <row r="42" spans="2:5">
      <c r="B42" s="348"/>
      <c r="C42" s="106"/>
      <c r="D42" s="106"/>
      <c r="E42" s="106"/>
    </row>
    <row r="43" spans="2:5">
      <c r="B43" s="348"/>
      <c r="C43" s="106"/>
      <c r="D43" s="106"/>
      <c r="E43" s="106"/>
    </row>
    <row r="44" spans="2:5">
      <c r="B44" s="348"/>
      <c r="C44" s="106"/>
      <c r="D44" s="106"/>
      <c r="E44" s="106"/>
    </row>
    <row r="45" spans="2:5">
      <c r="B45" s="348"/>
      <c r="C45" s="106"/>
      <c r="D45" s="106"/>
      <c r="E45" s="106"/>
    </row>
    <row r="46" spans="2:5">
      <c r="B46" s="362" t="s">
        <v>260</v>
      </c>
      <c r="C46" s="106"/>
      <c r="D46" s="106"/>
      <c r="E46" s="106"/>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SUM(C41:C47)</f>
        <v>10000</v>
      </c>
      <c r="D49" s="356">
        <f>SUM(D41:D47)</f>
        <v>0</v>
      </c>
      <c r="E49" s="356">
        <f>SUM(E41:E47)</f>
        <v>0</v>
      </c>
    </row>
    <row r="50" spans="2:5">
      <c r="B50" s="354" t="s">
        <v>289</v>
      </c>
      <c r="C50" s="356">
        <f>C39+C49</f>
        <v>11190</v>
      </c>
      <c r="D50" s="356">
        <f>D39+D49</f>
        <v>11190</v>
      </c>
      <c r="E50" s="356">
        <f>E39+E49</f>
        <v>0</v>
      </c>
    </row>
    <row r="51" spans="2:5">
      <c r="B51" s="167" t="s">
        <v>291</v>
      </c>
      <c r="C51" s="346"/>
      <c r="D51" s="346"/>
      <c r="E51" s="346"/>
    </row>
    <row r="52" spans="2:5">
      <c r="B52" s="348" t="s">
        <v>1071</v>
      </c>
      <c r="C52" s="106">
        <v>0</v>
      </c>
      <c r="D52" s="106">
        <v>11190</v>
      </c>
      <c r="E52" s="106">
        <v>0</v>
      </c>
    </row>
    <row r="53" spans="2:5">
      <c r="B53" s="348" t="s">
        <v>260</v>
      </c>
      <c r="C53" s="106" t="s">
        <v>260</v>
      </c>
      <c r="D53" s="106" t="s">
        <v>260</v>
      </c>
      <c r="E53" s="106" t="s">
        <v>260</v>
      </c>
    </row>
    <row r="54" spans="2:5">
      <c r="B54" s="348" t="s">
        <v>260</v>
      </c>
      <c r="C54" s="106" t="s">
        <v>260</v>
      </c>
      <c r="D54" s="106" t="s">
        <v>260</v>
      </c>
      <c r="E54" s="106" t="s">
        <v>260</v>
      </c>
    </row>
    <row r="55" spans="2:5">
      <c r="B55" s="348"/>
      <c r="C55" s="106"/>
      <c r="D55" s="106"/>
      <c r="E55" s="106"/>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52" t="s">
        <v>182</v>
      </c>
      <c r="C61" s="106"/>
      <c r="D61" s="345"/>
      <c r="E61" s="345"/>
    </row>
    <row r="62" spans="2:5">
      <c r="B62" s="352" t="s">
        <v>667</v>
      </c>
      <c r="C62" s="548" t="str">
        <f>IF(C63*0.1&lt;C61,"Exceed 10% Rule","")</f>
        <v/>
      </c>
      <c r="D62" s="353" t="str">
        <f>IF(D63*0.1&lt;D61,"Exceed 10% Rule","")</f>
        <v/>
      </c>
      <c r="E62" s="353" t="str">
        <f>IF(E63*0.1&lt;E61,"Exceed 10% Rule","")</f>
        <v/>
      </c>
    </row>
    <row r="63" spans="2:5">
      <c r="B63" s="354" t="s">
        <v>295</v>
      </c>
      <c r="C63" s="356">
        <f>SUM(C52:C61)</f>
        <v>0</v>
      </c>
      <c r="D63" s="356">
        <f>SUM(D52:D61)</f>
        <v>11190</v>
      </c>
      <c r="E63" s="356">
        <f>SUM(E52:E61)</f>
        <v>0</v>
      </c>
    </row>
    <row r="64" spans="2:5">
      <c r="B64" s="167" t="s">
        <v>58</v>
      </c>
      <c r="C64" s="119">
        <f>C50-C63</f>
        <v>11190</v>
      </c>
      <c r="D64" s="119">
        <f>D50-D63</f>
        <v>0</v>
      </c>
      <c r="E64" s="119">
        <f>E50-E63</f>
        <v>0</v>
      </c>
    </row>
    <row r="65" spans="2:5">
      <c r="B65" s="797" t="str">
        <f>CONCATENATE("",E1-2,"/",E1-1," Budget Authority Amount:")</f>
        <v>2012/2013 Budget Authority Amount:</v>
      </c>
      <c r="C65" s="303">
        <f>inputOth!B97</f>
        <v>10000</v>
      </c>
      <c r="D65" s="303">
        <f>inputPrYr!D50</f>
        <v>11190</v>
      </c>
      <c r="E65" s="547" t="str">
        <f>IF(E64&lt;0,"See Tab E","")</f>
        <v/>
      </c>
    </row>
    <row r="66" spans="2:5">
      <c r="B66" s="797"/>
      <c r="C66" s="358" t="str">
        <f>IF(C63&gt;C65,"See Tab A","")</f>
        <v/>
      </c>
      <c r="D66" s="358" t="str">
        <f>IF(D63&gt;D65,"See Tab C","")</f>
        <v/>
      </c>
      <c r="E66" s="84"/>
    </row>
    <row r="67" spans="2:5">
      <c r="B67" s="797"/>
      <c r="C67" s="358" t="str">
        <f>IF(C64&lt;0,"See Tab B","")</f>
        <v/>
      </c>
      <c r="D67" s="358" t="str">
        <f>IF(D64&lt;0,"See Tab D","")</f>
        <v/>
      </c>
      <c r="E67" s="84"/>
    </row>
    <row r="68" spans="2:5">
      <c r="B68" s="84"/>
      <c r="C68" s="84"/>
      <c r="D68" s="84"/>
      <c r="E68" s="84"/>
    </row>
    <row r="69" spans="2:5">
      <c r="B69" s="797" t="s">
        <v>298</v>
      </c>
      <c r="C69" s="297">
        <v>21</v>
      </c>
      <c r="D69" s="84"/>
      <c r="E69" s="84"/>
    </row>
  </sheetData>
  <conditionalFormatting sqref="C47">
    <cfRule type="cellIs" dxfId="79" priority="19" stopIfTrue="1" operator="greaterThan">
      <formula>$C$49*0.1</formula>
    </cfRule>
  </conditionalFormatting>
  <conditionalFormatting sqref="D47">
    <cfRule type="cellIs" dxfId="78" priority="18" stopIfTrue="1" operator="greaterThan">
      <formula>$D$49*0.1</formula>
    </cfRule>
  </conditionalFormatting>
  <conditionalFormatting sqref="E47">
    <cfRule type="cellIs" dxfId="77" priority="17" stopIfTrue="1" operator="greaterThan">
      <formula>$E$49*0.1</formula>
    </cfRule>
  </conditionalFormatting>
  <conditionalFormatting sqref="C61">
    <cfRule type="cellIs" dxfId="76" priority="16" stopIfTrue="1" operator="greaterThan">
      <formula>$C$63*0.1</formula>
    </cfRule>
  </conditionalFormatting>
  <conditionalFormatting sqref="D61">
    <cfRule type="cellIs" dxfId="75" priority="15" stopIfTrue="1" operator="greaterThan">
      <formula>$D$63*0.1</formula>
    </cfRule>
  </conditionalFormatting>
  <conditionalFormatting sqref="E61">
    <cfRule type="cellIs" dxfId="74" priority="14" stopIfTrue="1" operator="greaterThan">
      <formula>$E$63*0.1</formula>
    </cfRule>
  </conditionalFormatting>
  <conditionalFormatting sqref="C28">
    <cfRule type="cellIs" dxfId="73" priority="13" stopIfTrue="1" operator="greaterThan">
      <formula>$C$30*0.1</formula>
    </cfRule>
  </conditionalFormatting>
  <conditionalFormatting sqref="D28">
    <cfRule type="cellIs" dxfId="72" priority="12" stopIfTrue="1" operator="greaterThan">
      <formula>$D$30*0.1</formula>
    </cfRule>
  </conditionalFormatting>
  <conditionalFormatting sqref="E28">
    <cfRule type="cellIs" dxfId="71" priority="11" stopIfTrue="1" operator="greaterThan">
      <formula>$E$30*0.1</formula>
    </cfRule>
  </conditionalFormatting>
  <conditionalFormatting sqref="C14">
    <cfRule type="cellIs" dxfId="70" priority="10" stopIfTrue="1" operator="greaterThan">
      <formula>$C$16*0.1</formula>
    </cfRule>
  </conditionalFormatting>
  <conditionalFormatting sqref="D14">
    <cfRule type="cellIs" dxfId="69" priority="9" stopIfTrue="1" operator="greaterThan">
      <formula>$D$16*0.1</formula>
    </cfRule>
  </conditionalFormatting>
  <conditionalFormatting sqref="E14">
    <cfRule type="cellIs" dxfId="68" priority="8" stopIfTrue="1" operator="greaterThan">
      <formula>$E$16*0.1</formula>
    </cfRule>
  </conditionalFormatting>
  <conditionalFormatting sqref="E31 C31 E64 C64">
    <cfRule type="cellIs" dxfId="67" priority="7" stopIfTrue="1" operator="lessThan">
      <formula>0</formula>
    </cfRule>
  </conditionalFormatting>
  <conditionalFormatting sqref="C30">
    <cfRule type="cellIs" dxfId="66" priority="6" stopIfTrue="1" operator="greaterThan">
      <formula>$C$32</formula>
    </cfRule>
  </conditionalFormatting>
  <conditionalFormatting sqref="D30">
    <cfRule type="cellIs" dxfId="65" priority="5" stopIfTrue="1" operator="greaterThan">
      <formula>$D$32</formula>
    </cfRule>
  </conditionalFormatting>
  <conditionalFormatting sqref="C63">
    <cfRule type="cellIs" dxfId="64" priority="4" stopIfTrue="1" operator="greaterThan">
      <formula>$C$65</formula>
    </cfRule>
  </conditionalFormatting>
  <conditionalFormatting sqref="D63">
    <cfRule type="cellIs" dxfId="63" priority="3" stopIfTrue="1" operator="greaterThan">
      <formula>$D$65</formula>
    </cfRule>
  </conditionalFormatting>
  <conditionalFormatting sqref="D64">
    <cfRule type="cellIs" dxfId="62" priority="2" stopIfTrue="1" operator="lessThan">
      <formula>0</formula>
    </cfRule>
  </conditionalFormatting>
  <conditionalFormatting sqref="D31">
    <cfRule type="cellIs" dxfId="61" priority="1" stopIfTrue="1" operator="lessThan">
      <formula>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E69"/>
  <sheetViews>
    <sheetView workbookViewId="0">
      <selection activeCell="B29" sqref="B29"/>
    </sheetView>
  </sheetViews>
  <sheetFormatPr defaultColWidth="8.88671875" defaultRowHeight="15.75"/>
  <cols>
    <col min="1" max="1" width="2.44140625" style="68" customWidth="1"/>
    <col min="2" max="2" width="31.109375" style="68" customWidth="1"/>
    <col min="3" max="5" width="15.77734375" style="68" customWidth="1"/>
    <col min="6" max="16384" width="8.88671875" style="68"/>
  </cols>
  <sheetData>
    <row r="1" spans="2:5">
      <c r="B1" s="253" t="str">
        <f>(inputPrYr!D3)</f>
        <v>City of Bonner Springs</v>
      </c>
      <c r="C1" s="84"/>
      <c r="D1" s="84"/>
      <c r="E1" s="277">
        <f>inputPrYr!C10</f>
        <v>2014</v>
      </c>
    </row>
    <row r="2" spans="2:5">
      <c r="B2" s="84"/>
      <c r="C2" s="84"/>
      <c r="D2" s="84"/>
      <c r="E2" s="228"/>
    </row>
    <row r="3" spans="2:5">
      <c r="B3" s="342" t="s">
        <v>7</v>
      </c>
      <c r="C3" s="291"/>
      <c r="D3" s="291"/>
      <c r="E3" s="291"/>
    </row>
    <row r="4" spans="2:5">
      <c r="B4" s="91" t="s">
        <v>282</v>
      </c>
      <c r="C4" s="614" t="s">
        <v>806</v>
      </c>
      <c r="D4" s="615" t="s">
        <v>807</v>
      </c>
      <c r="E4" s="204" t="s">
        <v>808</v>
      </c>
    </row>
    <row r="5" spans="2:5">
      <c r="B5" s="561" t="str">
        <f>inputPrYr!B51</f>
        <v>Bonner Springs Center CID</v>
      </c>
      <c r="C5" s="440" t="str">
        <f>CONCATENATE("Actual for ",E1-2,"")</f>
        <v>Actual for 2012</v>
      </c>
      <c r="D5" s="440" t="str">
        <f>CONCATENATE("Estimate for ",E1-1,"")</f>
        <v>Estimate for 2013</v>
      </c>
      <c r="E5" s="268" t="str">
        <f>CONCATENATE("Year for ",E1,"")</f>
        <v>Year for 2014</v>
      </c>
    </row>
    <row r="6" spans="2:5">
      <c r="B6" s="360" t="s">
        <v>57</v>
      </c>
      <c r="C6" s="106">
        <v>0</v>
      </c>
      <c r="D6" s="346">
        <f>C31</f>
        <v>0</v>
      </c>
      <c r="E6" s="346">
        <f>D31</f>
        <v>0</v>
      </c>
    </row>
    <row r="7" spans="2:5" s="80" customFormat="1">
      <c r="B7" s="361" t="s">
        <v>59</v>
      </c>
      <c r="C7" s="124"/>
      <c r="D7" s="124"/>
      <c r="E7" s="124"/>
    </row>
    <row r="8" spans="2:5">
      <c r="B8" s="348" t="s">
        <v>1131</v>
      </c>
      <c r="C8" s="106">
        <v>58446</v>
      </c>
      <c r="D8" s="106">
        <v>100000</v>
      </c>
      <c r="E8" s="106">
        <v>100000</v>
      </c>
    </row>
    <row r="9" spans="2:5">
      <c r="B9" s="348"/>
      <c r="C9" s="106"/>
      <c r="D9" s="106"/>
      <c r="E9" s="106"/>
    </row>
    <row r="10" spans="2:5">
      <c r="B10" s="348"/>
      <c r="C10" s="106"/>
      <c r="D10" s="106"/>
      <c r="E10" s="106"/>
    </row>
    <row r="11" spans="2:5">
      <c r="B11" s="348"/>
      <c r="C11" s="106"/>
      <c r="D11" s="106"/>
      <c r="E11" s="106"/>
    </row>
    <row r="12" spans="2:5">
      <c r="B12" s="348"/>
      <c r="C12" s="106"/>
      <c r="D12" s="106"/>
      <c r="E12" s="106"/>
    </row>
    <row r="13" spans="2:5">
      <c r="B13" s="362" t="s">
        <v>287</v>
      </c>
      <c r="C13" s="106"/>
      <c r="D13" s="106"/>
      <c r="E13" s="106"/>
    </row>
    <row r="14" spans="2:5">
      <c r="B14" s="352" t="s">
        <v>182</v>
      </c>
      <c r="C14" s="106"/>
      <c r="D14" s="345"/>
      <c r="E14" s="345"/>
    </row>
    <row r="15" spans="2:5">
      <c r="B15" s="352" t="s">
        <v>668</v>
      </c>
      <c r="C15" s="548" t="str">
        <f>IF(C16*0.1&lt;C14,"Exceed 10% Rule","")</f>
        <v/>
      </c>
      <c r="D15" s="353" t="str">
        <f>IF(D16*0.1&lt;D14,"Exceed 10% Rule","")</f>
        <v/>
      </c>
      <c r="E15" s="353" t="str">
        <f>IF(E16*0.1&lt;E14,"Exceed 10% Rule","")</f>
        <v/>
      </c>
    </row>
    <row r="16" spans="2:5">
      <c r="B16" s="354" t="s">
        <v>288</v>
      </c>
      <c r="C16" s="356">
        <f>SUM(C8:C14)</f>
        <v>58446</v>
      </c>
      <c r="D16" s="356">
        <f>SUM(D8:D14)</f>
        <v>100000</v>
      </c>
      <c r="E16" s="356">
        <f>SUM(E8:E14)</f>
        <v>100000</v>
      </c>
    </row>
    <row r="17" spans="1:5">
      <c r="B17" s="354" t="s">
        <v>289</v>
      </c>
      <c r="C17" s="356">
        <f>C6+C16</f>
        <v>58446</v>
      </c>
      <c r="D17" s="356">
        <f>D6+D16</f>
        <v>100000</v>
      </c>
      <c r="E17" s="356">
        <f>E6+E16</f>
        <v>100000</v>
      </c>
    </row>
    <row r="18" spans="1:5">
      <c r="B18" s="167" t="s">
        <v>291</v>
      </c>
      <c r="C18" s="346"/>
      <c r="D18" s="346"/>
      <c r="E18" s="346"/>
    </row>
    <row r="19" spans="1:5">
      <c r="B19" s="348" t="s">
        <v>1140</v>
      </c>
      <c r="C19" s="106" t="s">
        <v>260</v>
      </c>
      <c r="D19" s="106" t="s">
        <v>260</v>
      </c>
      <c r="E19" s="106" t="s">
        <v>260</v>
      </c>
    </row>
    <row r="20" spans="1:5">
      <c r="B20" s="348" t="s">
        <v>1132</v>
      </c>
      <c r="C20" s="106">
        <v>2922</v>
      </c>
      <c r="D20" s="106">
        <v>5000</v>
      </c>
      <c r="E20" s="106">
        <v>5000</v>
      </c>
    </row>
    <row r="21" spans="1:5">
      <c r="A21" s="68" t="s">
        <v>260</v>
      </c>
      <c r="B21" s="348" t="s">
        <v>1133</v>
      </c>
      <c r="C21" s="106">
        <v>55524</v>
      </c>
      <c r="D21" s="106">
        <v>95000</v>
      </c>
      <c r="E21" s="106">
        <v>95000</v>
      </c>
    </row>
    <row r="22" spans="1:5">
      <c r="B22" s="348"/>
      <c r="C22" s="106"/>
      <c r="D22" s="106"/>
      <c r="E22" s="106"/>
    </row>
    <row r="23" spans="1:5">
      <c r="B23" s="348"/>
      <c r="C23" s="106"/>
      <c r="D23" s="106"/>
      <c r="E23" s="106"/>
    </row>
    <row r="24" spans="1:5">
      <c r="B24" s="348"/>
      <c r="C24" s="106"/>
      <c r="D24" s="106"/>
      <c r="E24" s="106"/>
    </row>
    <row r="25" spans="1:5">
      <c r="B25" s="348"/>
      <c r="C25" s="106"/>
      <c r="D25" s="106"/>
      <c r="E25" s="106"/>
    </row>
    <row r="26" spans="1:5">
      <c r="B26" s="348"/>
      <c r="C26" s="106"/>
      <c r="D26" s="106"/>
      <c r="E26" s="106"/>
    </row>
    <row r="27" spans="1:5">
      <c r="B27" s="348"/>
      <c r="C27" s="106"/>
      <c r="D27" s="106"/>
      <c r="E27" s="106"/>
    </row>
    <row r="28" spans="1:5">
      <c r="B28" s="352" t="s">
        <v>182</v>
      </c>
      <c r="C28" s="106"/>
      <c r="D28" s="345"/>
      <c r="E28" s="345"/>
    </row>
    <row r="29" spans="1:5">
      <c r="B29" s="352" t="s">
        <v>667</v>
      </c>
      <c r="C29" s="548" t="str">
        <f>IF(C30*0.1&lt;C28,"Exceed 10% Rule","")</f>
        <v/>
      </c>
      <c r="D29" s="353" t="str">
        <f>IF(D30*0.1&lt;D28,"Exceed 10% Rule","")</f>
        <v/>
      </c>
      <c r="E29" s="353" t="str">
        <f>IF(E30*0.1&lt;E28,"Exceed 10% Rule","")</f>
        <v/>
      </c>
    </row>
    <row r="30" spans="1:5">
      <c r="B30" s="354" t="s">
        <v>295</v>
      </c>
      <c r="C30" s="356">
        <f>SUM(C19:C28)</f>
        <v>58446</v>
      </c>
      <c r="D30" s="356">
        <f>SUM(D19:D28)</f>
        <v>100000</v>
      </c>
      <c r="E30" s="356">
        <f>SUM(E19:E28)</f>
        <v>100000</v>
      </c>
    </row>
    <row r="31" spans="1:5">
      <c r="B31" s="167" t="s">
        <v>58</v>
      </c>
      <c r="C31" s="119">
        <f>C17-C30</f>
        <v>0</v>
      </c>
      <c r="D31" s="119">
        <f>D17-D30</f>
        <v>0</v>
      </c>
      <c r="E31" s="119">
        <f>E17-E30</f>
        <v>0</v>
      </c>
    </row>
    <row r="32" spans="1:5">
      <c r="B32" s="797" t="str">
        <f>CONCATENATE("",E1-2,"/",E1-1," Budget Authority Amount:")</f>
        <v>2012/2013 Budget Authority Amount:</v>
      </c>
      <c r="C32" s="303">
        <f>inputOth!B98</f>
        <v>160000</v>
      </c>
      <c r="D32" s="303">
        <f>inputPrYr!D51</f>
        <v>100000</v>
      </c>
      <c r="E32" s="547" t="str">
        <f>IF(E31&lt;0,"See Tab E","")</f>
        <v/>
      </c>
    </row>
    <row r="33" spans="2:5">
      <c r="B33" s="797"/>
      <c r="C33" s="358" t="str">
        <f>IF(C30&gt;C32,"See Tab A","")</f>
        <v/>
      </c>
      <c r="D33" s="358" t="str">
        <f>IF(D30&gt;D32,"See Tab C","")</f>
        <v/>
      </c>
      <c r="E33" s="136"/>
    </row>
    <row r="34" spans="2:5">
      <c r="B34" s="797"/>
      <c r="C34" s="358" t="str">
        <f>IF(C31&lt;0,"See Tab B","")</f>
        <v/>
      </c>
      <c r="D34" s="358" t="str">
        <f>IF(D31&lt;0,"See Tab D","")</f>
        <v/>
      </c>
      <c r="E34" s="136"/>
    </row>
    <row r="35" spans="2:5">
      <c r="B35" s="84"/>
      <c r="C35" s="136"/>
      <c r="D35" s="136"/>
      <c r="E35" s="136"/>
    </row>
    <row r="36" spans="2:5">
      <c r="B36" s="91"/>
      <c r="C36" s="363"/>
      <c r="D36" s="363"/>
      <c r="E36" s="363"/>
    </row>
    <row r="37" spans="2:5">
      <c r="B37" s="91" t="s">
        <v>282</v>
      </c>
      <c r="C37" s="293" t="s">
        <v>806</v>
      </c>
      <c r="D37" s="204" t="s">
        <v>809</v>
      </c>
      <c r="E37" s="204" t="s">
        <v>808</v>
      </c>
    </row>
    <row r="38" spans="2:5">
      <c r="B38" s="561" t="str">
        <f>inputPrYr!B52</f>
        <v>Bonner Springs Ctr City Contribution</v>
      </c>
      <c r="C38" s="359" t="str">
        <f>C5</f>
        <v>Actual for 2012</v>
      </c>
      <c r="D38" s="359" t="str">
        <f>D5</f>
        <v>Estimate for 2013</v>
      </c>
      <c r="E38" s="359" t="str">
        <f>E5</f>
        <v>Year for 2014</v>
      </c>
    </row>
    <row r="39" spans="2:5">
      <c r="B39" s="360" t="s">
        <v>57</v>
      </c>
      <c r="C39" s="106">
        <v>0</v>
      </c>
      <c r="D39" s="346">
        <f>C64</f>
        <v>0</v>
      </c>
      <c r="E39" s="346">
        <f>D64</f>
        <v>0</v>
      </c>
    </row>
    <row r="40" spans="2:5" s="80" customFormat="1">
      <c r="B40" s="361" t="s">
        <v>59</v>
      </c>
      <c r="C40" s="124"/>
      <c r="D40" s="124"/>
      <c r="E40" s="124"/>
    </row>
    <row r="41" spans="2:5">
      <c r="B41" s="348" t="s">
        <v>1130</v>
      </c>
      <c r="C41" s="106">
        <v>18144</v>
      </c>
      <c r="D41" s="106">
        <v>33000</v>
      </c>
      <c r="E41" s="106">
        <v>33000</v>
      </c>
    </row>
    <row r="42" spans="2:5">
      <c r="B42" s="348"/>
      <c r="C42" s="106"/>
      <c r="D42" s="106"/>
      <c r="E42" s="106"/>
    </row>
    <row r="43" spans="2:5">
      <c r="B43" s="348"/>
      <c r="C43" s="106"/>
      <c r="D43" s="106"/>
      <c r="E43" s="106"/>
    </row>
    <row r="44" spans="2:5">
      <c r="B44" s="348"/>
      <c r="C44" s="106"/>
      <c r="D44" s="106"/>
      <c r="E44" s="106"/>
    </row>
    <row r="45" spans="2:5">
      <c r="B45" s="348"/>
      <c r="C45" s="106"/>
      <c r="D45" s="106"/>
      <c r="E45" s="106"/>
    </row>
    <row r="46" spans="2:5">
      <c r="B46" s="362" t="s">
        <v>260</v>
      </c>
      <c r="C46" s="106"/>
      <c r="D46" s="106"/>
      <c r="E46" s="106"/>
    </row>
    <row r="47" spans="2:5">
      <c r="B47" s="352" t="s">
        <v>182</v>
      </c>
      <c r="C47" s="106"/>
      <c r="D47" s="345"/>
      <c r="E47" s="345"/>
    </row>
    <row r="48" spans="2:5">
      <c r="B48" s="352" t="s">
        <v>668</v>
      </c>
      <c r="C48" s="548" t="str">
        <f>IF(C49*0.1&lt;C47,"Exceed 10% Rule","")</f>
        <v/>
      </c>
      <c r="D48" s="353" t="str">
        <f>IF(D49*0.1&lt;D47,"Exceed 10% Rule","")</f>
        <v/>
      </c>
      <c r="E48" s="353" t="str">
        <f>IF(E49*0.1&lt;E47,"Exceed 10% Rule","")</f>
        <v/>
      </c>
    </row>
    <row r="49" spans="2:5">
      <c r="B49" s="354" t="s">
        <v>288</v>
      </c>
      <c r="C49" s="356">
        <f>SUM(C41:C47)</f>
        <v>18144</v>
      </c>
      <c r="D49" s="356">
        <f>SUM(D41:D47)</f>
        <v>33000</v>
      </c>
      <c r="E49" s="356">
        <f>SUM(E41:E47)</f>
        <v>33000</v>
      </c>
    </row>
    <row r="50" spans="2:5">
      <c r="B50" s="354" t="s">
        <v>289</v>
      </c>
      <c r="C50" s="356">
        <f>C39+C49</f>
        <v>18144</v>
      </c>
      <c r="D50" s="356">
        <f>D39+D49</f>
        <v>33000</v>
      </c>
      <c r="E50" s="356">
        <f>E39+E49</f>
        <v>33000</v>
      </c>
    </row>
    <row r="51" spans="2:5">
      <c r="B51" s="167" t="s">
        <v>291</v>
      </c>
      <c r="C51" s="346"/>
      <c r="D51" s="346"/>
      <c r="E51" s="346"/>
    </row>
    <row r="52" spans="2:5">
      <c r="B52" s="348" t="s">
        <v>1071</v>
      </c>
      <c r="C52" s="106"/>
      <c r="D52" s="106"/>
      <c r="E52" s="106"/>
    </row>
    <row r="53" spans="2:5">
      <c r="B53" s="348" t="s">
        <v>1134</v>
      </c>
      <c r="C53" s="106">
        <v>18144</v>
      </c>
      <c r="D53" s="106">
        <v>33000</v>
      </c>
      <c r="E53" s="106">
        <v>33000</v>
      </c>
    </row>
    <row r="54" spans="2:5">
      <c r="B54" s="348"/>
      <c r="C54" s="106"/>
      <c r="D54" s="106"/>
      <c r="E54" s="106"/>
    </row>
    <row r="55" spans="2:5">
      <c r="B55" s="348"/>
      <c r="C55" s="106"/>
      <c r="D55" s="106"/>
      <c r="E55" s="106"/>
    </row>
    <row r="56" spans="2:5">
      <c r="B56" s="348"/>
      <c r="C56" s="106"/>
      <c r="D56" s="106"/>
      <c r="E56" s="106"/>
    </row>
    <row r="57" spans="2:5">
      <c r="B57" s="348"/>
      <c r="C57" s="106"/>
      <c r="D57" s="106"/>
      <c r="E57" s="106"/>
    </row>
    <row r="58" spans="2:5">
      <c r="B58" s="348"/>
      <c r="C58" s="106"/>
      <c r="D58" s="106"/>
      <c r="E58" s="106"/>
    </row>
    <row r="59" spans="2:5">
      <c r="B59" s="348"/>
      <c r="C59" s="106"/>
      <c r="D59" s="106"/>
      <c r="E59" s="106"/>
    </row>
    <row r="60" spans="2:5">
      <c r="B60" s="348"/>
      <c r="C60" s="106"/>
      <c r="D60" s="106"/>
      <c r="E60" s="106"/>
    </row>
    <row r="61" spans="2:5">
      <c r="B61" s="352" t="s">
        <v>182</v>
      </c>
      <c r="C61" s="106"/>
      <c r="D61" s="345"/>
      <c r="E61" s="345"/>
    </row>
    <row r="62" spans="2:5">
      <c r="B62" s="352" t="s">
        <v>667</v>
      </c>
      <c r="C62" s="548" t="str">
        <f>IF(C63*0.1&lt;C61,"Exceed 10% Rule","")</f>
        <v/>
      </c>
      <c r="D62" s="353" t="str">
        <f>IF(D63*0.1&lt;D61,"Exceed 10% Rule","")</f>
        <v/>
      </c>
      <c r="E62" s="353" t="str">
        <f>IF(E63*0.1&lt;E61,"Exceed 10% Rule","")</f>
        <v/>
      </c>
    </row>
    <row r="63" spans="2:5">
      <c r="B63" s="354" t="s">
        <v>295</v>
      </c>
      <c r="C63" s="356">
        <f>SUM(C52:C61)</f>
        <v>18144</v>
      </c>
      <c r="D63" s="356">
        <f>SUM(D52:D61)</f>
        <v>33000</v>
      </c>
      <c r="E63" s="356">
        <f>SUM(E52:E61)</f>
        <v>33000</v>
      </c>
    </row>
    <row r="64" spans="2:5">
      <c r="B64" s="167" t="s">
        <v>58</v>
      </c>
      <c r="C64" s="119">
        <f>C50-C63</f>
        <v>0</v>
      </c>
      <c r="D64" s="119">
        <f>D50-D63</f>
        <v>0</v>
      </c>
      <c r="E64" s="119"/>
    </row>
    <row r="65" spans="2:5">
      <c r="B65" s="797" t="str">
        <f>CONCATENATE("",E1-2,"/",E1-1," Budget Authority Amount:")</f>
        <v>2012/2013 Budget Authority Amount:</v>
      </c>
      <c r="C65" s="303">
        <f>inputOth!B99</f>
        <v>60000</v>
      </c>
      <c r="D65" s="303">
        <f>inputPrYr!D52</f>
        <v>33000</v>
      </c>
      <c r="E65" s="547" t="str">
        <f>IF(E64&lt;0,"See Tab E","")</f>
        <v/>
      </c>
    </row>
    <row r="66" spans="2:5">
      <c r="B66" s="797"/>
      <c r="C66" s="358" t="str">
        <f>IF(C63&gt;C65,"See Tab A","")</f>
        <v/>
      </c>
      <c r="D66" s="358" t="str">
        <f>IF(D63&gt;D65,"See Tab C","")</f>
        <v/>
      </c>
      <c r="E66" s="84"/>
    </row>
    <row r="67" spans="2:5">
      <c r="B67" s="797"/>
      <c r="C67" s="358" t="str">
        <f>IF(C64&lt;0,"See Tab B","")</f>
        <v/>
      </c>
      <c r="D67" s="358" t="str">
        <f>IF(D64&lt;0,"See Tab D","")</f>
        <v/>
      </c>
      <c r="E67" s="84"/>
    </row>
    <row r="68" spans="2:5">
      <c r="B68" s="84"/>
      <c r="C68" s="84"/>
      <c r="D68" s="84"/>
      <c r="E68" s="84"/>
    </row>
    <row r="69" spans="2:5">
      <c r="B69" s="797" t="s">
        <v>298</v>
      </c>
      <c r="C69" s="297">
        <v>22</v>
      </c>
      <c r="D69" s="84"/>
      <c r="E69" s="84"/>
    </row>
  </sheetData>
  <conditionalFormatting sqref="C47">
    <cfRule type="cellIs" dxfId="60" priority="19" stopIfTrue="1" operator="greaterThan">
      <formula>$C$49*0.1</formula>
    </cfRule>
  </conditionalFormatting>
  <conditionalFormatting sqref="D47">
    <cfRule type="cellIs" dxfId="59" priority="18" stopIfTrue="1" operator="greaterThan">
      <formula>$D$49*0.1</formula>
    </cfRule>
  </conditionalFormatting>
  <conditionalFormatting sqref="E47">
    <cfRule type="cellIs" dxfId="58" priority="17" stopIfTrue="1" operator="greaterThan">
      <formula>$E$49*0.1</formula>
    </cfRule>
  </conditionalFormatting>
  <conditionalFormatting sqref="C61">
    <cfRule type="cellIs" dxfId="57" priority="16" stopIfTrue="1" operator="greaterThan">
      <formula>$C$63*0.1</formula>
    </cfRule>
  </conditionalFormatting>
  <conditionalFormatting sqref="D61">
    <cfRule type="cellIs" dxfId="56" priority="15" stopIfTrue="1" operator="greaterThan">
      <formula>$D$63*0.1</formula>
    </cfRule>
  </conditionalFormatting>
  <conditionalFormatting sqref="E61">
    <cfRule type="cellIs" dxfId="55" priority="14" stopIfTrue="1" operator="greaterThan">
      <formula>$E$63*0.1</formula>
    </cfRule>
  </conditionalFormatting>
  <conditionalFormatting sqref="C28">
    <cfRule type="cellIs" dxfId="54" priority="13" stopIfTrue="1" operator="greaterThan">
      <formula>$C$30*0.1</formula>
    </cfRule>
  </conditionalFormatting>
  <conditionalFormatting sqref="D28">
    <cfRule type="cellIs" dxfId="53" priority="12" stopIfTrue="1" operator="greaterThan">
      <formula>$D$30*0.1</formula>
    </cfRule>
  </conditionalFormatting>
  <conditionalFormatting sqref="E28">
    <cfRule type="cellIs" dxfId="52" priority="11" stopIfTrue="1" operator="greaterThan">
      <formula>$E$30*0.1</formula>
    </cfRule>
  </conditionalFormatting>
  <conditionalFormatting sqref="C14">
    <cfRule type="cellIs" dxfId="51" priority="10" stopIfTrue="1" operator="greaterThan">
      <formula>$C$16*0.1</formula>
    </cfRule>
  </conditionalFormatting>
  <conditionalFormatting sqref="D14">
    <cfRule type="cellIs" dxfId="50" priority="9" stopIfTrue="1" operator="greaterThan">
      <formula>$D$16*0.1</formula>
    </cfRule>
  </conditionalFormatting>
  <conditionalFormatting sqref="E14">
    <cfRule type="cellIs" dxfId="49" priority="8" stopIfTrue="1" operator="greaterThan">
      <formula>$E$16*0.1</formula>
    </cfRule>
  </conditionalFormatting>
  <conditionalFormatting sqref="E31 C31 E64 C64">
    <cfRule type="cellIs" dxfId="48" priority="7" stopIfTrue="1" operator="lessThan">
      <formula>0</formula>
    </cfRule>
  </conditionalFormatting>
  <conditionalFormatting sqref="C30">
    <cfRule type="cellIs" dxfId="47" priority="6" stopIfTrue="1" operator="greaterThan">
      <formula>$C$32</formula>
    </cfRule>
  </conditionalFormatting>
  <conditionalFormatting sqref="D30">
    <cfRule type="cellIs" dxfId="46" priority="5" stopIfTrue="1" operator="greaterThan">
      <formula>$D$32</formula>
    </cfRule>
  </conditionalFormatting>
  <conditionalFormatting sqref="C63">
    <cfRule type="cellIs" dxfId="45" priority="4" stopIfTrue="1" operator="greaterThan">
      <formula>$C$65</formula>
    </cfRule>
  </conditionalFormatting>
  <conditionalFormatting sqref="D63">
    <cfRule type="cellIs" dxfId="44" priority="3" stopIfTrue="1" operator="greaterThan">
      <formula>$D$65</formula>
    </cfRule>
  </conditionalFormatting>
  <conditionalFormatting sqref="D64">
    <cfRule type="cellIs" dxfId="43" priority="2" stopIfTrue="1" operator="lessThan">
      <formula>0</formula>
    </cfRule>
  </conditionalFormatting>
  <conditionalFormatting sqref="D31">
    <cfRule type="cellIs" dxfId="42" priority="1" stopIfTrue="1" operator="lessThan">
      <formula>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sheetPr>
    <pageSetUpPr fitToPage="1"/>
  </sheetPr>
  <dimension ref="B1:E59"/>
  <sheetViews>
    <sheetView topLeftCell="A38" workbookViewId="0">
      <selection activeCell="B25" sqref="B25"/>
    </sheetView>
  </sheetViews>
  <sheetFormatPr defaultColWidth="8.88671875" defaultRowHeight="15"/>
  <cols>
    <col min="1" max="1" width="2.44140625" style="144" customWidth="1"/>
    <col min="2" max="2" width="31.109375" style="144" customWidth="1"/>
    <col min="3" max="4" width="15.77734375" style="144" customWidth="1"/>
    <col min="5" max="5" width="16.21875" style="144" customWidth="1"/>
    <col min="6" max="16384" width="8.88671875" style="144"/>
  </cols>
  <sheetData>
    <row r="1" spans="2:5" ht="15.75">
      <c r="B1" s="253" t="str">
        <f>(inputPrYr!D3)</f>
        <v>City of Bonner Springs</v>
      </c>
      <c r="C1" s="84"/>
      <c r="D1" s="84"/>
      <c r="E1" s="341">
        <f>inputPrYr!$C$10</f>
        <v>2014</v>
      </c>
    </row>
    <row r="2" spans="2:5" ht="15.75">
      <c r="B2" s="84"/>
      <c r="C2" s="84"/>
      <c r="D2" s="84"/>
      <c r="E2" s="228"/>
    </row>
    <row r="3" spans="2:5" ht="15.75">
      <c r="B3" s="342" t="s">
        <v>7</v>
      </c>
      <c r="C3" s="343"/>
      <c r="D3" s="343"/>
      <c r="E3" s="344"/>
    </row>
    <row r="4" spans="2:5" ht="15.75">
      <c r="B4" s="91" t="s">
        <v>282</v>
      </c>
      <c r="C4" s="614" t="s">
        <v>806</v>
      </c>
      <c r="D4" s="615" t="s">
        <v>807</v>
      </c>
      <c r="E4" s="204" t="s">
        <v>808</v>
      </c>
    </row>
    <row r="5" spans="2:5" ht="15.75">
      <c r="B5" s="561" t="str">
        <f>(inputPrYr!B53)</f>
        <v>Enterprise Fund - Solid Waste</v>
      </c>
      <c r="C5" s="440" t="str">
        <f>CONCATENATE("Actual for ",E1-2,"")</f>
        <v>Actual for 2012</v>
      </c>
      <c r="D5" s="440" t="str">
        <f>CONCATENATE("Estimate for ",E1-1,"")</f>
        <v>Estimate for 2013</v>
      </c>
      <c r="E5" s="268" t="str">
        <f>CONCATENATE("Year for ",E1,"")</f>
        <v>Year for 2014</v>
      </c>
    </row>
    <row r="6" spans="2:5" ht="15.75">
      <c r="B6" s="167" t="s">
        <v>57</v>
      </c>
      <c r="C6" s="106">
        <v>124577</v>
      </c>
      <c r="D6" s="346">
        <f>C27</f>
        <v>102546</v>
      </c>
      <c r="E6" s="346">
        <f>D27</f>
        <v>95957</v>
      </c>
    </row>
    <row r="7" spans="2:5" ht="15.75">
      <c r="B7" s="347" t="s">
        <v>59</v>
      </c>
      <c r="C7" s="124"/>
      <c r="D7" s="124"/>
      <c r="E7" s="124"/>
    </row>
    <row r="8" spans="2:5" ht="15.75">
      <c r="B8" s="348" t="s">
        <v>1173</v>
      </c>
      <c r="C8" s="106">
        <v>326003</v>
      </c>
      <c r="D8" s="106">
        <v>326845</v>
      </c>
      <c r="E8" s="106">
        <v>370064</v>
      </c>
    </row>
    <row r="9" spans="2:5" ht="15.75">
      <c r="B9" s="348" t="s">
        <v>1174</v>
      </c>
      <c r="C9" s="106">
        <v>4197</v>
      </c>
      <c r="D9" s="106">
        <v>4000</v>
      </c>
      <c r="E9" s="106">
        <v>4200</v>
      </c>
    </row>
    <row r="10" spans="2:5" ht="15.75">
      <c r="B10" s="350" t="s">
        <v>1111</v>
      </c>
      <c r="C10" s="115">
        <v>225</v>
      </c>
      <c r="D10" s="115">
        <v>0</v>
      </c>
      <c r="E10" s="115">
        <v>0</v>
      </c>
    </row>
    <row r="11" spans="2:5" ht="15.75">
      <c r="B11" s="348" t="s">
        <v>1175</v>
      </c>
      <c r="C11" s="106">
        <v>280</v>
      </c>
      <c r="D11" s="106">
        <v>300</v>
      </c>
      <c r="E11" s="106">
        <v>300</v>
      </c>
    </row>
    <row r="12" spans="2:5" ht="15.75">
      <c r="B12" s="351" t="s">
        <v>331</v>
      </c>
      <c r="C12" s="106">
        <v>355</v>
      </c>
      <c r="D12" s="106">
        <v>450</v>
      </c>
      <c r="E12" s="106">
        <v>200</v>
      </c>
    </row>
    <row r="13" spans="2:5" ht="15.75">
      <c r="B13" s="352" t="s">
        <v>182</v>
      </c>
      <c r="C13" s="106"/>
      <c r="D13" s="345"/>
      <c r="E13" s="345"/>
    </row>
    <row r="14" spans="2:5" ht="15.75">
      <c r="B14" s="352" t="s">
        <v>668</v>
      </c>
      <c r="C14" s="548" t="str">
        <f>IF(C15*0.1&lt;C13,"Exceed 10% Rule","")</f>
        <v/>
      </c>
      <c r="D14" s="353" t="str">
        <f>IF(D15*0.1&lt;D13,"Exceed 10% Rule","")</f>
        <v/>
      </c>
      <c r="E14" s="353" t="str">
        <f>IF(E15*0.1&lt;E13,"Exceed 10% Rule","")</f>
        <v/>
      </c>
    </row>
    <row r="15" spans="2:5" ht="15.75">
      <c r="B15" s="354" t="s">
        <v>288</v>
      </c>
      <c r="C15" s="356">
        <f>SUM(C8:C13)</f>
        <v>331060</v>
      </c>
      <c r="D15" s="356">
        <f>SUM(D8:D13)</f>
        <v>331595</v>
      </c>
      <c r="E15" s="356">
        <f>SUM(E8:E13)</f>
        <v>374764</v>
      </c>
    </row>
    <row r="16" spans="2:5" ht="15.75">
      <c r="B16" s="354" t="s">
        <v>289</v>
      </c>
      <c r="C16" s="356">
        <f>C6+C15</f>
        <v>455637</v>
      </c>
      <c r="D16" s="356">
        <f>D6+D15</f>
        <v>434141</v>
      </c>
      <c r="E16" s="356">
        <f>E6+E15</f>
        <v>470721</v>
      </c>
    </row>
    <row r="17" spans="2:5" ht="15.75">
      <c r="B17" s="167" t="s">
        <v>291</v>
      </c>
      <c r="C17" s="124"/>
      <c r="D17" s="124"/>
      <c r="E17" s="124"/>
    </row>
    <row r="18" spans="2:5" ht="15.75">
      <c r="B18" s="348" t="s">
        <v>1071</v>
      </c>
      <c r="C18" s="106">
        <v>322591</v>
      </c>
      <c r="D18" s="106">
        <v>323684</v>
      </c>
      <c r="E18" s="106">
        <v>365610</v>
      </c>
    </row>
    <row r="19" spans="2:5" ht="15.75">
      <c r="B19" s="348" t="s">
        <v>1176</v>
      </c>
      <c r="C19" s="106">
        <v>0</v>
      </c>
      <c r="D19" s="106">
        <v>4000</v>
      </c>
      <c r="E19" s="106">
        <v>4000</v>
      </c>
    </row>
    <row r="20" spans="2:5" ht="15.75">
      <c r="B20" s="348" t="s">
        <v>1125</v>
      </c>
      <c r="C20" s="115">
        <v>30500</v>
      </c>
      <c r="D20" s="115">
        <v>10500</v>
      </c>
      <c r="E20" s="115">
        <v>10500</v>
      </c>
    </row>
    <row r="21" spans="2:5" ht="15.75">
      <c r="B21" s="348"/>
      <c r="C21" s="106"/>
      <c r="D21" s="106"/>
      <c r="E21" s="106"/>
    </row>
    <row r="22" spans="2:5" ht="15.75">
      <c r="B22" s="348"/>
      <c r="C22" s="106"/>
      <c r="D22" s="106"/>
      <c r="E22" s="106"/>
    </row>
    <row r="23" spans="2:5" ht="15.75">
      <c r="B23" s="348"/>
      <c r="C23" s="106"/>
      <c r="D23" s="106"/>
      <c r="E23" s="106"/>
    </row>
    <row r="24" spans="2:5" ht="15.75">
      <c r="B24" s="352" t="s">
        <v>182</v>
      </c>
      <c r="C24" s="106"/>
      <c r="D24" s="345"/>
      <c r="E24" s="345"/>
    </row>
    <row r="25" spans="2:5" ht="15.75">
      <c r="B25" s="352" t="s">
        <v>667</v>
      </c>
      <c r="C25" s="548" t="str">
        <f>IF(C26*0.1&lt;C24,"Exceed 10% Rule","")</f>
        <v/>
      </c>
      <c r="D25" s="353" t="str">
        <f>IF(D26*0.1&lt;D24,"Exceed 10% Rule","")</f>
        <v/>
      </c>
      <c r="E25" s="353" t="str">
        <f>IF(E26*0.1&lt;E24,"Exceed 10% Rule","")</f>
        <v/>
      </c>
    </row>
    <row r="26" spans="2:5" ht="15.75">
      <c r="B26" s="354" t="s">
        <v>295</v>
      </c>
      <c r="C26" s="356">
        <f>SUM(C18:C24)</f>
        <v>353091</v>
      </c>
      <c r="D26" s="356">
        <f>SUM(D18:D24)</f>
        <v>338184</v>
      </c>
      <c r="E26" s="356">
        <f>SUM(E18:E24)</f>
        <v>380110</v>
      </c>
    </row>
    <row r="27" spans="2:5" ht="15.75">
      <c r="B27" s="167" t="s">
        <v>58</v>
      </c>
      <c r="C27" s="119">
        <f>C16-C26</f>
        <v>102546</v>
      </c>
      <c r="D27" s="119">
        <f>D16-D26</f>
        <v>95957</v>
      </c>
      <c r="E27" s="119">
        <f>E16-E26</f>
        <v>90611</v>
      </c>
    </row>
    <row r="28" spans="2:5" ht="15.75">
      <c r="B28" s="197" t="str">
        <f>CONCATENATE("",E1-2,"/",E1-1," Budget Authority Amount:")</f>
        <v>2012/2013 Budget Authority Amount:</v>
      </c>
      <c r="C28" s="303">
        <f>inputOth!B100</f>
        <v>361964</v>
      </c>
      <c r="D28" s="303">
        <f>inputPrYr!D53</f>
        <v>338184</v>
      </c>
      <c r="E28" s="547" t="str">
        <f>IF(E27&lt;0,"See Tab E","")</f>
        <v/>
      </c>
    </row>
    <row r="29" spans="2:5" ht="15.75">
      <c r="B29" s="197"/>
      <c r="C29" s="358" t="str">
        <f>IF(C26&gt;C28,"See Tab A","")</f>
        <v/>
      </c>
      <c r="D29" s="358" t="str">
        <f>IF(D26&gt;D28,"See Tab C","")</f>
        <v/>
      </c>
      <c r="E29" s="107"/>
    </row>
    <row r="30" spans="2:5" s="795" customFormat="1" ht="15.75">
      <c r="B30" s="84"/>
      <c r="C30" s="84"/>
      <c r="D30" s="84"/>
      <c r="E30" s="228"/>
    </row>
    <row r="31" spans="2:5" s="795" customFormat="1" ht="15.75">
      <c r="B31" s="342" t="s">
        <v>7</v>
      </c>
      <c r="C31" s="343"/>
      <c r="D31" s="343"/>
      <c r="E31" s="344"/>
    </row>
    <row r="32" spans="2:5" s="795" customFormat="1" ht="15.75">
      <c r="B32" s="91" t="s">
        <v>282</v>
      </c>
      <c r="C32" s="614" t="s">
        <v>806</v>
      </c>
      <c r="D32" s="615" t="s">
        <v>807</v>
      </c>
      <c r="E32" s="204" t="s">
        <v>808</v>
      </c>
    </row>
    <row r="33" spans="2:5" s="795" customFormat="1" ht="15.75">
      <c r="B33" s="561" t="str">
        <f>(inputPrYr!B54)</f>
        <v>Enterprise Fund - Storm Water</v>
      </c>
      <c r="C33" s="440" t="s">
        <v>1052</v>
      </c>
      <c r="D33" s="440" t="s">
        <v>1053</v>
      </c>
      <c r="E33" s="268" t="s">
        <v>1054</v>
      </c>
    </row>
    <row r="34" spans="2:5" s="795" customFormat="1" ht="15.75">
      <c r="B34" s="167" t="s">
        <v>57</v>
      </c>
      <c r="C34" s="106">
        <v>151544</v>
      </c>
      <c r="D34" s="346">
        <f>C56</f>
        <v>194193</v>
      </c>
      <c r="E34" s="346">
        <f>D56</f>
        <v>174800</v>
      </c>
    </row>
    <row r="35" spans="2:5" s="795" customFormat="1" ht="15.75">
      <c r="B35" s="347" t="s">
        <v>59</v>
      </c>
      <c r="C35" s="124"/>
      <c r="D35" s="124"/>
      <c r="E35" s="124"/>
    </row>
    <row r="36" spans="2:5" s="795" customFormat="1" ht="15.75">
      <c r="B36" s="348" t="s">
        <v>1178</v>
      </c>
      <c r="C36" s="106">
        <v>89448</v>
      </c>
      <c r="D36" s="106">
        <v>89500</v>
      </c>
      <c r="E36" s="106">
        <v>89500</v>
      </c>
    </row>
    <row r="37" spans="2:5" s="795" customFormat="1" ht="15.75">
      <c r="B37" s="348" t="s">
        <v>1174</v>
      </c>
      <c r="C37" s="106">
        <v>1065</v>
      </c>
      <c r="D37" s="106">
        <v>1000</v>
      </c>
      <c r="E37" s="106">
        <v>1000</v>
      </c>
    </row>
    <row r="38" spans="2:5" s="795" customFormat="1" ht="15.75">
      <c r="B38" s="350" t="s">
        <v>1111</v>
      </c>
      <c r="C38" s="115">
        <v>71</v>
      </c>
      <c r="D38" s="115">
        <v>0</v>
      </c>
      <c r="E38" s="115">
        <v>0</v>
      </c>
    </row>
    <row r="39" spans="2:5" s="795" customFormat="1" ht="15.75">
      <c r="B39" s="348" t="s">
        <v>331</v>
      </c>
      <c r="C39" s="106">
        <v>447</v>
      </c>
      <c r="D39" s="106">
        <v>400</v>
      </c>
      <c r="E39" s="106">
        <v>380</v>
      </c>
    </row>
    <row r="40" spans="2:5" s="795" customFormat="1" ht="15.75">
      <c r="B40" s="351" t="s">
        <v>260</v>
      </c>
      <c r="C40" s="106"/>
      <c r="D40" s="106"/>
      <c r="E40" s="106"/>
    </row>
    <row r="41" spans="2:5" s="795" customFormat="1" ht="15.75">
      <c r="B41" s="352" t="s">
        <v>182</v>
      </c>
      <c r="C41" s="106"/>
      <c r="D41" s="345"/>
      <c r="E41" s="345"/>
    </row>
    <row r="42" spans="2:5" s="795" customFormat="1" ht="15.75">
      <c r="B42" s="352" t="s">
        <v>668</v>
      </c>
      <c r="C42" s="548" t="str">
        <f>IF(C43*0.1&lt;C41,"Exceed 10% Rule","")</f>
        <v/>
      </c>
      <c r="D42" s="353" t="str">
        <f>IF(D43*0.1&lt;D41,"Exceed 10% Rule","")</f>
        <v/>
      </c>
      <c r="E42" s="353" t="str">
        <f>IF(E43*0.1&lt;E41,"Exceed 10% Rule","")</f>
        <v/>
      </c>
    </row>
    <row r="43" spans="2:5" s="795" customFormat="1" ht="15.75">
      <c r="B43" s="354" t="s">
        <v>288</v>
      </c>
      <c r="C43" s="356">
        <f>SUM(C36:C41)</f>
        <v>91031</v>
      </c>
      <c r="D43" s="356">
        <f>SUM(D36:D41)</f>
        <v>90900</v>
      </c>
      <c r="E43" s="356">
        <f>SUM(E36:E41)</f>
        <v>90880</v>
      </c>
    </row>
    <row r="44" spans="2:5" s="795" customFormat="1" ht="15.75">
      <c r="B44" s="354" t="s">
        <v>289</v>
      </c>
      <c r="C44" s="356">
        <f>C34+C43</f>
        <v>242575</v>
      </c>
      <c r="D44" s="356">
        <f>D34+D43</f>
        <v>285093</v>
      </c>
      <c r="E44" s="356">
        <f>E34+E43</f>
        <v>265680</v>
      </c>
    </row>
    <row r="45" spans="2:5" s="795" customFormat="1" ht="15.75">
      <c r="B45" s="167" t="s">
        <v>291</v>
      </c>
      <c r="C45" s="124"/>
      <c r="D45" s="124"/>
      <c r="E45" s="124"/>
    </row>
    <row r="46" spans="2:5" s="795" customFormat="1" ht="15.75">
      <c r="B46" s="348" t="s">
        <v>1071</v>
      </c>
      <c r="C46" s="106">
        <v>28421</v>
      </c>
      <c r="D46" s="106">
        <v>82250</v>
      </c>
      <c r="E46" s="106">
        <v>147250</v>
      </c>
    </row>
    <row r="47" spans="2:5" s="795" customFormat="1" ht="15.75">
      <c r="B47" s="348" t="s">
        <v>1063</v>
      </c>
      <c r="C47" s="106">
        <v>0</v>
      </c>
      <c r="D47" s="106">
        <v>8300</v>
      </c>
      <c r="E47" s="106">
        <v>8300</v>
      </c>
    </row>
    <row r="48" spans="2:5" s="795" customFormat="1" ht="15.75">
      <c r="B48" s="348" t="s">
        <v>1126</v>
      </c>
      <c r="C48" s="115">
        <v>19961</v>
      </c>
      <c r="D48" s="115">
        <v>19743</v>
      </c>
      <c r="E48" s="115">
        <v>19828</v>
      </c>
    </row>
    <row r="49" spans="2:5" s="795" customFormat="1" ht="15.75">
      <c r="B49" s="348"/>
      <c r="C49" s="115"/>
      <c r="D49" s="115"/>
      <c r="E49" s="115"/>
    </row>
    <row r="50" spans="2:5" s="795" customFormat="1" ht="15.75">
      <c r="B50" s="348"/>
      <c r="C50" s="106"/>
      <c r="D50" s="106"/>
      <c r="E50" s="106"/>
    </row>
    <row r="51" spans="2:5" s="795" customFormat="1" ht="15.75">
      <c r="B51" s="348"/>
      <c r="C51" s="106"/>
      <c r="D51" s="106"/>
      <c r="E51" s="106"/>
    </row>
    <row r="52" spans="2:5" s="795" customFormat="1" ht="15.75">
      <c r="B52" s="348"/>
      <c r="C52" s="106"/>
      <c r="D52" s="106"/>
      <c r="E52" s="106"/>
    </row>
    <row r="53" spans="2:5" s="795" customFormat="1" ht="15.75">
      <c r="B53" s="352" t="s">
        <v>182</v>
      </c>
      <c r="C53" s="106"/>
      <c r="D53" s="345"/>
      <c r="E53" s="345"/>
    </row>
    <row r="54" spans="2:5" s="795" customFormat="1" ht="15.75">
      <c r="B54" s="352" t="s">
        <v>667</v>
      </c>
      <c r="C54" s="548" t="str">
        <f>IF(C55*0.1&lt;C53,"Exceed 10% Rule","")</f>
        <v/>
      </c>
      <c r="D54" s="353" t="str">
        <f>IF(D55*0.1&lt;D53,"Exceed 10% Rule","")</f>
        <v/>
      </c>
      <c r="E54" s="353" t="str">
        <f>IF(E55*0.1&lt;E53,"Exceed 10% Rule","")</f>
        <v/>
      </c>
    </row>
    <row r="55" spans="2:5" s="795" customFormat="1" ht="15.75">
      <c r="B55" s="354" t="s">
        <v>295</v>
      </c>
      <c r="C55" s="356">
        <f>SUM(C46:C53)</f>
        <v>48382</v>
      </c>
      <c r="D55" s="356">
        <f>SUM(D46:D53)</f>
        <v>110293</v>
      </c>
      <c r="E55" s="356">
        <f>SUM(E46:E53)</f>
        <v>175378</v>
      </c>
    </row>
    <row r="56" spans="2:5" s="795" customFormat="1" ht="15.75">
      <c r="B56" s="167" t="s">
        <v>58</v>
      </c>
      <c r="C56" s="119">
        <f>C44-C55</f>
        <v>194193</v>
      </c>
      <c r="D56" s="119">
        <f>D44-D55</f>
        <v>174800</v>
      </c>
      <c r="E56" s="119">
        <f>E44-E55</f>
        <v>90302</v>
      </c>
    </row>
    <row r="57" spans="2:5" s="795" customFormat="1" ht="15.75">
      <c r="B57" s="797" t="s">
        <v>1051</v>
      </c>
      <c r="C57" s="303">
        <f>inputOth!B101</f>
        <v>124976</v>
      </c>
      <c r="D57" s="303">
        <f>inputPrYr!D54</f>
        <v>110293</v>
      </c>
      <c r="E57" s="547" t="str">
        <f>IF(E56&lt;0,"See Tab E","")</f>
        <v/>
      </c>
    </row>
    <row r="58" spans="2:5">
      <c r="B58" s="107"/>
      <c r="C58" s="107"/>
      <c r="D58" s="107"/>
      <c r="E58" s="107"/>
    </row>
    <row r="59" spans="2:5" ht="15.75">
      <c r="B59" s="197" t="s">
        <v>298</v>
      </c>
      <c r="C59" s="297">
        <v>23</v>
      </c>
      <c r="D59" s="107"/>
      <c r="E59" s="107"/>
    </row>
  </sheetData>
  <phoneticPr fontId="9" type="noConversion"/>
  <conditionalFormatting sqref="C13">
    <cfRule type="cellIs" dxfId="41" priority="14" stopIfTrue="1" operator="greaterThan">
      <formula>$C$15*0.1</formula>
    </cfRule>
  </conditionalFormatting>
  <conditionalFormatting sqref="D13">
    <cfRule type="cellIs" dxfId="40" priority="15" stopIfTrue="1" operator="greaterThan">
      <formula>$D$15*0.1</formula>
    </cfRule>
  </conditionalFormatting>
  <conditionalFormatting sqref="E13">
    <cfRule type="cellIs" dxfId="39" priority="16" stopIfTrue="1" operator="greaterThan">
      <formula>$E$15*0.1</formula>
    </cfRule>
  </conditionalFormatting>
  <conditionalFormatting sqref="C24">
    <cfRule type="cellIs" dxfId="38" priority="17" stopIfTrue="1" operator="greaterThan">
      <formula>$C$26*0.1</formula>
    </cfRule>
  </conditionalFormatting>
  <conditionalFormatting sqref="D24">
    <cfRule type="cellIs" dxfId="37" priority="18" stopIfTrue="1" operator="greaterThan">
      <formula>$D$26*0.1</formula>
    </cfRule>
  </conditionalFormatting>
  <conditionalFormatting sqref="E24">
    <cfRule type="cellIs" dxfId="36" priority="19" stopIfTrue="1" operator="greaterThan">
      <formula>$E$26*0.1</formula>
    </cfRule>
  </conditionalFormatting>
  <conditionalFormatting sqref="E27 C27">
    <cfRule type="cellIs" dxfId="35" priority="20" stopIfTrue="1" operator="lessThan">
      <formula>0</formula>
    </cfRule>
  </conditionalFormatting>
  <conditionalFormatting sqref="C26">
    <cfRule type="cellIs" dxfId="34" priority="21" stopIfTrue="1" operator="greaterThan">
      <formula>$C$28</formula>
    </cfRule>
  </conditionalFormatting>
  <conditionalFormatting sqref="D26">
    <cfRule type="cellIs" dxfId="33" priority="22" stopIfTrue="1" operator="greaterThan">
      <formula>$D$28</formula>
    </cfRule>
  </conditionalFormatting>
  <conditionalFormatting sqref="D27">
    <cfRule type="cellIs" dxfId="32" priority="12" stopIfTrue="1" operator="lessThan">
      <formula>0</formula>
    </cfRule>
    <cfRule type="cellIs" dxfId="31" priority="13" stopIfTrue="1" operator="lessThan">
      <formula>0</formula>
    </cfRule>
  </conditionalFormatting>
  <conditionalFormatting sqref="D56">
    <cfRule type="cellIs" dxfId="30" priority="1" stopIfTrue="1" operator="lessThan">
      <formula>0</formula>
    </cfRule>
    <cfRule type="cellIs" dxfId="29" priority="2" stopIfTrue="1" operator="lessThan">
      <formula>0</formula>
    </cfRule>
  </conditionalFormatting>
  <conditionalFormatting sqref="C41">
    <cfRule type="cellIs" dxfId="28" priority="3" stopIfTrue="1" operator="greaterThan">
      <formula>$C$15*0.1</formula>
    </cfRule>
  </conditionalFormatting>
  <conditionalFormatting sqref="D41">
    <cfRule type="cellIs" dxfId="27" priority="4" stopIfTrue="1" operator="greaterThan">
      <formula>$D$15*0.1</formula>
    </cfRule>
  </conditionalFormatting>
  <conditionalFormatting sqref="E41">
    <cfRule type="cellIs" dxfId="26" priority="5" stopIfTrue="1" operator="greaterThan">
      <formula>$E$15*0.1</formula>
    </cfRule>
  </conditionalFormatting>
  <conditionalFormatting sqref="C53">
    <cfRule type="cellIs" dxfId="25" priority="6" stopIfTrue="1" operator="greaterThan">
      <formula>$C$26*0.1</formula>
    </cfRule>
  </conditionalFormatting>
  <conditionalFormatting sqref="D53">
    <cfRule type="cellIs" dxfId="24" priority="7" stopIfTrue="1" operator="greaterThan">
      <formula>$D$26*0.1</formula>
    </cfRule>
  </conditionalFormatting>
  <conditionalFormatting sqref="E53">
    <cfRule type="cellIs" dxfId="23" priority="8" stopIfTrue="1" operator="greaterThan">
      <formula>$E$26*0.1</formula>
    </cfRule>
  </conditionalFormatting>
  <conditionalFormatting sqref="E56 C56">
    <cfRule type="cellIs" dxfId="22" priority="9" stopIfTrue="1" operator="lessThan">
      <formula>0</formula>
    </cfRule>
  </conditionalFormatting>
  <conditionalFormatting sqref="C55">
    <cfRule type="cellIs" dxfId="21" priority="10" stopIfTrue="1" operator="greaterThan">
      <formula>$C$28</formula>
    </cfRule>
  </conditionalFormatting>
  <conditionalFormatting sqref="D55">
    <cfRule type="cellIs" dxfId="20" priority="11" stopIfTrue="1" operator="greaterThan">
      <formula>$D$28</formula>
    </cfRule>
  </conditionalFormatting>
  <pageMargins left="0.75" right="0.75" top="1" bottom="1" header="0.5" footer="0.5"/>
  <pageSetup scale="77" orientation="portrait"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104"/>
  <sheetViews>
    <sheetView workbookViewId="0">
      <selection activeCell="E58" sqref="E58"/>
    </sheetView>
  </sheetViews>
  <sheetFormatPr defaultColWidth="8.88671875" defaultRowHeight="15"/>
  <cols>
    <col min="1" max="1" width="29.5546875" style="144" customWidth="1"/>
    <col min="2" max="2" width="12.5546875" style="144" customWidth="1"/>
    <col min="3" max="3" width="10.77734375" style="144" customWidth="1"/>
    <col min="4" max="5" width="11.33203125" style="144" customWidth="1"/>
    <col min="6" max="6" width="10.77734375" style="144" customWidth="1"/>
    <col min="7" max="16384" width="8.88671875" style="144"/>
  </cols>
  <sheetData>
    <row r="1" spans="1:6" ht="15.75">
      <c r="A1" s="145" t="str">
        <f>inputPrYr!$D$3</f>
        <v>City of Bonner Springs</v>
      </c>
      <c r="B1" s="107"/>
      <c r="C1" s="107"/>
      <c r="D1" s="107"/>
      <c r="E1" s="146">
        <f>inputPrYr!C10</f>
        <v>2014</v>
      </c>
      <c r="F1" s="107"/>
    </row>
    <row r="2" spans="1:6">
      <c r="A2" s="107"/>
      <c r="B2" s="107"/>
      <c r="C2" s="107"/>
      <c r="D2" s="107"/>
      <c r="E2" s="107"/>
      <c r="F2" s="107"/>
    </row>
    <row r="3" spans="1:6" ht="15.75">
      <c r="A3" s="842" t="s">
        <v>146</v>
      </c>
      <c r="B3" s="843"/>
      <c r="C3" s="843"/>
      <c r="D3" s="843"/>
      <c r="E3" s="843"/>
      <c r="F3" s="107"/>
    </row>
    <row r="4" spans="1:6" ht="15.75">
      <c r="A4" s="431"/>
      <c r="B4" s="107"/>
      <c r="C4" s="107"/>
      <c r="D4" s="107"/>
      <c r="E4" s="107"/>
      <c r="F4" s="107"/>
    </row>
    <row r="5" spans="1:6">
      <c r="A5" s="107"/>
      <c r="B5" s="107"/>
      <c r="C5" s="107"/>
      <c r="D5" s="107"/>
      <c r="E5" s="107"/>
      <c r="F5" s="107"/>
    </row>
    <row r="6" spans="1:6" ht="16.5" thickBot="1">
      <c r="A6" s="851" t="str">
        <f>CONCATENATE("From the County Clerks ",E1," Budget Information:")</f>
        <v>From the County Clerks 2014 Budget Information:</v>
      </c>
      <c r="B6" s="852"/>
      <c r="C6" s="852"/>
      <c r="D6" s="852"/>
      <c r="E6" s="852"/>
      <c r="F6" s="852"/>
    </row>
    <row r="7" spans="1:6" ht="15.75">
      <c r="A7" s="112"/>
      <c r="B7" s="856" t="str">
        <f>CONCATENATE("Assessed Valuation for ",E1-1,"")</f>
        <v>Assessed Valuation for 2013</v>
      </c>
      <c r="C7" s="857" t="str">
        <f>CONCATENATE("New Improvements for ",E1-1,"")</f>
        <v>New Improvements for 2013</v>
      </c>
      <c r="D7" s="859" t="str">
        <f>CONCATENATE("Personal Property excluding oil, gas, and mobile homes- ",E1-1,"")</f>
        <v>Personal Property excluding oil, gas, and mobile homes- 2013</v>
      </c>
      <c r="E7" s="861" t="str">
        <f>CONCATENATE("Property that has changed in use for ",E1-1,"")</f>
        <v>Property that has changed in use for 2013</v>
      </c>
      <c r="F7" s="849" t="str">
        <f>CONCATENATE("Personal Property excluding oil, gas, and mobile homes- ",E1-2,"")</f>
        <v>Personal Property excluding oil, gas, and mobile homes- 2012</v>
      </c>
    </row>
    <row r="8" spans="1:6" ht="15.75">
      <c r="A8" s="112"/>
      <c r="B8" s="857"/>
      <c r="C8" s="857"/>
      <c r="D8" s="859"/>
      <c r="E8" s="861"/>
      <c r="F8" s="849"/>
    </row>
    <row r="9" spans="1:6" ht="15.75">
      <c r="A9" s="147"/>
      <c r="B9" s="858"/>
      <c r="C9" s="858"/>
      <c r="D9" s="860"/>
      <c r="E9" s="862"/>
      <c r="F9" s="850"/>
    </row>
    <row r="10" spans="1:6" ht="15.75">
      <c r="A10" s="104" t="str">
        <f>inputPrYr!D4</f>
        <v>Wyandotte County</v>
      </c>
      <c r="B10" s="115">
        <v>62218056</v>
      </c>
      <c r="C10" s="115">
        <v>555206</v>
      </c>
      <c r="D10" s="115">
        <v>1784004</v>
      </c>
      <c r="E10" s="106">
        <v>696134</v>
      </c>
      <c r="F10" s="115">
        <v>1940625</v>
      </c>
    </row>
    <row r="11" spans="1:6" ht="15.75">
      <c r="A11" s="148" t="str">
        <f>inputPrYr!D6</f>
        <v>Johnson</v>
      </c>
      <c r="B11" s="115">
        <v>3334313</v>
      </c>
      <c r="C11" s="115">
        <v>0</v>
      </c>
      <c r="D11" s="115">
        <v>518128</v>
      </c>
      <c r="E11" s="106">
        <v>21578</v>
      </c>
      <c r="F11" s="115">
        <v>512580</v>
      </c>
    </row>
    <row r="12" spans="1:6" ht="15.75">
      <c r="A12" s="148" t="str">
        <f>inputPrYr!D7</f>
        <v>Leavenworth</v>
      </c>
      <c r="B12" s="115">
        <v>27880</v>
      </c>
      <c r="C12" s="115">
        <v>0</v>
      </c>
      <c r="D12" s="149">
        <v>614</v>
      </c>
      <c r="E12" s="106">
        <v>0</v>
      </c>
      <c r="F12" s="115">
        <v>682</v>
      </c>
    </row>
    <row r="13" spans="1:6" ht="15.75">
      <c r="A13" s="148" t="str">
        <f>inputPrYr!D8</f>
        <v xml:space="preserve"> </v>
      </c>
      <c r="B13" s="115"/>
      <c r="C13" s="115"/>
      <c r="D13" s="115"/>
      <c r="E13" s="115"/>
      <c r="F13" s="115"/>
    </row>
    <row r="14" spans="1:6" ht="15.75">
      <c r="A14" s="104" t="s">
        <v>271</v>
      </c>
      <c r="B14" s="119">
        <f>SUM(B10:B13)</f>
        <v>65580249</v>
      </c>
      <c r="C14" s="119">
        <f>SUM(C10:C13)</f>
        <v>555206</v>
      </c>
      <c r="D14" s="119">
        <f>SUM(D10:D13)</f>
        <v>2302746</v>
      </c>
      <c r="E14" s="119">
        <f>SUM(E10:E13)</f>
        <v>717712</v>
      </c>
      <c r="F14" s="119">
        <f>SUM(F10:F13)</f>
        <v>2453887</v>
      </c>
    </row>
    <row r="15" spans="1:6" ht="15.75">
      <c r="A15" s="112"/>
      <c r="B15" s="113"/>
      <c r="C15" s="113"/>
      <c r="D15" s="113"/>
      <c r="E15" s="150"/>
      <c r="F15" s="107"/>
    </row>
    <row r="16" spans="1:6" ht="16.5" thickBot="1">
      <c r="A16" s="854" t="str">
        <f>CONCATENATE("Territory Added for ",E1-1,"")</f>
        <v>Territory Added for 2013</v>
      </c>
      <c r="B16" s="855"/>
      <c r="C16" s="855"/>
      <c r="D16" s="855"/>
      <c r="E16" s="150"/>
      <c r="F16" s="107"/>
    </row>
    <row r="17" spans="1:6" ht="31.5">
      <c r="A17" s="109"/>
      <c r="B17" s="151" t="s">
        <v>168</v>
      </c>
      <c r="C17" s="151" t="s">
        <v>51</v>
      </c>
      <c r="D17" s="151" t="s">
        <v>52</v>
      </c>
      <c r="E17" s="150"/>
      <c r="F17" s="107"/>
    </row>
    <row r="18" spans="1:6" ht="15.75">
      <c r="A18" s="104" t="str">
        <f>inputPrYr!D4</f>
        <v>Wyandotte County</v>
      </c>
      <c r="B18" s="152">
        <v>0</v>
      </c>
      <c r="C18" s="152">
        <v>0</v>
      </c>
      <c r="D18" s="152">
        <v>0</v>
      </c>
      <c r="E18" s="150"/>
      <c r="F18" s="107"/>
    </row>
    <row r="19" spans="1:6" ht="15.75">
      <c r="A19" s="104" t="str">
        <f>inputPrYr!D6</f>
        <v>Johnson</v>
      </c>
      <c r="B19" s="152">
        <v>0</v>
      </c>
      <c r="C19" s="152">
        <v>0</v>
      </c>
      <c r="D19" s="152">
        <v>0</v>
      </c>
      <c r="E19" s="150"/>
      <c r="F19" s="107"/>
    </row>
    <row r="20" spans="1:6" ht="15.75">
      <c r="A20" s="104" t="str">
        <f>inputPrYr!D7</f>
        <v>Leavenworth</v>
      </c>
      <c r="B20" s="152">
        <v>0</v>
      </c>
      <c r="C20" s="152">
        <v>0</v>
      </c>
      <c r="D20" s="152">
        <v>0</v>
      </c>
      <c r="E20" s="150"/>
      <c r="F20" s="107"/>
    </row>
    <row r="21" spans="1:6" ht="15.75">
      <c r="A21" s="104" t="str">
        <f>inputPrYr!D8</f>
        <v xml:space="preserve"> </v>
      </c>
      <c r="B21" s="152"/>
      <c r="C21" s="152"/>
      <c r="D21" s="152"/>
      <c r="E21" s="150"/>
      <c r="F21" s="107"/>
    </row>
    <row r="22" spans="1:6" ht="15.75">
      <c r="A22" s="104" t="s">
        <v>271</v>
      </c>
      <c r="B22" s="153">
        <f>SUM(B18:B21)</f>
        <v>0</v>
      </c>
      <c r="C22" s="153">
        <f>SUM(C18:C21)</f>
        <v>0</v>
      </c>
      <c r="D22" s="153">
        <f>SUM(D18:D21)</f>
        <v>0</v>
      </c>
      <c r="E22" s="150"/>
      <c r="F22" s="107"/>
    </row>
    <row r="23" spans="1:6" ht="15.75">
      <c r="A23" s="112"/>
      <c r="B23" s="154"/>
      <c r="C23" s="154"/>
      <c r="D23" s="154"/>
      <c r="E23" s="150"/>
      <c r="F23" s="107"/>
    </row>
    <row r="24" spans="1:6" ht="15.75">
      <c r="A24" s="109" t="str">
        <f>CONCATENATE("Gross earnings (intangible) tax estimate for ",E1,"")</f>
        <v>Gross earnings (intangible) tax estimate for 2014</v>
      </c>
      <c r="B24" s="99"/>
      <c r="C24" s="99"/>
      <c r="D24" s="125"/>
      <c r="E24" s="106"/>
      <c r="F24" s="107"/>
    </row>
    <row r="25" spans="1:6" ht="15.75">
      <c r="A25" s="148" t="s">
        <v>174</v>
      </c>
      <c r="B25" s="131"/>
      <c r="C25" s="131"/>
      <c r="D25" s="131"/>
      <c r="E25" s="115">
        <v>0</v>
      </c>
      <c r="F25" s="107"/>
    </row>
    <row r="26" spans="1:6" ht="15.75">
      <c r="A26" s="112"/>
      <c r="B26" s="113"/>
      <c r="C26" s="113"/>
      <c r="D26" s="113"/>
      <c r="E26" s="121"/>
      <c r="F26" s="107"/>
    </row>
    <row r="27" spans="1:6" ht="16.5" thickBot="1">
      <c r="A27" s="854" t="str">
        <f>CONCATENATE("Actual Tax Rates for the ",E1-1," Budget:")</f>
        <v>Actual Tax Rates for the 2013 Budget:</v>
      </c>
      <c r="B27" s="866"/>
      <c r="C27" s="866"/>
      <c r="D27" s="866"/>
      <c r="E27" s="121"/>
      <c r="F27" s="107"/>
    </row>
    <row r="28" spans="1:6" ht="15.75">
      <c r="A28" s="853" t="s">
        <v>269</v>
      </c>
      <c r="B28" s="845"/>
      <c r="C28" s="107"/>
      <c r="D28" s="155" t="s">
        <v>320</v>
      </c>
      <c r="E28" s="121"/>
      <c r="F28" s="107"/>
    </row>
    <row r="29" spans="1:6" ht="15.75">
      <c r="A29" s="109" t="s">
        <v>257</v>
      </c>
      <c r="B29" s="99"/>
      <c r="C29" s="113"/>
      <c r="D29" s="156">
        <v>18.533000000000001</v>
      </c>
      <c r="E29" s="121"/>
      <c r="F29" s="107"/>
    </row>
    <row r="30" spans="1:6" ht="15.75">
      <c r="A30" s="148" t="s">
        <v>217</v>
      </c>
      <c r="B30" s="131"/>
      <c r="C30" s="113"/>
      <c r="D30" s="157">
        <v>7.1269999999999998</v>
      </c>
      <c r="E30" s="121"/>
      <c r="F30" s="107"/>
    </row>
    <row r="31" spans="1:6" ht="15.75">
      <c r="A31" s="148" t="str">
        <f>IF(inputPrYr!B24&gt;" ",(inputPrYr!B24)," ")</f>
        <v>Library</v>
      </c>
      <c r="B31" s="131"/>
      <c r="C31" s="113"/>
      <c r="D31" s="157">
        <v>4.9450000000000003</v>
      </c>
      <c r="E31" s="121"/>
      <c r="F31" s="107"/>
    </row>
    <row r="32" spans="1:6" ht="15.75">
      <c r="A32" s="148" t="s">
        <v>260</v>
      </c>
      <c r="B32" s="158"/>
      <c r="C32" s="113"/>
      <c r="D32" s="159"/>
      <c r="E32" s="121"/>
      <c r="F32" s="107"/>
    </row>
    <row r="33" spans="1:6" ht="15.75">
      <c r="A33" s="148" t="s">
        <v>260</v>
      </c>
      <c r="B33" s="158"/>
      <c r="C33" s="113"/>
      <c r="D33" s="159"/>
      <c r="E33" s="121"/>
      <c r="F33" s="107"/>
    </row>
    <row r="34" spans="1:6" ht="15.75">
      <c r="A34" s="160"/>
      <c r="B34" s="352" t="s">
        <v>259</v>
      </c>
      <c r="C34" s="649"/>
      <c r="D34" s="648">
        <f>SUM(D29:D33)</f>
        <v>30.605</v>
      </c>
      <c r="E34" s="160" t="s">
        <v>1017</v>
      </c>
      <c r="F34" s="107"/>
    </row>
    <row r="35" spans="1:6">
      <c r="A35" s="160"/>
      <c r="B35" s="160"/>
      <c r="C35" s="160"/>
      <c r="D35" s="160"/>
      <c r="E35" s="160"/>
      <c r="F35" s="107"/>
    </row>
    <row r="36" spans="1:6" ht="16.5" thickBot="1">
      <c r="A36" s="865" t="str">
        <f>CONCATENATE("Final Assessed Valuation from the November 1, ",E1-2," Abstract:")</f>
        <v>Final Assessed Valuation from the November 1, 2012 Abstract:</v>
      </c>
      <c r="B36" s="865"/>
      <c r="C36" s="865"/>
      <c r="D36" s="865"/>
      <c r="E36" s="161"/>
      <c r="F36" s="107"/>
    </row>
    <row r="37" spans="1:6" ht="15.75">
      <c r="A37" s="155"/>
      <c r="B37" s="107"/>
      <c r="C37" s="107"/>
      <c r="D37" s="107"/>
      <c r="E37" s="161"/>
      <c r="F37" s="107"/>
    </row>
    <row r="38" spans="1:6" ht="15.75">
      <c r="A38" s="104" t="str">
        <f>inputPrYr!D4</f>
        <v>Wyandotte County</v>
      </c>
      <c r="B38" s="160"/>
      <c r="C38" s="160"/>
      <c r="D38" s="115">
        <v>62619066</v>
      </c>
      <c r="E38" s="160"/>
      <c r="F38" s="107"/>
    </row>
    <row r="39" spans="1:6" ht="15.75">
      <c r="A39" s="104" t="str">
        <f>inputPrYr!D6</f>
        <v>Johnson</v>
      </c>
      <c r="B39" s="160"/>
      <c r="C39" s="160"/>
      <c r="D39" s="115">
        <v>3569285</v>
      </c>
      <c r="E39" s="160"/>
      <c r="F39" s="107"/>
    </row>
    <row r="40" spans="1:6" ht="15.75">
      <c r="A40" s="104" t="str">
        <f>inputPrYr!D7</f>
        <v>Leavenworth</v>
      </c>
      <c r="B40" s="160"/>
      <c r="C40" s="160"/>
      <c r="D40" s="115">
        <v>27894</v>
      </c>
      <c r="E40" s="160"/>
      <c r="F40" s="107"/>
    </row>
    <row r="41" spans="1:6" ht="15.75">
      <c r="A41" s="104" t="str">
        <f>inputPrYr!D8</f>
        <v xml:space="preserve"> </v>
      </c>
      <c r="B41" s="160"/>
      <c r="C41" s="160"/>
      <c r="D41" s="115"/>
      <c r="E41" s="160"/>
      <c r="F41" s="107"/>
    </row>
    <row r="42" spans="1:6" ht="15.75">
      <c r="A42" s="105" t="s">
        <v>166</v>
      </c>
      <c r="B42" s="160"/>
      <c r="C42" s="160"/>
      <c r="D42" s="119">
        <f>SUM(D38:D41)</f>
        <v>66216245</v>
      </c>
      <c r="E42" s="160"/>
      <c r="F42" s="107"/>
    </row>
    <row r="43" spans="1:6">
      <c r="A43" s="160"/>
      <c r="B43" s="160"/>
      <c r="C43" s="160"/>
      <c r="D43" s="160"/>
      <c r="E43" s="160"/>
      <c r="F43" s="107"/>
    </row>
    <row r="44" spans="1:6" ht="15.75">
      <c r="A44" s="133" t="str">
        <f>CONCATENATE("From the County Treasurer's Budget Information - ",E1," Budget Year Estimates:")</f>
        <v>From the County Treasurer's Budget Information - 2014 Budget Year Estimates:</v>
      </c>
      <c r="B44" s="96"/>
      <c r="C44" s="96"/>
      <c r="D44" s="162"/>
      <c r="E44" s="163"/>
      <c r="F44" s="107"/>
    </row>
    <row r="45" spans="1:6" ht="15.75">
      <c r="A45" s="164"/>
      <c r="B45" s="165"/>
      <c r="C45" s="867" t="s">
        <v>171</v>
      </c>
      <c r="D45" s="873" t="s">
        <v>169</v>
      </c>
      <c r="E45" s="867" t="s">
        <v>170</v>
      </c>
      <c r="F45" s="107"/>
    </row>
    <row r="46" spans="1:6" ht="15.75">
      <c r="A46" s="876" t="str">
        <f>CONCATENATE("",E1," Vehicle Tax Estimates")</f>
        <v>2014 Vehicle Tax Estimates</v>
      </c>
      <c r="B46" s="877"/>
      <c r="C46" s="868"/>
      <c r="D46" s="868"/>
      <c r="E46" s="868"/>
      <c r="F46" s="107"/>
    </row>
    <row r="47" spans="1:6" ht="15.75">
      <c r="A47" s="166" t="str">
        <f>inputPrYr!D4</f>
        <v>Wyandotte County</v>
      </c>
      <c r="B47" s="132"/>
      <c r="C47" s="115">
        <v>239727</v>
      </c>
      <c r="D47" s="115">
        <v>1550</v>
      </c>
      <c r="E47" s="106">
        <v>1288</v>
      </c>
      <c r="F47" s="107"/>
    </row>
    <row r="48" spans="1:6" ht="15.75">
      <c r="A48" s="167" t="str">
        <f>inputPrYr!D6</f>
        <v>Johnson</v>
      </c>
      <c r="B48" s="132"/>
      <c r="C48" s="115">
        <v>2423.5500000000002</v>
      </c>
      <c r="D48" s="115">
        <v>0</v>
      </c>
      <c r="E48" s="106">
        <v>303.52</v>
      </c>
      <c r="F48" s="107"/>
    </row>
    <row r="49" spans="1:6" ht="15.75">
      <c r="A49" s="167" t="str">
        <f>inputPrYr!D7</f>
        <v>Leavenworth</v>
      </c>
      <c r="B49" s="132"/>
      <c r="C49" s="115">
        <v>181.7</v>
      </c>
      <c r="D49" s="115">
        <v>0</v>
      </c>
      <c r="E49" s="106">
        <v>20.11</v>
      </c>
      <c r="F49" s="107"/>
    </row>
    <row r="50" spans="1:6" ht="15.75">
      <c r="A50" s="167" t="str">
        <f>inputPrYr!D8</f>
        <v xml:space="preserve"> </v>
      </c>
      <c r="B50" s="132"/>
      <c r="C50" s="168"/>
      <c r="D50" s="115"/>
      <c r="E50" s="106"/>
      <c r="F50" s="107"/>
    </row>
    <row r="51" spans="1:6" ht="15.75">
      <c r="A51" s="167" t="s">
        <v>172</v>
      </c>
      <c r="B51" s="132"/>
      <c r="C51" s="169">
        <f>SUM(C47:C50)</f>
        <v>242332.25</v>
      </c>
      <c r="D51" s="119">
        <f>SUM(D47:D50)</f>
        <v>1550</v>
      </c>
      <c r="E51" s="119">
        <f>SUM(E47:E50)</f>
        <v>1611.6299999999999</v>
      </c>
      <c r="F51" s="107"/>
    </row>
    <row r="52" spans="1:6" ht="15.75">
      <c r="A52" s="109"/>
      <c r="B52" s="99"/>
      <c r="C52" s="99"/>
      <c r="D52" s="170"/>
      <c r="E52" s="121"/>
      <c r="F52" s="107"/>
    </row>
    <row r="53" spans="1:6" ht="15.75">
      <c r="A53" s="109" t="s">
        <v>89</v>
      </c>
      <c r="B53" s="99"/>
      <c r="C53" s="99"/>
      <c r="D53" s="171"/>
      <c r="E53" s="106">
        <v>0</v>
      </c>
      <c r="F53" s="107"/>
    </row>
    <row r="54" spans="1:6" ht="15.75">
      <c r="A54" s="148" t="s">
        <v>90</v>
      </c>
      <c r="B54" s="131"/>
      <c r="C54" s="131"/>
      <c r="D54" s="172"/>
      <c r="E54" s="106">
        <v>0</v>
      </c>
      <c r="F54" s="107"/>
    </row>
    <row r="55" spans="1:6" ht="15.75">
      <c r="A55" s="84"/>
      <c r="B55" s="84"/>
      <c r="C55" s="84"/>
      <c r="D55" s="84"/>
      <c r="E55" s="84"/>
      <c r="F55" s="107"/>
    </row>
    <row r="56" spans="1:6" ht="15.75">
      <c r="A56" s="83" t="s">
        <v>276</v>
      </c>
      <c r="B56" s="94"/>
      <c r="C56" s="94"/>
      <c r="D56" s="84"/>
      <c r="E56" s="84"/>
      <c r="F56" s="107"/>
    </row>
    <row r="57" spans="1:6" ht="15.75">
      <c r="A57" s="112" t="str">
        <f>CONCATENATE("Actual Delinquency for ",E20-3," Tax - (rate .01213 = 1.213%, key in 1.2)")</f>
        <v>Actual Delinquency for -3 Tax - (rate .01213 = 1.213%, key in 1.2)</v>
      </c>
      <c r="B57" s="113"/>
      <c r="C57" s="84"/>
      <c r="D57" s="84"/>
      <c r="E57" s="651">
        <v>0</v>
      </c>
      <c r="F57" s="107"/>
    </row>
    <row r="58" spans="1:6" ht="15.75">
      <c r="A58" s="650" t="s">
        <v>868</v>
      </c>
      <c r="B58" s="109"/>
      <c r="C58" s="99"/>
      <c r="D58" s="99"/>
      <c r="E58" s="822">
        <v>5.2630999999999997E-2</v>
      </c>
      <c r="F58" s="107"/>
    </row>
    <row r="59" spans="1:6" ht="15.75">
      <c r="A59" s="175" t="s">
        <v>173</v>
      </c>
      <c r="B59" s="176"/>
      <c r="C59" s="176"/>
      <c r="D59" s="176"/>
      <c r="E59" s="176"/>
      <c r="F59" s="177"/>
    </row>
    <row r="60" spans="1:6" ht="15.75">
      <c r="A60" s="84"/>
      <c r="B60" s="84"/>
      <c r="C60" s="84"/>
      <c r="D60" s="84"/>
      <c r="E60" s="84"/>
      <c r="F60" s="107"/>
    </row>
    <row r="61" spans="1:6" ht="16.5" thickBot="1">
      <c r="A61" s="178" t="s">
        <v>159</v>
      </c>
      <c r="B61" s="179"/>
      <c r="C61" s="180"/>
      <c r="D61" s="180"/>
      <c r="E61" s="180"/>
      <c r="F61" s="181"/>
    </row>
    <row r="62" spans="1:6" ht="15.75">
      <c r="A62" s="182" t="str">
        <f>CONCATENATE("",E1," State Distribution for Kansas Gas Tax")</f>
        <v>2014 State Distribution for Kansas Gas Tax</v>
      </c>
      <c r="B62" s="183"/>
      <c r="C62" s="183"/>
      <c r="D62" s="184"/>
      <c r="E62" s="185"/>
      <c r="F62" s="107"/>
    </row>
    <row r="63" spans="1:6" ht="15.75">
      <c r="A63" s="186" t="str">
        <f>CONCATENATE("",E1," County Transfers for Gas**")</f>
        <v>2014 County Transfers for Gas**</v>
      </c>
      <c r="B63" s="187"/>
      <c r="C63" s="187"/>
      <c r="D63" s="188"/>
      <c r="E63" s="115"/>
      <c r="F63" s="107"/>
    </row>
    <row r="64" spans="1:6" ht="15.75">
      <c r="A64" s="186" t="str">
        <f>CONCATENATE("Adjusted ",E1-1," State Distribution for Kansas Gas Tax")</f>
        <v>Adjusted 2013 State Distribution for Kansas Gas Tax</v>
      </c>
      <c r="B64" s="187"/>
      <c r="C64" s="187"/>
      <c r="D64" s="188"/>
      <c r="E64" s="115"/>
      <c r="F64" s="107"/>
    </row>
    <row r="65" spans="1:7" ht="15.75">
      <c r="A65" s="186" t="str">
        <f>CONCATENATE("Adjusted ",E1-1," County Transfers for Gas**")</f>
        <v>Adjusted 2013 County Transfers for Gas**</v>
      </c>
      <c r="B65" s="187"/>
      <c r="C65" s="187"/>
      <c r="D65" s="188"/>
      <c r="E65" s="115"/>
      <c r="F65" s="107"/>
    </row>
    <row r="66" spans="1:7">
      <c r="A66" s="874" t="s">
        <v>141</v>
      </c>
      <c r="B66" s="848"/>
      <c r="C66" s="848"/>
      <c r="D66" s="848"/>
      <c r="E66" s="848"/>
      <c r="F66" s="875"/>
    </row>
    <row r="67" spans="1:7">
      <c r="A67" s="177" t="s">
        <v>142</v>
      </c>
      <c r="B67" s="177"/>
      <c r="C67" s="177"/>
      <c r="D67" s="177"/>
      <c r="E67" s="177"/>
      <c r="F67" s="107"/>
    </row>
    <row r="68" spans="1:7">
      <c r="A68" s="107"/>
      <c r="B68" s="107"/>
      <c r="C68" s="107"/>
      <c r="D68" s="107"/>
      <c r="E68" s="107"/>
    </row>
    <row r="69" spans="1:7" ht="15.75">
      <c r="A69" s="863" t="str">
        <f>CONCATENATE("From the ",E1-2," Budget Certificate Page")</f>
        <v>From the 2012 Budget Certificate Page</v>
      </c>
      <c r="B69" s="864"/>
      <c r="C69" s="107"/>
      <c r="D69" s="107"/>
      <c r="E69" s="107"/>
    </row>
    <row r="70" spans="1:7" ht="15.75">
      <c r="A70" s="189"/>
      <c r="B70" s="871" t="str">
        <f>CONCATENATE("",E1-2,"        Expenditure Amt Budget Authority")</f>
        <v>2012        Expenditure Amt Budget Authority</v>
      </c>
      <c r="C70" s="869" t="str">
        <f>CONCATENATE("Note: If the ",E1-2," budget was amended, then")</f>
        <v>Note: If the 2012 budget was amended, then</v>
      </c>
      <c r="D70" s="870"/>
      <c r="E70" s="870"/>
    </row>
    <row r="71" spans="1:7" ht="15.75">
      <c r="A71" s="190" t="s">
        <v>178</v>
      </c>
      <c r="B71" s="872"/>
      <c r="C71" s="191" t="s">
        <v>179</v>
      </c>
      <c r="D71" s="192"/>
      <c r="E71" s="192"/>
    </row>
    <row r="72" spans="1:7" ht="15.75">
      <c r="A72" s="193"/>
      <c r="B72" s="868"/>
      <c r="C72" s="191" t="s">
        <v>180</v>
      </c>
      <c r="D72" s="192"/>
      <c r="E72" s="192"/>
      <c r="G72" s="194"/>
    </row>
    <row r="73" spans="1:7" ht="15.75">
      <c r="A73" s="195" t="str">
        <f>inputPrYr!B22</f>
        <v>General</v>
      </c>
      <c r="B73" s="185">
        <v>6803931</v>
      </c>
      <c r="C73" s="191"/>
      <c r="D73" s="192"/>
      <c r="E73" s="192"/>
    </row>
    <row r="74" spans="1:7" ht="15.75">
      <c r="A74" s="195" t="str">
        <f>inputPrYr!B23</f>
        <v>Debt Service</v>
      </c>
      <c r="B74" s="115">
        <v>2741016</v>
      </c>
      <c r="C74" s="191"/>
      <c r="D74" s="192"/>
      <c r="E74" s="192"/>
    </row>
    <row r="75" spans="1:7" ht="15.75">
      <c r="A75" s="196" t="str">
        <f>inputPrYr!B24</f>
        <v>Library</v>
      </c>
      <c r="B75" s="115">
        <v>339257</v>
      </c>
      <c r="C75" s="107"/>
      <c r="D75" s="107"/>
      <c r="E75" s="107"/>
    </row>
    <row r="76" spans="1:7" ht="15.75">
      <c r="A76" s="196" t="str">
        <f>inputPrYr!B29</f>
        <v>Spec. Rev. Aquatic Park Facility Sales Tax</v>
      </c>
      <c r="B76" s="115">
        <v>442169</v>
      </c>
      <c r="C76" s="107"/>
      <c r="D76" s="107"/>
      <c r="E76" s="107"/>
    </row>
    <row r="77" spans="1:7" ht="15.75">
      <c r="A77" s="196" t="str">
        <f>inputPrYr!B30</f>
        <v>Spec. Rev. County Infrastructure</v>
      </c>
      <c r="B77" s="115">
        <v>26134</v>
      </c>
      <c r="C77" s="107"/>
      <c r="D77" s="107"/>
      <c r="E77" s="107"/>
    </row>
    <row r="78" spans="1:7" ht="15.75">
      <c r="A78" s="196" t="str">
        <f>inputPrYr!B31</f>
        <v>Spec. Rev. Convention &amp; Tourism</v>
      </c>
      <c r="B78" s="115">
        <v>76127</v>
      </c>
      <c r="C78" s="107"/>
      <c r="D78" s="107"/>
      <c r="E78" s="107"/>
    </row>
    <row r="79" spans="1:7" ht="15.75">
      <c r="A79" s="196" t="str">
        <f>inputPrYr!B32</f>
        <v>Spec. Rev. Drug &amp; Alcohol</v>
      </c>
      <c r="B79" s="115">
        <v>75800</v>
      </c>
      <c r="C79" s="107"/>
      <c r="D79" s="107"/>
      <c r="E79" s="107"/>
    </row>
    <row r="80" spans="1:7" ht="15.75">
      <c r="A80" s="196" t="str">
        <f>inputPrYr!B33</f>
        <v>Spec. Rev. Economic Development</v>
      </c>
      <c r="B80" s="115">
        <v>9450</v>
      </c>
      <c r="C80" s="107"/>
      <c r="D80" s="107"/>
      <c r="E80" s="107"/>
    </row>
    <row r="81" spans="1:5" ht="15.75">
      <c r="A81" s="196" t="str">
        <f>inputPrYr!B34</f>
        <v>Spec. Rev. Emergency Services Capital</v>
      </c>
      <c r="B81" s="115">
        <v>481383</v>
      </c>
      <c r="C81" s="107"/>
      <c r="D81" s="107"/>
      <c r="E81" s="107"/>
    </row>
    <row r="82" spans="1:5" ht="15.75">
      <c r="A82" s="196" t="str">
        <f>inputPrYr!B35</f>
        <v>Spec. Rev. Emergency Medical Services</v>
      </c>
      <c r="B82" s="115">
        <v>531378</v>
      </c>
      <c r="C82" s="107"/>
      <c r="D82" s="107"/>
      <c r="E82" s="107"/>
    </row>
    <row r="83" spans="1:5" ht="15.75">
      <c r="A83" s="196" t="str">
        <f>inputPrYr!B36</f>
        <v>Spec. Rev. Library Sales Tax</v>
      </c>
      <c r="B83" s="115">
        <v>429840</v>
      </c>
      <c r="C83" s="107"/>
      <c r="D83" s="107"/>
      <c r="E83" s="107"/>
    </row>
    <row r="84" spans="1:5" ht="15.75">
      <c r="A84" s="196" t="str">
        <f>inputPrYr!B37</f>
        <v>Spec. Rev. Park Dedication</v>
      </c>
      <c r="B84" s="115">
        <v>0</v>
      </c>
      <c r="C84" s="107"/>
      <c r="D84" s="107"/>
      <c r="E84" s="107"/>
    </row>
    <row r="85" spans="1:5" ht="15.75">
      <c r="A85" s="196" t="str">
        <f>inputPrYr!B38</f>
        <v>Spec. Rev. Recreation Programs</v>
      </c>
      <c r="B85" s="115">
        <v>68397</v>
      </c>
      <c r="C85" s="107" t="s">
        <v>1094</v>
      </c>
      <c r="D85" s="107"/>
      <c r="E85" s="107"/>
    </row>
    <row r="86" spans="1:5" ht="15.75">
      <c r="A86" s="196" t="str">
        <f>inputPrYr!B39</f>
        <v>Spec. Rev. Risk Management</v>
      </c>
      <c r="B86" s="115">
        <v>98386</v>
      </c>
      <c r="C86" s="107"/>
      <c r="D86" s="107"/>
      <c r="E86" s="107"/>
    </row>
    <row r="87" spans="1:5" ht="15.75">
      <c r="A87" s="196" t="str">
        <f>inputPrYr!B40</f>
        <v>Spec. Rev. Senior Center</v>
      </c>
      <c r="B87" s="115">
        <v>50574</v>
      </c>
      <c r="C87" s="107"/>
      <c r="D87" s="107"/>
      <c r="E87" s="107"/>
    </row>
    <row r="88" spans="1:5" ht="15.75">
      <c r="A88" s="196" t="str">
        <f>inputPrYr!B41</f>
        <v>Spec. Rev. Sidewalk Escrow</v>
      </c>
      <c r="B88" s="115">
        <v>34296</v>
      </c>
      <c r="C88" s="107"/>
      <c r="D88" s="107"/>
      <c r="E88" s="107"/>
    </row>
    <row r="89" spans="1:5" ht="15.75">
      <c r="A89" s="196" t="str">
        <f>inputPrYr!B42</f>
        <v>Spec. Rev. Soccer</v>
      </c>
      <c r="B89" s="115">
        <v>18175</v>
      </c>
      <c r="C89" s="107" t="s">
        <v>1094</v>
      </c>
      <c r="D89" s="107"/>
      <c r="E89" s="107"/>
    </row>
    <row r="90" spans="1:5" ht="15.75">
      <c r="A90" s="196" t="str">
        <f>inputPrYr!B43</f>
        <v>Spec. Rev. Special Parks &amp; Recreation</v>
      </c>
      <c r="B90" s="115">
        <v>65100</v>
      </c>
      <c r="C90" s="107"/>
      <c r="D90" s="107"/>
      <c r="E90" s="107"/>
    </row>
    <row r="91" spans="1:5" ht="15.75">
      <c r="A91" s="196" t="str">
        <f>inputPrYr!B44</f>
        <v>Spec. Rev. Street Projects</v>
      </c>
      <c r="B91" s="115">
        <v>622600</v>
      </c>
      <c r="C91" s="107"/>
      <c r="D91" s="107"/>
      <c r="E91" s="107"/>
    </row>
    <row r="92" spans="1:5" ht="15.75">
      <c r="A92" s="196" t="str">
        <f>inputPrYr!B45</f>
        <v>Spec. Rev. Summer Ball</v>
      </c>
      <c r="B92" s="115">
        <v>31855</v>
      </c>
    </row>
    <row r="93" spans="1:5" ht="15.75">
      <c r="A93" s="196" t="str">
        <f>inputPrYr!B46</f>
        <v>Spec. Rev. Swimming Pool</v>
      </c>
      <c r="B93" s="115">
        <v>257977</v>
      </c>
      <c r="C93" s="144" t="s">
        <v>1094</v>
      </c>
    </row>
    <row r="94" spans="1:5" ht="15.75">
      <c r="A94" s="196" t="str">
        <f>inputPrYr!B47</f>
        <v>Spec. Rev. Tiblow Transit</v>
      </c>
      <c r="B94" s="115">
        <v>87409</v>
      </c>
      <c r="C94" s="144" t="s">
        <v>1094</v>
      </c>
    </row>
    <row r="95" spans="1:5" ht="15.75">
      <c r="A95" s="196" t="str">
        <f>inputPrYr!B48</f>
        <v>Spec. Rev. TIF Develop Funds</v>
      </c>
      <c r="B95" s="115">
        <v>0</v>
      </c>
    </row>
    <row r="96" spans="1:5" ht="15.75">
      <c r="A96" s="196" t="str">
        <f>inputPrYr!B49</f>
        <v>Bonner Pointe TIF Increment</v>
      </c>
      <c r="B96" s="115">
        <v>139500</v>
      </c>
    </row>
    <row r="97" spans="1:2" ht="15.75">
      <c r="A97" s="196" t="str">
        <f>inputPrYr!B50</f>
        <v>CID Development Fees</v>
      </c>
      <c r="B97" s="115">
        <v>10000</v>
      </c>
    </row>
    <row r="98" spans="1:2" ht="15.75">
      <c r="A98" s="196" t="str">
        <f>inputPrYr!B51</f>
        <v>Bonner Springs Center CID</v>
      </c>
      <c r="B98" s="115">
        <v>160000</v>
      </c>
    </row>
    <row r="99" spans="1:2" ht="15.75">
      <c r="A99" s="196" t="str">
        <f>inputPrYr!B52</f>
        <v>Bonner Springs Ctr City Contribution</v>
      </c>
      <c r="B99" s="115">
        <v>60000</v>
      </c>
    </row>
    <row r="100" spans="1:2" ht="15.75">
      <c r="A100" s="196" t="str">
        <f>inputPrYr!B53</f>
        <v>Enterprise Fund - Solid Waste</v>
      </c>
      <c r="B100" s="115">
        <v>361964</v>
      </c>
    </row>
    <row r="101" spans="1:2" ht="15.75">
      <c r="A101" s="196" t="str">
        <f>inputPrYr!B54</f>
        <v>Enterprise Fund - Storm Water</v>
      </c>
      <c r="B101" s="115">
        <v>124976</v>
      </c>
    </row>
    <row r="102" spans="1:2" ht="15.75">
      <c r="A102" s="196" t="str">
        <f>inputPrYr!B55</f>
        <v>Enterprise Fund - Waste Water</v>
      </c>
      <c r="B102" s="115">
        <v>1575843</v>
      </c>
    </row>
    <row r="103" spans="1:2" ht="15.75">
      <c r="A103" s="196" t="str">
        <f>inputPrYr!B56</f>
        <v>Enterprise Fund - Water</v>
      </c>
      <c r="B103" s="115">
        <v>1827409</v>
      </c>
    </row>
    <row r="104" spans="1:2" ht="15.75">
      <c r="A104" s="196" t="str">
        <f>inputPrYr!B57</f>
        <v>Non Budgeted Funds</v>
      </c>
      <c r="B104" s="115">
        <v>0</v>
      </c>
    </row>
  </sheetData>
  <mergeCells count="19">
    <mergeCell ref="A69:B69"/>
    <mergeCell ref="A36:D36"/>
    <mergeCell ref="A27:D27"/>
    <mergeCell ref="C45:C46"/>
    <mergeCell ref="C70:E70"/>
    <mergeCell ref="B70:B72"/>
    <mergeCell ref="D45:D46"/>
    <mergeCell ref="A66:F66"/>
    <mergeCell ref="E45:E46"/>
    <mergeCell ref="A46:B46"/>
    <mergeCell ref="F7:F9"/>
    <mergeCell ref="A6:F6"/>
    <mergeCell ref="A28:B28"/>
    <mergeCell ref="A16:D16"/>
    <mergeCell ref="A3:E3"/>
    <mergeCell ref="B7:B9"/>
    <mergeCell ref="C7:C9"/>
    <mergeCell ref="D7:D9"/>
    <mergeCell ref="E7:E9"/>
  </mergeCells>
  <phoneticPr fontId="9" type="noConversion"/>
  <printOptions headings="1"/>
  <pageMargins left="0.75" right="0.75" top="1" bottom="1" header="0.5" footer="0.5"/>
  <pageSetup scale="37"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B1:E43"/>
  <sheetViews>
    <sheetView topLeftCell="A22" workbookViewId="0">
      <selection activeCell="B36" sqref="B36"/>
    </sheetView>
  </sheetViews>
  <sheetFormatPr defaultColWidth="8.88671875" defaultRowHeight="15"/>
  <cols>
    <col min="1" max="1" width="2.44140625" style="144" customWidth="1"/>
    <col min="2" max="2" width="31.88671875" style="144" customWidth="1"/>
    <col min="3" max="3" width="15" style="144" customWidth="1"/>
    <col min="4" max="4" width="15.77734375" style="144" customWidth="1"/>
    <col min="5" max="5" width="16.109375" style="144" customWidth="1"/>
    <col min="6" max="16384" width="8.88671875" style="144"/>
  </cols>
  <sheetData>
    <row r="1" spans="2:5" ht="15.75">
      <c r="B1" s="253" t="str">
        <f>(inputPrYr!D3)</f>
        <v>City of Bonner Springs</v>
      </c>
      <c r="C1" s="84"/>
      <c r="D1" s="84"/>
      <c r="E1" s="341">
        <f>inputPrYr!$C$10</f>
        <v>2014</v>
      </c>
    </row>
    <row r="2" spans="2:5" ht="15.75">
      <c r="B2" s="84"/>
      <c r="C2" s="84"/>
      <c r="D2" s="84"/>
      <c r="E2" s="228"/>
    </row>
    <row r="3" spans="2:5" ht="15.75">
      <c r="B3" s="342" t="s">
        <v>7</v>
      </c>
      <c r="C3" s="343"/>
      <c r="D3" s="343"/>
      <c r="E3" s="344"/>
    </row>
    <row r="4" spans="2:5" ht="15.75">
      <c r="B4" s="91" t="s">
        <v>282</v>
      </c>
      <c r="C4" s="614" t="s">
        <v>806</v>
      </c>
      <c r="D4" s="615" t="s">
        <v>807</v>
      </c>
      <c r="E4" s="204" t="s">
        <v>808</v>
      </c>
    </row>
    <row r="5" spans="2:5" ht="15.75">
      <c r="B5" s="561" t="str">
        <f>(inputPrYr!B55)</f>
        <v>Enterprise Fund - Waste Water</v>
      </c>
      <c r="C5" s="440" t="str">
        <f>CONCATENATE("Actual for ",E1-2,"")</f>
        <v>Actual for 2012</v>
      </c>
      <c r="D5" s="440" t="str">
        <f>CONCATENATE("Estimate for ",E1-1,"")</f>
        <v>Estimate for 2013</v>
      </c>
      <c r="E5" s="268" t="str">
        <f>CONCATENATE("Year for ",E1,"")</f>
        <v>Year for 2014</v>
      </c>
    </row>
    <row r="6" spans="2:5" ht="15.75">
      <c r="B6" s="167" t="s">
        <v>57</v>
      </c>
      <c r="C6" s="106">
        <v>896228</v>
      </c>
      <c r="D6" s="346">
        <f>C38</f>
        <v>875567</v>
      </c>
      <c r="E6" s="346">
        <f>D38</f>
        <v>823748</v>
      </c>
    </row>
    <row r="7" spans="2:5" ht="15.75">
      <c r="B7" s="347" t="s">
        <v>59</v>
      </c>
      <c r="C7" s="124"/>
      <c r="D7" s="124"/>
      <c r="E7" s="124"/>
    </row>
    <row r="8" spans="2:5" ht="15.75">
      <c r="B8" s="348" t="s">
        <v>1173</v>
      </c>
      <c r="C8" s="106">
        <v>1343331</v>
      </c>
      <c r="D8" s="106">
        <v>1340000</v>
      </c>
      <c r="E8" s="106">
        <v>1385000</v>
      </c>
    </row>
    <row r="9" spans="2:5" ht="15.75">
      <c r="B9" s="348" t="s">
        <v>1179</v>
      </c>
      <c r="C9" s="106">
        <v>52801</v>
      </c>
      <c r="D9" s="106">
        <v>36000</v>
      </c>
      <c r="E9" s="106">
        <v>36000</v>
      </c>
    </row>
    <row r="10" spans="2:5" ht="15.75">
      <c r="B10" s="348" t="s">
        <v>1180</v>
      </c>
      <c r="C10" s="106">
        <v>70580</v>
      </c>
      <c r="D10" s="106">
        <v>25000</v>
      </c>
      <c r="E10" s="106">
        <v>35000</v>
      </c>
    </row>
    <row r="11" spans="2:5" ht="15.75">
      <c r="B11" s="348" t="s">
        <v>1174</v>
      </c>
      <c r="C11" s="106">
        <v>13708</v>
      </c>
      <c r="D11" s="106">
        <v>13700</v>
      </c>
      <c r="E11" s="106">
        <v>13700</v>
      </c>
    </row>
    <row r="12" spans="2:5" ht="15.75">
      <c r="B12" s="348" t="s">
        <v>331</v>
      </c>
      <c r="C12" s="106">
        <v>2288</v>
      </c>
      <c r="D12" s="106">
        <v>1700</v>
      </c>
      <c r="E12" s="106">
        <v>1700</v>
      </c>
    </row>
    <row r="13" spans="2:5" ht="15.75">
      <c r="B13" s="348" t="s">
        <v>1181</v>
      </c>
      <c r="C13" s="106">
        <v>11888</v>
      </c>
      <c r="D13" s="106">
        <v>12500</v>
      </c>
      <c r="E13" s="106">
        <v>10000</v>
      </c>
    </row>
    <row r="14" spans="2:5" s="814" customFormat="1" ht="15.75">
      <c r="B14" s="348" t="s">
        <v>1156</v>
      </c>
      <c r="C14" s="106">
        <v>9252</v>
      </c>
      <c r="D14" s="106">
        <v>0</v>
      </c>
      <c r="E14" s="106">
        <v>0</v>
      </c>
    </row>
    <row r="15" spans="2:5" ht="15.75">
      <c r="B15" s="350" t="s">
        <v>1182</v>
      </c>
      <c r="C15" s="115">
        <v>1102</v>
      </c>
      <c r="D15" s="115">
        <v>0</v>
      </c>
      <c r="E15" s="115">
        <v>0</v>
      </c>
    </row>
    <row r="16" spans="2:5" ht="15.75">
      <c r="B16" s="348" t="s">
        <v>1138</v>
      </c>
      <c r="C16" s="106">
        <v>35</v>
      </c>
      <c r="D16" s="106">
        <v>0</v>
      </c>
      <c r="E16" s="106">
        <v>0</v>
      </c>
    </row>
    <row r="17" spans="2:5" ht="15.75">
      <c r="B17" s="352" t="s">
        <v>182</v>
      </c>
      <c r="C17" s="106"/>
      <c r="D17" s="345"/>
      <c r="E17" s="345"/>
    </row>
    <row r="18" spans="2:5" ht="15.75">
      <c r="B18" s="352" t="s">
        <v>668</v>
      </c>
      <c r="C18" s="548" t="str">
        <f>IF(C19*0.1&lt;C17,"Exceed 10% Rule","")</f>
        <v/>
      </c>
      <c r="D18" s="353" t="str">
        <f>IF(D19*0.1&lt;D17,"Exceed 10% Rule","")</f>
        <v/>
      </c>
      <c r="E18" s="353" t="str">
        <f>IF(E19*0.1&lt;E17,"Exceed 10% Rule","")</f>
        <v/>
      </c>
    </row>
    <row r="19" spans="2:5" ht="15.75">
      <c r="B19" s="354" t="s">
        <v>288</v>
      </c>
      <c r="C19" s="356">
        <f>SUM(C8:C17)</f>
        <v>1504985</v>
      </c>
      <c r="D19" s="356">
        <f>SUM(D8:D17)</f>
        <v>1428900</v>
      </c>
      <c r="E19" s="356">
        <f>SUM(E8:E17)</f>
        <v>1481400</v>
      </c>
    </row>
    <row r="20" spans="2:5" ht="15.75">
      <c r="B20" s="354" t="s">
        <v>289</v>
      </c>
      <c r="C20" s="356">
        <f>C6+C19</f>
        <v>2401213</v>
      </c>
      <c r="D20" s="356">
        <f>D6+D19</f>
        <v>2304467</v>
      </c>
      <c r="E20" s="356">
        <f>E6+E19</f>
        <v>2305148</v>
      </c>
    </row>
    <row r="21" spans="2:5" ht="15.75">
      <c r="B21" s="167" t="s">
        <v>291</v>
      </c>
      <c r="C21" s="124"/>
      <c r="D21" s="124"/>
      <c r="E21" s="124"/>
    </row>
    <row r="22" spans="2:5" ht="15.75">
      <c r="B22" s="348" t="s">
        <v>1062</v>
      </c>
      <c r="C22" s="106">
        <v>292695</v>
      </c>
      <c r="D22" s="106">
        <v>304115</v>
      </c>
      <c r="E22" s="106">
        <v>358188</v>
      </c>
    </row>
    <row r="23" spans="2:5" ht="15.75">
      <c r="B23" s="348" t="s">
        <v>1071</v>
      </c>
      <c r="C23" s="106">
        <v>360993</v>
      </c>
      <c r="D23" s="106">
        <v>375452</v>
      </c>
      <c r="E23" s="106">
        <v>390950</v>
      </c>
    </row>
    <row r="24" spans="2:5" ht="15.75">
      <c r="B24" s="348" t="s">
        <v>1063</v>
      </c>
      <c r="C24" s="115">
        <v>48877</v>
      </c>
      <c r="D24" s="115">
        <v>43600</v>
      </c>
      <c r="E24" s="115">
        <v>47600</v>
      </c>
    </row>
    <row r="25" spans="2:5" ht="15.75">
      <c r="B25" s="348" t="s">
        <v>1058</v>
      </c>
      <c r="C25" s="115">
        <v>250943</v>
      </c>
      <c r="D25" s="115">
        <v>187000</v>
      </c>
      <c r="E25" s="115">
        <v>262500</v>
      </c>
    </row>
    <row r="26" spans="2:5" ht="15.75">
      <c r="B26" s="348" t="s">
        <v>1126</v>
      </c>
      <c r="C26" s="115">
        <v>543123</v>
      </c>
      <c r="D26" s="115">
        <v>537319</v>
      </c>
      <c r="E26" s="115">
        <v>566169</v>
      </c>
    </row>
    <row r="27" spans="2:5" ht="15.75">
      <c r="B27" s="348" t="s">
        <v>1183</v>
      </c>
      <c r="C27" s="115">
        <v>0</v>
      </c>
      <c r="D27" s="115">
        <v>1200</v>
      </c>
      <c r="E27" s="115">
        <v>1200</v>
      </c>
    </row>
    <row r="28" spans="2:5" ht="15.75">
      <c r="B28" s="348" t="s">
        <v>1184</v>
      </c>
      <c r="C28" s="115">
        <v>29015</v>
      </c>
      <c r="D28" s="115">
        <v>32033</v>
      </c>
      <c r="E28" s="115">
        <v>32300</v>
      </c>
    </row>
    <row r="29" spans="2:5" ht="15.75">
      <c r="B29" s="348"/>
      <c r="C29" s="115"/>
      <c r="D29" s="115"/>
      <c r="E29" s="115"/>
    </row>
    <row r="30" spans="2:5" ht="15.75">
      <c r="B30" s="348"/>
      <c r="C30" s="106"/>
      <c r="D30" s="106"/>
      <c r="E30" s="106"/>
    </row>
    <row r="31" spans="2:5" ht="15.75">
      <c r="B31" s="348"/>
      <c r="C31" s="106"/>
      <c r="D31" s="106"/>
      <c r="E31" s="106"/>
    </row>
    <row r="32" spans="2:5" ht="15.75">
      <c r="B32" s="348"/>
      <c r="C32" s="106"/>
      <c r="D32" s="106"/>
      <c r="E32" s="106"/>
    </row>
    <row r="33" spans="2:5" ht="15.75">
      <c r="B33" s="348"/>
      <c r="C33" s="106"/>
      <c r="D33" s="106"/>
      <c r="E33" s="106"/>
    </row>
    <row r="34" spans="2:5" ht="15.75">
      <c r="B34" s="348"/>
      <c r="C34" s="106"/>
      <c r="D34" s="106"/>
      <c r="E34" s="106"/>
    </row>
    <row r="35" spans="2:5" ht="15.75">
      <c r="B35" s="352" t="s">
        <v>182</v>
      </c>
      <c r="C35" s="106"/>
      <c r="D35" s="345"/>
      <c r="E35" s="345"/>
    </row>
    <row r="36" spans="2:5" ht="15.75">
      <c r="B36" s="352" t="s">
        <v>667</v>
      </c>
      <c r="C36" s="548" t="str">
        <f>IF(C37*0.1&lt;C35,"Exceed 10% Rule","")</f>
        <v/>
      </c>
      <c r="D36" s="353" t="str">
        <f>IF(D37*0.1&lt;D35,"Exceed 10% Rule","")</f>
        <v/>
      </c>
      <c r="E36" s="353" t="str">
        <f>IF(E37*0.1&lt;E35,"Exceed 10% Rule","")</f>
        <v/>
      </c>
    </row>
    <row r="37" spans="2:5" ht="15.75">
      <c r="B37" s="354" t="s">
        <v>295</v>
      </c>
      <c r="C37" s="356">
        <f>SUM(C22:C35)</f>
        <v>1525646</v>
      </c>
      <c r="D37" s="356">
        <f>SUM(D22:D35)</f>
        <v>1480719</v>
      </c>
      <c r="E37" s="356">
        <f>SUM(E22:E35)</f>
        <v>1658907</v>
      </c>
    </row>
    <row r="38" spans="2:5" ht="15.75">
      <c r="B38" s="167" t="s">
        <v>58</v>
      </c>
      <c r="C38" s="119">
        <f>C20-C37</f>
        <v>875567</v>
      </c>
      <c r="D38" s="119">
        <f>D20-D37</f>
        <v>823748</v>
      </c>
      <c r="E38" s="119">
        <f>E20-E37</f>
        <v>646241</v>
      </c>
    </row>
    <row r="39" spans="2:5" ht="15.75">
      <c r="B39" s="197" t="str">
        <f>CONCATENATE("",E1-2,"/",E1-1," Budget Authority Amount:")</f>
        <v>2012/2013 Budget Authority Amount:</v>
      </c>
      <c r="C39" s="303">
        <f>inputOth!B102</f>
        <v>1575843</v>
      </c>
      <c r="D39" s="303">
        <f>inputPrYr!D55</f>
        <v>1481719</v>
      </c>
      <c r="E39" s="547" t="str">
        <f>IF(E38&lt;0,"See Tab E","")</f>
        <v/>
      </c>
    </row>
    <row r="40" spans="2:5" ht="15.75">
      <c r="B40" s="197"/>
      <c r="C40" s="358" t="str">
        <f>IF(C37&gt;C39,"See Tab A","")</f>
        <v/>
      </c>
      <c r="D40" s="358" t="str">
        <f>IF(D37&gt;D39,"See Tab C","")</f>
        <v/>
      </c>
      <c r="E40" s="107"/>
    </row>
    <row r="41" spans="2:5" ht="15.75">
      <c r="B41" s="197"/>
      <c r="C41" s="358" t="str">
        <f>IF(C38&lt;0,"See Tab B","")</f>
        <v/>
      </c>
      <c r="D41" s="358" t="str">
        <f>IF(D38&lt;0,"See Tab D","")</f>
        <v/>
      </c>
      <c r="E41" s="107"/>
    </row>
    <row r="42" spans="2:5">
      <c r="B42" s="107"/>
      <c r="C42" s="107"/>
      <c r="D42" s="107"/>
      <c r="E42" s="107"/>
    </row>
    <row r="43" spans="2:5" ht="15.75">
      <c r="B43" s="197" t="s">
        <v>298</v>
      </c>
      <c r="C43" s="297">
        <v>24</v>
      </c>
      <c r="D43" s="107"/>
      <c r="E43" s="107"/>
    </row>
  </sheetData>
  <phoneticPr fontId="9"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35">
    <cfRule type="cellIs" dxfId="16" priority="5" stopIfTrue="1" operator="greaterThan">
      <formula>$C$37*0.1</formula>
    </cfRule>
  </conditionalFormatting>
  <conditionalFormatting sqref="D35">
    <cfRule type="cellIs" dxfId="15" priority="6" stopIfTrue="1" operator="greaterThan">
      <formula>$D$37*0.1</formula>
    </cfRule>
  </conditionalFormatting>
  <conditionalFormatting sqref="E35">
    <cfRule type="cellIs" dxfId="14" priority="7" stopIfTrue="1" operator="greaterThan">
      <formula>$E$37*0.1</formula>
    </cfRule>
  </conditionalFormatting>
  <conditionalFormatting sqref="E38 C38">
    <cfRule type="cellIs" dxfId="13" priority="8" stopIfTrue="1" operator="lessThan">
      <formula>0</formula>
    </cfRule>
  </conditionalFormatting>
  <conditionalFormatting sqref="C37">
    <cfRule type="cellIs" dxfId="12" priority="9" stopIfTrue="1" operator="greaterThan">
      <formula>$C$39</formula>
    </cfRule>
  </conditionalFormatting>
  <conditionalFormatting sqref="D37">
    <cfRule type="cellIs" dxfId="11" priority="10" stopIfTrue="1" operator="greaterThan">
      <formula>$D$39</formula>
    </cfRule>
  </conditionalFormatting>
  <conditionalFormatting sqref="D38">
    <cfRule type="cellIs" dxfId="10" priority="1" stopIfTrue="1" operator="lessThan">
      <formula>0</formula>
    </cfRule>
  </conditionalFormatting>
  <pageMargins left="0.75" right="0.75" top="1" bottom="1" header="0.5" footer="0.5"/>
  <pageSetup scale="77"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41"/>
  <sheetViews>
    <sheetView topLeftCell="A20" workbookViewId="0">
      <selection activeCell="B34" sqref="B34"/>
    </sheetView>
  </sheetViews>
  <sheetFormatPr defaultRowHeight="15"/>
  <cols>
    <col min="1" max="1" width="2.44140625" customWidth="1"/>
    <col min="2" max="2" width="31.109375" customWidth="1"/>
    <col min="3" max="4" width="15.77734375" customWidth="1"/>
    <col min="5" max="5" width="16.21875" customWidth="1"/>
  </cols>
  <sheetData>
    <row r="1" spans="2:5" ht="15.75">
      <c r="B1" s="14" t="str">
        <f>(inputPrYr!D3)</f>
        <v>City of Bonner Springs</v>
      </c>
      <c r="C1" s="6"/>
      <c r="D1" s="6"/>
      <c r="E1" s="29">
        <f>inputPrYr!$C$10</f>
        <v>2014</v>
      </c>
    </row>
    <row r="2" spans="2:5" ht="15.75">
      <c r="B2" s="6"/>
      <c r="C2" s="6"/>
      <c r="D2" s="6"/>
      <c r="E2" s="8"/>
    </row>
    <row r="3" spans="2:5" ht="15.75">
      <c r="B3" s="27" t="s">
        <v>7</v>
      </c>
      <c r="C3" s="32"/>
      <c r="D3" s="32"/>
      <c r="E3" s="33"/>
    </row>
    <row r="4" spans="2:5" ht="15.75">
      <c r="B4" s="9" t="s">
        <v>282</v>
      </c>
      <c r="C4" s="614" t="s">
        <v>806</v>
      </c>
      <c r="D4" s="615" t="s">
        <v>807</v>
      </c>
      <c r="E4" s="204" t="s">
        <v>808</v>
      </c>
    </row>
    <row r="5" spans="2:5" ht="15.75">
      <c r="B5" s="576" t="str">
        <f>(inputPrYr!B56)</f>
        <v>Enterprise Fund - Water</v>
      </c>
      <c r="C5" s="440" t="str">
        <f>CONCATENATE("Actual for ",E1-2,"")</f>
        <v>Actual for 2012</v>
      </c>
      <c r="D5" s="440" t="str">
        <f>CONCATENATE("Estimate for ",E1-1,"")</f>
        <v>Estimate for 2013</v>
      </c>
      <c r="E5" s="268" t="str">
        <f>CONCATENATE("Year for ",E1,"")</f>
        <v>Year for 2014</v>
      </c>
    </row>
    <row r="6" spans="2:5" ht="15.75">
      <c r="B6" s="11" t="s">
        <v>57</v>
      </c>
      <c r="C6" s="538">
        <v>1419472</v>
      </c>
      <c r="D6" s="24">
        <f>C36</f>
        <v>1587491</v>
      </c>
      <c r="E6" s="24">
        <f>D36</f>
        <v>1614371</v>
      </c>
    </row>
    <row r="7" spans="2:5" ht="15.75">
      <c r="B7" s="60" t="s">
        <v>59</v>
      </c>
      <c r="C7" s="12"/>
      <c r="D7" s="12"/>
      <c r="E7" s="12"/>
    </row>
    <row r="8" spans="2:5" ht="15.75">
      <c r="B8" s="58" t="s">
        <v>1173</v>
      </c>
      <c r="C8" s="538">
        <v>1801662</v>
      </c>
      <c r="D8" s="538">
        <v>1680000</v>
      </c>
      <c r="E8" s="538">
        <v>1691200</v>
      </c>
    </row>
    <row r="9" spans="2:5" ht="15.75">
      <c r="B9" s="58" t="s">
        <v>1174</v>
      </c>
      <c r="C9" s="538">
        <v>15972</v>
      </c>
      <c r="D9" s="538">
        <v>15000</v>
      </c>
      <c r="E9" s="538">
        <v>15000</v>
      </c>
    </row>
    <row r="10" spans="2:5" ht="15.75">
      <c r="B10" s="58" t="s">
        <v>1185</v>
      </c>
      <c r="C10" s="538">
        <v>825</v>
      </c>
      <c r="D10" s="538">
        <v>500</v>
      </c>
      <c r="E10" s="538">
        <v>500</v>
      </c>
    </row>
    <row r="11" spans="2:5" ht="15.75">
      <c r="B11" s="58" t="s">
        <v>1186</v>
      </c>
      <c r="C11" s="538">
        <v>47750</v>
      </c>
      <c r="D11" s="538">
        <v>45000</v>
      </c>
      <c r="E11" s="538">
        <v>45000</v>
      </c>
    </row>
    <row r="12" spans="2:5" ht="15.75">
      <c r="B12" s="58" t="s">
        <v>1090</v>
      </c>
      <c r="C12" s="538">
        <v>60835</v>
      </c>
      <c r="D12" s="538">
        <v>30000</v>
      </c>
      <c r="E12" s="538">
        <v>40000</v>
      </c>
    </row>
    <row r="13" spans="2:5" ht="15.75">
      <c r="B13" s="58" t="s">
        <v>331</v>
      </c>
      <c r="C13" s="538">
        <v>4196</v>
      </c>
      <c r="D13" s="538">
        <v>3350</v>
      </c>
      <c r="E13" s="538">
        <v>3350</v>
      </c>
    </row>
    <row r="14" spans="2:5" ht="15.75">
      <c r="B14" s="59" t="s">
        <v>1156</v>
      </c>
      <c r="C14" s="539">
        <v>12459</v>
      </c>
      <c r="D14" s="539">
        <v>600</v>
      </c>
      <c r="E14" s="539">
        <v>0</v>
      </c>
    </row>
    <row r="15" spans="2:5" ht="15.75">
      <c r="B15" s="59" t="s">
        <v>1089</v>
      </c>
      <c r="C15" s="539">
        <v>0</v>
      </c>
      <c r="D15" s="539">
        <v>113000</v>
      </c>
      <c r="E15" s="539">
        <v>0</v>
      </c>
    </row>
    <row r="16" spans="2:5" ht="15.75">
      <c r="B16" s="58" t="s">
        <v>1182</v>
      </c>
      <c r="C16" s="538">
        <v>2</v>
      </c>
      <c r="D16" s="538">
        <v>31</v>
      </c>
      <c r="E16" s="538">
        <v>0</v>
      </c>
    </row>
    <row r="17" spans="2:5" ht="15.75">
      <c r="B17" s="62" t="s">
        <v>182</v>
      </c>
      <c r="C17" s="538"/>
      <c r="D17" s="61"/>
      <c r="E17" s="61"/>
    </row>
    <row r="18" spans="2:5" ht="15.75">
      <c r="B18" s="62" t="s">
        <v>668</v>
      </c>
      <c r="C18" s="549" t="str">
        <f>IF(C19*0.1&lt;C17,"Exceed 10% Rule","")</f>
        <v/>
      </c>
      <c r="D18" s="63" t="str">
        <f>IF(D19*0.1&lt;D17,"Exceed 10% Rule","")</f>
        <v/>
      </c>
      <c r="E18" s="63" t="str">
        <f>IF(E19*0.1&lt;E17,"Exceed 10% Rule","")</f>
        <v/>
      </c>
    </row>
    <row r="19" spans="2:5" ht="15.75">
      <c r="B19" s="30" t="s">
        <v>288</v>
      </c>
      <c r="C19" s="55">
        <f>SUM(C8:C17)</f>
        <v>1943701</v>
      </c>
      <c r="D19" s="55">
        <f>SUM(D8:D17)</f>
        <v>1887481</v>
      </c>
      <c r="E19" s="55">
        <f>SUM(E8:E17)</f>
        <v>1795050</v>
      </c>
    </row>
    <row r="20" spans="2:5" ht="15.75">
      <c r="B20" s="30" t="s">
        <v>289</v>
      </c>
      <c r="C20" s="55">
        <f>C6+C19</f>
        <v>3363173</v>
      </c>
      <c r="D20" s="55">
        <f>D6+D19</f>
        <v>3474972</v>
      </c>
      <c r="E20" s="55">
        <f>E6+E19</f>
        <v>3409421</v>
      </c>
    </row>
    <row r="21" spans="2:5" ht="15.75">
      <c r="B21" s="11" t="s">
        <v>291</v>
      </c>
      <c r="C21" s="12"/>
      <c r="D21" s="12"/>
      <c r="E21" s="12"/>
    </row>
    <row r="22" spans="2:5" ht="15.75">
      <c r="B22" s="58" t="s">
        <v>1062</v>
      </c>
      <c r="C22" s="538">
        <v>491950</v>
      </c>
      <c r="D22" s="538">
        <v>520042</v>
      </c>
      <c r="E22" s="538">
        <v>549792</v>
      </c>
    </row>
    <row r="23" spans="2:5" ht="15.75">
      <c r="B23" s="58" t="s">
        <v>1071</v>
      </c>
      <c r="C23" s="538">
        <v>486536</v>
      </c>
      <c r="D23" s="538">
        <v>296898</v>
      </c>
      <c r="E23" s="538">
        <v>298996</v>
      </c>
    </row>
    <row r="24" spans="2:5" ht="15.75">
      <c r="B24" s="58" t="s">
        <v>1063</v>
      </c>
      <c r="C24" s="539">
        <v>358351</v>
      </c>
      <c r="D24" s="539">
        <v>275000</v>
      </c>
      <c r="E24" s="539">
        <v>279400</v>
      </c>
    </row>
    <row r="25" spans="2:5" ht="15.75">
      <c r="B25" s="58" t="s">
        <v>1058</v>
      </c>
      <c r="C25" s="539">
        <v>32768</v>
      </c>
      <c r="D25" s="539">
        <v>359000</v>
      </c>
      <c r="E25" s="539">
        <v>710000</v>
      </c>
    </row>
    <row r="26" spans="2:5" ht="15.75">
      <c r="B26" s="58" t="s">
        <v>1126</v>
      </c>
      <c r="C26" s="539">
        <v>319032</v>
      </c>
      <c r="D26" s="539">
        <v>313001</v>
      </c>
      <c r="E26" s="539">
        <v>389407</v>
      </c>
    </row>
    <row r="27" spans="2:5" ht="15.75">
      <c r="B27" s="58" t="s">
        <v>1193</v>
      </c>
      <c r="C27" s="539">
        <v>0</v>
      </c>
      <c r="D27" s="539">
        <v>560</v>
      </c>
      <c r="E27" s="539">
        <v>560</v>
      </c>
    </row>
    <row r="28" spans="2:5" ht="15.75">
      <c r="B28" s="58" t="s">
        <v>1194</v>
      </c>
      <c r="C28" s="539">
        <v>87045</v>
      </c>
      <c r="D28" s="539">
        <v>96100</v>
      </c>
      <c r="E28" s="539">
        <v>96900</v>
      </c>
    </row>
    <row r="29" spans="2:5" ht="15.75">
      <c r="B29" s="58"/>
      <c r="C29" s="539"/>
      <c r="D29" s="539"/>
      <c r="E29" s="539"/>
    </row>
    <row r="30" spans="2:5" ht="15.75">
      <c r="B30" s="58"/>
      <c r="C30" s="538"/>
      <c r="D30" s="538"/>
      <c r="E30" s="538"/>
    </row>
    <row r="31" spans="2:5" ht="15.75">
      <c r="B31" s="58"/>
      <c r="C31" s="538"/>
      <c r="D31" s="538"/>
      <c r="E31" s="538"/>
    </row>
    <row r="32" spans="2:5" ht="15.75">
      <c r="B32" s="58"/>
      <c r="C32" s="538"/>
      <c r="D32" s="538"/>
      <c r="E32" s="538"/>
    </row>
    <row r="33" spans="2:5" ht="15.75">
      <c r="B33" s="62" t="s">
        <v>182</v>
      </c>
      <c r="C33" s="538"/>
      <c r="D33" s="61"/>
      <c r="E33" s="61"/>
    </row>
    <row r="34" spans="2:5" ht="15.75">
      <c r="B34" s="62" t="s">
        <v>667</v>
      </c>
      <c r="C34" s="549" t="str">
        <f>IF(C35*0.1&lt;C33,"Exceed 10% Rule","")</f>
        <v/>
      </c>
      <c r="D34" s="63" t="str">
        <f>IF(D35*0.1&lt;D33,"Exceed 10% Rule","")</f>
        <v/>
      </c>
      <c r="E34" s="63" t="str">
        <f>IF(E35*0.1&lt;E33,"Exceed 10% Rule","")</f>
        <v/>
      </c>
    </row>
    <row r="35" spans="2:5" ht="15.75">
      <c r="B35" s="30" t="s">
        <v>295</v>
      </c>
      <c r="C35" s="55">
        <f>SUM(C22:C33)</f>
        <v>1775682</v>
      </c>
      <c r="D35" s="55">
        <f>SUM(D22:D33)</f>
        <v>1860601</v>
      </c>
      <c r="E35" s="55">
        <f>SUM(E22:E33)</f>
        <v>2325055</v>
      </c>
    </row>
    <row r="36" spans="2:5" ht="15.75">
      <c r="B36" s="11" t="s">
        <v>58</v>
      </c>
      <c r="C36" s="54">
        <f>C20-C35</f>
        <v>1587491</v>
      </c>
      <c r="D36" s="54">
        <f>D20-D35</f>
        <v>1614371</v>
      </c>
      <c r="E36" s="54">
        <f>E20-E35</f>
        <v>1084366</v>
      </c>
    </row>
    <row r="37" spans="2:5" ht="15.75">
      <c r="B37" s="7" t="str">
        <f>CONCATENATE("",E1-2,"/",E1-1," Budget Authority Amount:")</f>
        <v>2012/2013 Budget Authority Amount:</v>
      </c>
      <c r="C37" s="37">
        <f>inputOth!B103</f>
        <v>1827409</v>
      </c>
      <c r="D37" s="37">
        <f>inputPrYr!D56</f>
        <v>1860601</v>
      </c>
      <c r="E37" s="547" t="str">
        <f>IF(E36&lt;0,"See Tab E","")</f>
        <v/>
      </c>
    </row>
    <row r="38" spans="2:5" ht="15.75">
      <c r="B38" s="7"/>
      <c r="C38" s="358" t="str">
        <f>IF(C35&gt;C37,"See Tab A","")</f>
        <v/>
      </c>
      <c r="D38" s="358" t="str">
        <f>IF(D35&gt;D37,"See Tab C","")</f>
        <v/>
      </c>
      <c r="E38" s="31"/>
    </row>
    <row r="39" spans="2:5" ht="15.75">
      <c r="B39" s="7"/>
      <c r="C39" s="358" t="str">
        <f>IF(C36&lt;0,"See Tab B","")</f>
        <v/>
      </c>
      <c r="D39" s="358" t="str">
        <f>IF(D36&lt;0,"See Tab D","")</f>
        <v/>
      </c>
      <c r="E39" s="31"/>
    </row>
    <row r="40" spans="2:5">
      <c r="B40" s="31"/>
      <c r="C40" s="31"/>
      <c r="D40" s="31"/>
      <c r="E40" s="31"/>
    </row>
    <row r="41" spans="2:5" ht="15.75">
      <c r="B41" s="197" t="s">
        <v>298</v>
      </c>
      <c r="C41" s="28">
        <v>25</v>
      </c>
      <c r="D41" s="31"/>
      <c r="E41" s="31"/>
    </row>
  </sheetData>
  <phoneticPr fontId="9"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33">
    <cfRule type="cellIs" dxfId="6" priority="5" stopIfTrue="1" operator="greaterThan">
      <formula>$C$35*0.1</formula>
    </cfRule>
  </conditionalFormatting>
  <conditionalFormatting sqref="D33">
    <cfRule type="cellIs" dxfId="5" priority="6" stopIfTrue="1" operator="greaterThan">
      <formula>$D$35*0.1</formula>
    </cfRule>
  </conditionalFormatting>
  <conditionalFormatting sqref="E33">
    <cfRule type="cellIs" dxfId="4" priority="7" stopIfTrue="1" operator="greaterThan">
      <formula>$E$35*0.1</formula>
    </cfRule>
  </conditionalFormatting>
  <conditionalFormatting sqref="E36 C36">
    <cfRule type="cellIs" dxfId="3" priority="8" stopIfTrue="1" operator="lessThan">
      <formula>0</formula>
    </cfRule>
  </conditionalFormatting>
  <conditionalFormatting sqref="C35">
    <cfRule type="cellIs" dxfId="2" priority="9" stopIfTrue="1" operator="greaterThan">
      <formula>$C$37</formula>
    </cfRule>
  </conditionalFormatting>
  <conditionalFormatting sqref="D35">
    <cfRule type="cellIs" dxfId="1" priority="10" stopIfTrue="1" operator="greaterThan">
      <formula>$D$37</formula>
    </cfRule>
  </conditionalFormatting>
  <conditionalFormatting sqref="D36">
    <cfRule type="cellIs" dxfId="0" priority="1" stopIfTrue="1" operator="lessThan">
      <formula>0</formula>
    </cfRule>
  </conditionalFormatting>
  <pageMargins left="0.75" right="0.75" top="1" bottom="1" header="0.5" footer="0.5"/>
  <pageSetup scale="77"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topLeftCell="A15" workbookViewId="0">
      <selection activeCell="E20" sqref="E20"/>
    </sheetView>
  </sheetViews>
  <sheetFormatPr defaultColWidth="8.88671875" defaultRowHeight="15.75"/>
  <cols>
    <col min="1" max="1" width="12.21875" style="68" customWidth="1"/>
    <col min="2" max="2" width="7.44140625" style="68" customWidth="1"/>
    <col min="3" max="3" width="11.5546875" style="68" customWidth="1"/>
    <col min="4" max="4" width="10.88671875" style="68" customWidth="1"/>
    <col min="5" max="5" width="11.5546875" style="68" customWidth="1"/>
    <col min="6" max="6" width="7.44140625" style="68" customWidth="1"/>
    <col min="7" max="7" width="11.5546875" style="68" customWidth="1"/>
    <col min="8" max="8" width="7.44140625" style="68" customWidth="1"/>
    <col min="9" max="9" width="10.88671875" style="68" customWidth="1"/>
    <col min="10" max="10" width="7.33203125" style="68" customWidth="1"/>
    <col min="11" max="16384" width="8.88671875" style="68"/>
  </cols>
  <sheetData>
    <row r="1" spans="1:11">
      <c r="A1" s="145" t="str">
        <f>inputPrYr!$D$3</f>
        <v>City of Bonner Springs</v>
      </c>
      <c r="B1" s="174"/>
      <c r="C1" s="146"/>
      <c r="D1" s="146"/>
      <c r="E1" s="146"/>
      <c r="F1" s="232" t="s">
        <v>81</v>
      </c>
      <c r="G1" s="146"/>
      <c r="H1" s="146"/>
      <c r="I1" s="146"/>
      <c r="J1" s="146"/>
      <c r="K1" s="146">
        <f>inputPrYr!$C$10</f>
        <v>2014</v>
      </c>
    </row>
    <row r="2" spans="1:11">
      <c r="A2" s="146"/>
      <c r="B2" s="146"/>
      <c r="C2" s="146"/>
      <c r="D2" s="146"/>
      <c r="E2" s="146"/>
      <c r="F2" s="316" t="str">
        <f>CONCATENATE("(Only the actual budget year for ",K1-2," is to be shown)")</f>
        <v>(Only the actual budget year for 2012 is to be shown)</v>
      </c>
      <c r="G2" s="146"/>
      <c r="H2" s="146"/>
      <c r="I2" s="146"/>
      <c r="J2" s="146"/>
      <c r="K2" s="146"/>
    </row>
    <row r="3" spans="1:11">
      <c r="A3" s="146" t="s">
        <v>115</v>
      </c>
      <c r="B3" s="146"/>
      <c r="C3" s="146"/>
      <c r="D3" s="146"/>
      <c r="E3" s="146"/>
      <c r="F3" s="174"/>
      <c r="G3" s="146"/>
      <c r="H3" s="146"/>
      <c r="I3" s="146"/>
      <c r="J3" s="146"/>
      <c r="K3" s="146"/>
    </row>
    <row r="4" spans="1:11">
      <c r="A4" s="146" t="s">
        <v>82</v>
      </c>
      <c r="B4" s="146"/>
      <c r="C4" s="146" t="s">
        <v>83</v>
      </c>
      <c r="D4" s="146"/>
      <c r="E4" s="146" t="s">
        <v>84</v>
      </c>
      <c r="F4" s="174"/>
      <c r="G4" s="146" t="s">
        <v>85</v>
      </c>
      <c r="H4" s="146"/>
      <c r="I4" s="146" t="s">
        <v>86</v>
      </c>
      <c r="J4" s="146"/>
      <c r="K4" s="146"/>
    </row>
    <row r="5" spans="1:11">
      <c r="A5" s="932" t="s">
        <v>1227</v>
      </c>
      <c r="B5" s="933"/>
      <c r="C5" s="932" t="s">
        <v>1232</v>
      </c>
      <c r="D5" s="933"/>
      <c r="E5" s="932" t="s">
        <v>1231</v>
      </c>
      <c r="F5" s="933"/>
      <c r="G5" s="930" t="str">
        <f>IF(inputPrYr!B69&gt;" ",(inputPrYr!B69)," ")</f>
        <v xml:space="preserve"> </v>
      </c>
      <c r="H5" s="931"/>
      <c r="I5" s="930" t="str">
        <f>IF(inputPrYr!B70&gt;" ",(inputPrYr!B70)," ")</f>
        <v xml:space="preserve"> </v>
      </c>
      <c r="J5" s="931"/>
      <c r="K5" s="182"/>
    </row>
    <row r="6" spans="1:11">
      <c r="A6" s="318" t="s">
        <v>87</v>
      </c>
      <c r="B6" s="319"/>
      <c r="C6" s="320" t="s">
        <v>87</v>
      </c>
      <c r="D6" s="321"/>
      <c r="E6" s="320" t="s">
        <v>87</v>
      </c>
      <c r="F6" s="317"/>
      <c r="G6" s="320" t="s">
        <v>87</v>
      </c>
      <c r="H6" s="322"/>
      <c r="I6" s="320" t="s">
        <v>87</v>
      </c>
      <c r="J6" s="146"/>
      <c r="K6" s="323" t="s">
        <v>259</v>
      </c>
    </row>
    <row r="7" spans="1:11">
      <c r="A7" s="324" t="s">
        <v>189</v>
      </c>
      <c r="B7" s="325">
        <v>343322</v>
      </c>
      <c r="C7" s="326" t="s">
        <v>189</v>
      </c>
      <c r="D7" s="325">
        <v>64913</v>
      </c>
      <c r="E7" s="326" t="s">
        <v>189</v>
      </c>
      <c r="F7" s="325">
        <v>584925</v>
      </c>
      <c r="G7" s="326" t="s">
        <v>189</v>
      </c>
      <c r="H7" s="325"/>
      <c r="I7" s="326" t="s">
        <v>189</v>
      </c>
      <c r="J7" s="325"/>
      <c r="K7" s="327">
        <f>SUM(B7+D7+F7+H7+J7)</f>
        <v>993160</v>
      </c>
    </row>
    <row r="8" spans="1:11">
      <c r="A8" s="328" t="s">
        <v>59</v>
      </c>
      <c r="B8" s="329"/>
      <c r="C8" s="328" t="s">
        <v>59</v>
      </c>
      <c r="D8" s="330"/>
      <c r="E8" s="328" t="s">
        <v>59</v>
      </c>
      <c r="F8" s="174"/>
      <c r="G8" s="328" t="s">
        <v>59</v>
      </c>
      <c r="H8" s="146"/>
      <c r="I8" s="328" t="s">
        <v>59</v>
      </c>
      <c r="J8" s="146"/>
      <c r="K8" s="174"/>
    </row>
    <row r="9" spans="1:11">
      <c r="A9" s="331" t="s">
        <v>331</v>
      </c>
      <c r="B9" s="325">
        <v>1128</v>
      </c>
      <c r="C9" s="331" t="s">
        <v>331</v>
      </c>
      <c r="D9" s="325">
        <v>119</v>
      </c>
      <c r="E9" s="331" t="s">
        <v>331</v>
      </c>
      <c r="F9" s="325">
        <v>1501</v>
      </c>
      <c r="G9" s="331"/>
      <c r="H9" s="325"/>
      <c r="I9" s="331"/>
      <c r="J9" s="325"/>
      <c r="K9" s="174"/>
    </row>
    <row r="10" spans="1:11">
      <c r="A10" s="331" t="s">
        <v>1172</v>
      </c>
      <c r="B10" s="325">
        <v>109254</v>
      </c>
      <c r="C10" s="331" t="s">
        <v>182</v>
      </c>
      <c r="D10" s="325">
        <v>422401</v>
      </c>
      <c r="E10" s="331" t="s">
        <v>1186</v>
      </c>
      <c r="F10" s="325">
        <v>35605</v>
      </c>
      <c r="G10" s="331"/>
      <c r="H10" s="325"/>
      <c r="I10" s="331"/>
      <c r="J10" s="325"/>
      <c r="K10" s="174"/>
    </row>
    <row r="11" spans="1:11">
      <c r="A11" s="331" t="s">
        <v>1233</v>
      </c>
      <c r="B11" s="325">
        <v>1746657</v>
      </c>
      <c r="C11" s="332" t="s">
        <v>1172</v>
      </c>
      <c r="D11" s="325">
        <v>500</v>
      </c>
      <c r="E11" s="333" t="s">
        <v>182</v>
      </c>
      <c r="F11" s="325">
        <v>122275</v>
      </c>
      <c r="G11" s="333"/>
      <c r="H11" s="325"/>
      <c r="I11" s="334"/>
      <c r="J11" s="325"/>
      <c r="K11" s="174"/>
    </row>
    <row r="12" spans="1:11">
      <c r="A12" s="331" t="s">
        <v>1234</v>
      </c>
      <c r="B12" s="325">
        <v>1081</v>
      </c>
      <c r="C12" s="331" t="s">
        <v>1234</v>
      </c>
      <c r="D12" s="325">
        <v>3573</v>
      </c>
      <c r="E12" s="335" t="s">
        <v>1234</v>
      </c>
      <c r="F12" s="325">
        <v>80</v>
      </c>
      <c r="G12" s="335"/>
      <c r="H12" s="325"/>
      <c r="I12" s="335"/>
      <c r="J12" s="325"/>
      <c r="K12" s="174"/>
    </row>
    <row r="13" spans="1:11">
      <c r="A13" s="336" t="s">
        <v>1130</v>
      </c>
      <c r="B13" s="325">
        <v>4000</v>
      </c>
      <c r="C13" s="337" t="s">
        <v>1253</v>
      </c>
      <c r="D13" s="325">
        <v>2000</v>
      </c>
      <c r="E13" s="337"/>
      <c r="F13" s="325"/>
      <c r="G13" s="337"/>
      <c r="H13" s="325"/>
      <c r="I13" s="334"/>
      <c r="J13" s="325"/>
      <c r="K13" s="174"/>
    </row>
    <row r="14" spans="1:11">
      <c r="A14" s="331" t="s">
        <v>1235</v>
      </c>
      <c r="B14" s="325">
        <v>43349</v>
      </c>
      <c r="C14" s="335" t="s">
        <v>1239</v>
      </c>
      <c r="D14" s="325"/>
      <c r="E14" s="335"/>
      <c r="F14" s="325"/>
      <c r="G14" s="335"/>
      <c r="H14" s="325"/>
      <c r="I14" s="335"/>
      <c r="J14" s="325"/>
      <c r="K14" s="174"/>
    </row>
    <row r="15" spans="1:11">
      <c r="A15" s="331" t="s">
        <v>1236</v>
      </c>
      <c r="B15" s="325">
        <v>45714</v>
      </c>
      <c r="C15" s="335"/>
      <c r="D15" s="325"/>
      <c r="E15" s="335"/>
      <c r="F15" s="325"/>
      <c r="G15" s="335"/>
      <c r="H15" s="325"/>
      <c r="I15" s="335"/>
      <c r="J15" s="325"/>
      <c r="K15" s="174"/>
    </row>
    <row r="16" spans="1:11">
      <c r="A16" s="331" t="s">
        <v>1237</v>
      </c>
      <c r="B16" s="325">
        <v>24783</v>
      </c>
      <c r="C16" s="331"/>
      <c r="D16" s="325"/>
      <c r="E16" s="331"/>
      <c r="F16" s="325"/>
      <c r="G16" s="335"/>
      <c r="H16" s="325"/>
      <c r="I16" s="331"/>
      <c r="J16" s="325"/>
      <c r="K16" s="174"/>
    </row>
    <row r="17" spans="1:12">
      <c r="A17" s="328" t="s">
        <v>288</v>
      </c>
      <c r="B17" s="327">
        <f>SUM(B9:B16)</f>
        <v>1975966</v>
      </c>
      <c r="C17" s="328" t="s">
        <v>288</v>
      </c>
      <c r="D17" s="327">
        <f>SUM(D9:D16)</f>
        <v>428593</v>
      </c>
      <c r="E17" s="328" t="s">
        <v>288</v>
      </c>
      <c r="F17" s="430">
        <f>SUM(F9:F16)</f>
        <v>159461</v>
      </c>
      <c r="G17" s="328" t="s">
        <v>288</v>
      </c>
      <c r="H17" s="327">
        <f>SUM(H9:H16)</f>
        <v>0</v>
      </c>
      <c r="I17" s="328" t="s">
        <v>288</v>
      </c>
      <c r="J17" s="327">
        <f>SUM(J9:J16)</f>
        <v>0</v>
      </c>
      <c r="K17" s="327">
        <f>SUM(B17+D17+F17+H17+J17)</f>
        <v>2564020</v>
      </c>
    </row>
    <row r="18" spans="1:12">
      <c r="A18" s="328" t="s">
        <v>289</v>
      </c>
      <c r="B18" s="327">
        <f>SUM(B7+B17)</f>
        <v>2319288</v>
      </c>
      <c r="C18" s="328" t="s">
        <v>289</v>
      </c>
      <c r="D18" s="327">
        <f>SUM(D7+D17)</f>
        <v>493506</v>
      </c>
      <c r="E18" s="328" t="s">
        <v>289</v>
      </c>
      <c r="F18" s="327">
        <f>SUM(F7+F17)</f>
        <v>744386</v>
      </c>
      <c r="G18" s="328" t="s">
        <v>289</v>
      </c>
      <c r="H18" s="327">
        <f>SUM(H7+H17)</f>
        <v>0</v>
      </c>
      <c r="I18" s="328" t="s">
        <v>289</v>
      </c>
      <c r="J18" s="327">
        <f>SUM(J7+J17)</f>
        <v>0</v>
      </c>
      <c r="K18" s="327">
        <f>SUM(B18+D18+F18+H18+J18)</f>
        <v>3557180</v>
      </c>
    </row>
    <row r="19" spans="1:12">
      <c r="A19" s="328" t="s">
        <v>291</v>
      </c>
      <c r="B19" s="329"/>
      <c r="C19" s="328" t="s">
        <v>291</v>
      </c>
      <c r="D19" s="330"/>
      <c r="E19" s="328" t="s">
        <v>291</v>
      </c>
      <c r="F19" s="174"/>
      <c r="G19" s="328" t="s">
        <v>291</v>
      </c>
      <c r="H19" s="146"/>
      <c r="I19" s="328" t="s">
        <v>291</v>
      </c>
      <c r="J19" s="146"/>
      <c r="K19" s="174"/>
    </row>
    <row r="20" spans="1:12">
      <c r="A20" s="331" t="s">
        <v>1240</v>
      </c>
      <c r="B20" s="325">
        <v>90044</v>
      </c>
      <c r="C20" s="335" t="s">
        <v>1240</v>
      </c>
      <c r="D20" s="325">
        <v>256869</v>
      </c>
      <c r="E20" s="335" t="s">
        <v>1240</v>
      </c>
      <c r="F20" s="325">
        <v>136681</v>
      </c>
      <c r="G20" s="335"/>
      <c r="H20" s="325"/>
      <c r="I20" s="335"/>
      <c r="J20" s="325"/>
      <c r="K20" s="174"/>
    </row>
    <row r="21" spans="1:12">
      <c r="A21" s="331" t="s">
        <v>1238</v>
      </c>
      <c r="B21" s="325">
        <v>220619</v>
      </c>
      <c r="C21" s="335" t="s">
        <v>1063</v>
      </c>
      <c r="D21" s="325">
        <v>177030</v>
      </c>
      <c r="E21" s="335" t="s">
        <v>1238</v>
      </c>
      <c r="F21" s="325">
        <v>3040</v>
      </c>
      <c r="G21" s="335"/>
      <c r="H21" s="325"/>
      <c r="I21" s="335"/>
      <c r="J21" s="325"/>
      <c r="K21" s="174"/>
    </row>
    <row r="22" spans="1:12">
      <c r="A22" s="331" t="s">
        <v>1126</v>
      </c>
      <c r="B22" s="325">
        <v>332861</v>
      </c>
      <c r="C22" s="337"/>
      <c r="D22" s="325"/>
      <c r="E22" s="337"/>
      <c r="F22" s="325"/>
      <c r="G22" s="337"/>
      <c r="H22" s="325"/>
      <c r="I22" s="334"/>
      <c r="J22" s="325"/>
      <c r="K22" s="174"/>
    </row>
    <row r="23" spans="1:12">
      <c r="A23" s="331"/>
      <c r="B23" s="325"/>
      <c r="C23" s="335"/>
      <c r="D23" s="325"/>
      <c r="E23" s="335"/>
      <c r="F23" s="325"/>
      <c r="G23" s="335"/>
      <c r="H23" s="325"/>
      <c r="I23" s="335"/>
      <c r="J23" s="325"/>
      <c r="K23" s="174"/>
    </row>
    <row r="24" spans="1:12">
      <c r="A24" s="331"/>
      <c r="B24" s="325"/>
      <c r="C24" s="337"/>
      <c r="D24" s="325"/>
      <c r="E24" s="337"/>
      <c r="F24" s="325"/>
      <c r="G24" s="337"/>
      <c r="H24" s="325"/>
      <c r="I24" s="334"/>
      <c r="J24" s="325"/>
      <c r="K24" s="174"/>
    </row>
    <row r="25" spans="1:12">
      <c r="A25" s="331"/>
      <c r="B25" s="325"/>
      <c r="C25" s="335"/>
      <c r="D25" s="325"/>
      <c r="E25" s="335"/>
      <c r="F25" s="325"/>
      <c r="G25" s="335"/>
      <c r="H25" s="325"/>
      <c r="I25" s="335"/>
      <c r="J25" s="325"/>
      <c r="K25" s="174"/>
    </row>
    <row r="26" spans="1:12">
      <c r="A26" s="331"/>
      <c r="B26" s="325"/>
      <c r="C26" s="335"/>
      <c r="D26" s="325"/>
      <c r="E26" s="335"/>
      <c r="F26" s="325"/>
      <c r="G26" s="335"/>
      <c r="H26" s="325"/>
      <c r="I26" s="335"/>
      <c r="J26" s="325"/>
      <c r="K26" s="174"/>
    </row>
    <row r="27" spans="1:12">
      <c r="A27" s="331"/>
      <c r="B27" s="325"/>
      <c r="C27" s="331"/>
      <c r="D27" s="325"/>
      <c r="E27" s="331"/>
      <c r="F27" s="325"/>
      <c r="G27" s="335"/>
      <c r="H27" s="325"/>
      <c r="I27" s="335"/>
      <c r="J27" s="325"/>
      <c r="K27" s="174"/>
    </row>
    <row r="28" spans="1:12">
      <c r="A28" s="328" t="s">
        <v>295</v>
      </c>
      <c r="B28" s="327">
        <f>SUM(B20:B27)</f>
        <v>643524</v>
      </c>
      <c r="C28" s="328" t="s">
        <v>295</v>
      </c>
      <c r="D28" s="327">
        <f>SUM(D20:D27)</f>
        <v>433899</v>
      </c>
      <c r="E28" s="328" t="s">
        <v>295</v>
      </c>
      <c r="F28" s="430">
        <f>SUM(F20:F27)</f>
        <v>139721</v>
      </c>
      <c r="G28" s="328" t="s">
        <v>295</v>
      </c>
      <c r="H28" s="430">
        <f>SUM(H20:H27)</f>
        <v>0</v>
      </c>
      <c r="I28" s="328" t="s">
        <v>295</v>
      </c>
      <c r="J28" s="327">
        <f>SUM(J20:J27)</f>
        <v>0</v>
      </c>
      <c r="K28" s="327">
        <f>SUM(B28+D28+F28+H28+J28)</f>
        <v>1217144</v>
      </c>
    </row>
    <row r="29" spans="1:12">
      <c r="A29" s="328" t="s">
        <v>88</v>
      </c>
      <c r="B29" s="327">
        <f>SUM(B18-B28)</f>
        <v>1675764</v>
      </c>
      <c r="C29" s="328" t="s">
        <v>88</v>
      </c>
      <c r="D29" s="327">
        <f>SUM(D18-D28)</f>
        <v>59607</v>
      </c>
      <c r="E29" s="328" t="s">
        <v>88</v>
      </c>
      <c r="F29" s="327">
        <f>SUM(F18-F28)</f>
        <v>604665</v>
      </c>
      <c r="G29" s="328" t="s">
        <v>88</v>
      </c>
      <c r="H29" s="327">
        <f>SUM(H18-H28)</f>
        <v>0</v>
      </c>
      <c r="I29" s="328" t="s">
        <v>88</v>
      </c>
      <c r="J29" s="327">
        <f>SUM(J18-J28)</f>
        <v>0</v>
      </c>
      <c r="K29" s="338">
        <f>SUM(B29+D29+F29+H29+J29)</f>
        <v>2340036</v>
      </c>
      <c r="L29" s="68" t="s">
        <v>150</v>
      </c>
    </row>
    <row r="30" spans="1:12">
      <c r="A30" s="328"/>
      <c r="B30" s="339" t="str">
        <f>IF(B29&lt;0,"See Tab B","")</f>
        <v/>
      </c>
      <c r="C30" s="328"/>
      <c r="D30" s="339" t="str">
        <f>IF(D29&lt;0,"See Tab B","")</f>
        <v/>
      </c>
      <c r="E30" s="328"/>
      <c r="F30" s="339" t="str">
        <f>IF(F29&lt;0,"See Tab B","")</f>
        <v/>
      </c>
      <c r="G30" s="146"/>
      <c r="H30" s="339" t="str">
        <f>IF(H29&lt;0,"See Tab B","")</f>
        <v/>
      </c>
      <c r="I30" s="146"/>
      <c r="J30" s="339" t="str">
        <f>IF(J29&lt;0,"See Tab B","")</f>
        <v/>
      </c>
      <c r="K30" s="338">
        <f>SUM(K7+K17-K28)</f>
        <v>2340036</v>
      </c>
      <c r="L30" s="68" t="s">
        <v>150</v>
      </c>
    </row>
    <row r="31" spans="1:12">
      <c r="A31" s="146"/>
      <c r="B31" s="235"/>
      <c r="C31" s="146"/>
      <c r="D31" s="174"/>
      <c r="E31" s="146"/>
      <c r="F31" s="146"/>
      <c r="G31" s="78" t="s">
        <v>151</v>
      </c>
      <c r="H31" s="78"/>
      <c r="I31" s="78"/>
      <c r="J31" s="78"/>
      <c r="K31" s="146"/>
    </row>
    <row r="32" spans="1:12">
      <c r="A32" s="146"/>
      <c r="B32" s="235"/>
      <c r="C32" s="146"/>
      <c r="D32" s="146"/>
      <c r="E32" s="146"/>
      <c r="F32" s="146"/>
      <c r="G32" s="146"/>
      <c r="H32" s="146"/>
      <c r="I32" s="146"/>
      <c r="J32" s="146"/>
      <c r="K32" s="146"/>
    </row>
    <row r="33" spans="1:11">
      <c r="A33" s="146"/>
      <c r="B33" s="235"/>
      <c r="C33" s="146"/>
      <c r="D33" s="146"/>
      <c r="E33" s="243" t="s">
        <v>298</v>
      </c>
      <c r="F33" s="297">
        <v>26</v>
      </c>
      <c r="G33" s="146"/>
      <c r="H33" s="146"/>
      <c r="I33" s="146"/>
      <c r="J33" s="146"/>
      <c r="K33" s="146"/>
    </row>
    <row r="34" spans="1:11">
      <c r="B34" s="340"/>
    </row>
    <row r="35" spans="1:11">
      <c r="B35" s="340"/>
    </row>
    <row r="36" spans="1:11">
      <c r="B36" s="340"/>
    </row>
    <row r="37" spans="1:11">
      <c r="B37" s="340"/>
    </row>
    <row r="38" spans="1:11">
      <c r="B38" s="340"/>
    </row>
    <row r="39" spans="1:11">
      <c r="B39" s="340"/>
    </row>
    <row r="40" spans="1:11">
      <c r="B40" s="340"/>
    </row>
    <row r="41" spans="1:11">
      <c r="B41" s="340"/>
    </row>
  </sheetData>
  <mergeCells count="5">
    <mergeCell ref="I5:J5"/>
    <mergeCell ref="A5:B5"/>
    <mergeCell ref="C5:D5"/>
    <mergeCell ref="E5:F5"/>
    <mergeCell ref="G5:H5"/>
  </mergeCells>
  <phoneticPr fontId="9" type="noConversion"/>
  <pageMargins left="0.75" right="0.75" top="1" bottom="1" header="0.5" footer="0.5"/>
  <pageSetup paperSize="17" scale="81" orientation="landscape"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69"/>
  <sheetViews>
    <sheetView workbookViewId="0">
      <selection activeCell="A2" sqref="A2"/>
    </sheetView>
  </sheetViews>
  <sheetFormatPr defaultColWidth="8.88671875" defaultRowHeight="15"/>
  <cols>
    <col min="1" max="1" width="70.5546875" style="313" customWidth="1"/>
    <col min="2" max="16384" width="8.88671875" style="313"/>
  </cols>
  <sheetData>
    <row r="1" spans="1:1" ht="18.75">
      <c r="A1" s="545" t="s">
        <v>355</v>
      </c>
    </row>
    <row r="2" spans="1:1" ht="15.75">
      <c r="A2" s="543"/>
    </row>
    <row r="3" spans="1:1" ht="47.25">
      <c r="A3" s="542" t="s">
        <v>356</v>
      </c>
    </row>
    <row r="4" spans="1:1" ht="15.75">
      <c r="A4" s="544"/>
    </row>
    <row r="5" spans="1:1" ht="15.75">
      <c r="A5" s="543"/>
    </row>
    <row r="6" spans="1:1" ht="31.5">
      <c r="A6" s="542" t="s">
        <v>357</v>
      </c>
    </row>
    <row r="7" spans="1:1" ht="15.75">
      <c r="A7" s="543"/>
    </row>
    <row r="8" spans="1:1" ht="15.75">
      <c r="A8" s="544"/>
    </row>
    <row r="9" spans="1:1" ht="31.5">
      <c r="A9" s="542" t="s">
        <v>358</v>
      </c>
    </row>
    <row r="10" spans="1:1" ht="15.75">
      <c r="A10" s="543"/>
    </row>
    <row r="11" spans="1:1" ht="15.75">
      <c r="A11" s="544"/>
    </row>
    <row r="12" spans="1:1" ht="47.25">
      <c r="A12" s="542" t="s">
        <v>359</v>
      </c>
    </row>
    <row r="13" spans="1:1" ht="15.75">
      <c r="A13" s="543"/>
    </row>
    <row r="14" spans="1:1" ht="15.75">
      <c r="A14" s="543"/>
    </row>
    <row r="15" spans="1:1" ht="47.25">
      <c r="A15" s="542" t="s">
        <v>360</v>
      </c>
    </row>
    <row r="16" spans="1:1" ht="15.75">
      <c r="A16" s="543"/>
    </row>
    <row r="17" spans="1:1" ht="15.75">
      <c r="A17" s="543"/>
    </row>
    <row r="18" spans="1:1" ht="47.25">
      <c r="A18" s="542" t="s">
        <v>361</v>
      </c>
    </row>
    <row r="19" spans="1:1" ht="15.75">
      <c r="A19" s="543"/>
    </row>
    <row r="20" spans="1:1" ht="15.75">
      <c r="A20" s="543"/>
    </row>
    <row r="21" spans="1:1" ht="47.25">
      <c r="A21" s="542" t="s">
        <v>362</v>
      </c>
    </row>
    <row r="22" spans="1:1" ht="15.75">
      <c r="A22" s="544"/>
    </row>
    <row r="23" spans="1:1" ht="15.75">
      <c r="A23" s="544"/>
    </row>
    <row r="24" spans="1:1" ht="47.25">
      <c r="A24" s="542" t="s">
        <v>363</v>
      </c>
    </row>
    <row r="25" spans="1:1" ht="15.75">
      <c r="A25" s="543"/>
    </row>
    <row r="26" spans="1:1" ht="15.75">
      <c r="A26" s="543"/>
    </row>
    <row r="27" spans="1:1" ht="47.25">
      <c r="A27" s="546" t="s">
        <v>750</v>
      </c>
    </row>
    <row r="28" spans="1:1" ht="15.75">
      <c r="A28" s="543"/>
    </row>
    <row r="29" spans="1:1" ht="15.75">
      <c r="A29" s="543"/>
    </row>
    <row r="30" spans="1:1" ht="31.5">
      <c r="A30" s="542" t="s">
        <v>364</v>
      </c>
    </row>
    <row r="31" spans="1:1" ht="15.75">
      <c r="A31" s="543"/>
    </row>
    <row r="32" spans="1:1" ht="15.75">
      <c r="A32" s="543"/>
    </row>
    <row r="33" spans="1:1" ht="31.5">
      <c r="A33" s="542" t="s">
        <v>365</v>
      </c>
    </row>
    <row r="34" spans="1:1" ht="15.75">
      <c r="A34" s="544"/>
    </row>
    <row r="35" spans="1:1" ht="15.75">
      <c r="A35" s="544"/>
    </row>
    <row r="36" spans="1:1" ht="31.5">
      <c r="A36" s="542" t="s">
        <v>366</v>
      </c>
    </row>
    <row r="37" spans="1:1" ht="15.75">
      <c r="A37" s="544"/>
    </row>
    <row r="38" spans="1:1" ht="15.75">
      <c r="A38" s="543"/>
    </row>
    <row r="39" spans="1:1" ht="63">
      <c r="A39" s="542" t="s">
        <v>367</v>
      </c>
    </row>
    <row r="40" spans="1:1" ht="15.75">
      <c r="A40" s="543"/>
    </row>
    <row r="41" spans="1:1" ht="15.75">
      <c r="A41" s="543"/>
    </row>
    <row r="42" spans="1:1" ht="47.25">
      <c r="A42" s="542" t="s">
        <v>368</v>
      </c>
    </row>
    <row r="43" spans="1:1" ht="15.75">
      <c r="A43" s="544"/>
    </row>
    <row r="44" spans="1:1" ht="15.75">
      <c r="A44" s="543"/>
    </row>
    <row r="45" spans="1:1" ht="47.25">
      <c r="A45" s="542" t="s">
        <v>369</v>
      </c>
    </row>
    <row r="46" spans="1:1" ht="15.75">
      <c r="A46" s="543"/>
    </row>
    <row r="47" spans="1:1" ht="15.75">
      <c r="A47" s="543"/>
    </row>
    <row r="48" spans="1:1" ht="31.5">
      <c r="A48" s="542" t="s">
        <v>370</v>
      </c>
    </row>
    <row r="49" spans="1:1" ht="15.75">
      <c r="A49" s="543"/>
    </row>
    <row r="50" spans="1:1" ht="15.75">
      <c r="A50" s="543"/>
    </row>
    <row r="51" spans="1:1" ht="63">
      <c r="A51" s="542" t="s">
        <v>371</v>
      </c>
    </row>
    <row r="52" spans="1:1" ht="15.75">
      <c r="A52" s="544"/>
    </row>
    <row r="53" spans="1:1" ht="15.75">
      <c r="A53" s="544"/>
    </row>
    <row r="54" spans="1:1" ht="47.25">
      <c r="A54" s="542" t="s">
        <v>372</v>
      </c>
    </row>
    <row r="55" spans="1:1" ht="15.75">
      <c r="A55" s="543"/>
    </row>
    <row r="56" spans="1:1" ht="15.75">
      <c r="A56" s="543"/>
    </row>
    <row r="57" spans="1:1" ht="31.5">
      <c r="A57" s="542" t="s">
        <v>373</v>
      </c>
    </row>
    <row r="58" spans="1:1" ht="15.75">
      <c r="A58" s="543"/>
    </row>
    <row r="59" spans="1:1" ht="15.75">
      <c r="A59" s="543"/>
    </row>
    <row r="60" spans="1:1" ht="47.25">
      <c r="A60" s="542" t="s">
        <v>374</v>
      </c>
    </row>
    <row r="61" spans="1:1" ht="15.75">
      <c r="A61" s="544"/>
    </row>
    <row r="62" spans="1:1" ht="15.75">
      <c r="A62" s="544"/>
    </row>
    <row r="63" spans="1:1" ht="47.25">
      <c r="A63" s="542" t="s">
        <v>375</v>
      </c>
    </row>
    <row r="64" spans="1:1" ht="15.75">
      <c r="A64" s="543"/>
    </row>
    <row r="65" spans="1:1" ht="15.75">
      <c r="A65" s="543"/>
    </row>
    <row r="66" spans="1:1" ht="47.25">
      <c r="A66" s="542" t="s">
        <v>376</v>
      </c>
    </row>
    <row r="67" spans="1:1" ht="15.75">
      <c r="A67" s="314"/>
    </row>
    <row r="68" spans="1:1" ht="15.75">
      <c r="A68" s="314"/>
    </row>
    <row r="69" spans="1:1" ht="15.75">
      <c r="A69" s="315"/>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M65"/>
  <sheetViews>
    <sheetView zoomScale="75" workbookViewId="0">
      <selection activeCell="G52" sqref="G52"/>
    </sheetView>
  </sheetViews>
  <sheetFormatPr defaultColWidth="8.88671875" defaultRowHeight="15.75"/>
  <cols>
    <col min="1" max="1" width="29.109375" style="68" customWidth="1"/>
    <col min="2" max="2" width="15.77734375" style="68" customWidth="1"/>
    <col min="3" max="3" width="10.77734375" style="68" customWidth="1"/>
    <col min="4" max="4" width="15.77734375" style="68" customWidth="1"/>
    <col min="5" max="5" width="10.77734375" style="68" customWidth="1"/>
    <col min="6" max="6" width="15.77734375" style="68" customWidth="1"/>
    <col min="7" max="7" width="12.77734375" style="68" customWidth="1"/>
    <col min="8" max="8" width="10.77734375" style="833" customWidth="1"/>
    <col min="9" max="9" width="8.88671875" style="68"/>
    <col min="10" max="10" width="12.44140625" style="68" customWidth="1"/>
    <col min="11" max="11" width="12.33203125" style="68" customWidth="1"/>
    <col min="12" max="12" width="10.5546875" style="68" customWidth="1"/>
    <col min="13" max="13" width="12.109375" style="68" customWidth="1"/>
    <col min="14" max="16384" width="8.88671875" style="68"/>
  </cols>
  <sheetData>
    <row r="1" spans="1:9">
      <c r="A1" s="900" t="s">
        <v>3</v>
      </c>
      <c r="B1" s="900"/>
      <c r="C1" s="900"/>
      <c r="D1" s="900"/>
      <c r="E1" s="900"/>
      <c r="F1" s="900"/>
      <c r="G1" s="900"/>
      <c r="H1" s="900"/>
      <c r="I1" s="290"/>
    </row>
    <row r="2" spans="1:9" ht="18" customHeight="1">
      <c r="A2" s="934" t="s">
        <v>1195</v>
      </c>
      <c r="B2" s="934"/>
      <c r="C2" s="934"/>
      <c r="D2" s="934"/>
      <c r="E2" s="934"/>
      <c r="F2" s="934"/>
      <c r="G2" s="934"/>
      <c r="H2" s="934"/>
    </row>
    <row r="3" spans="1:9">
      <c r="A3" s="934" t="str">
        <f>CONCATENATE("will meet on the ",inputBudSum!B7," at ",inputBudSum!B9," at ",inputBudSum!B11," to hear and")</f>
        <v>will meet on the August 12, 2013 at 7:30 p.m. at City Hall Council Chambers, 205 East Second Street to hear and</v>
      </c>
      <c r="B3" s="934"/>
      <c r="C3" s="934"/>
      <c r="D3" s="934"/>
      <c r="E3" s="934"/>
      <c r="F3" s="934"/>
      <c r="G3" s="934"/>
      <c r="H3" s="934"/>
    </row>
    <row r="4" spans="1:9" ht="16.5" customHeight="1">
      <c r="A4" s="934" t="s">
        <v>1241</v>
      </c>
      <c r="B4" s="934"/>
      <c r="C4" s="934"/>
      <c r="D4" s="934"/>
      <c r="E4" s="934"/>
      <c r="F4" s="934"/>
      <c r="G4" s="934"/>
      <c r="H4" s="934"/>
    </row>
    <row r="5" spans="1:9" ht="16.5" customHeight="1">
      <c r="A5" s="934" t="str">
        <f>CONCATENATE("Detailed budget information is available at ",inputBudSum!B14," and will be available at this hearing.")</f>
        <v>Detailed budget information is available at City Clerk's Office at City Hall and will be available at this hearing.</v>
      </c>
      <c r="B5" s="934"/>
      <c r="C5" s="934"/>
      <c r="D5" s="934"/>
      <c r="E5" s="934"/>
      <c r="F5" s="934"/>
      <c r="G5" s="934"/>
      <c r="H5" s="934"/>
    </row>
    <row r="6" spans="1:9" ht="16.5" customHeight="1">
      <c r="A6" s="934" t="s">
        <v>1196</v>
      </c>
      <c r="B6" s="934"/>
      <c r="C6" s="934"/>
      <c r="D6" s="934"/>
      <c r="E6" s="934"/>
      <c r="F6" s="934"/>
      <c r="G6" s="934"/>
      <c r="H6" s="823"/>
    </row>
    <row r="7" spans="1:9">
      <c r="A7" s="93" t="s">
        <v>4</v>
      </c>
      <c r="B7" s="94"/>
      <c r="C7" s="94"/>
      <c r="D7" s="94"/>
      <c r="E7" s="94"/>
      <c r="F7" s="94"/>
      <c r="G7" s="94"/>
      <c r="H7" s="824"/>
    </row>
    <row r="8" spans="1:9">
      <c r="A8" s="198" t="s">
        <v>1201</v>
      </c>
      <c r="B8" s="94"/>
      <c r="C8" s="94"/>
      <c r="D8" s="94"/>
      <c r="E8" s="94"/>
      <c r="F8" s="94"/>
      <c r="G8" s="94"/>
      <c r="H8" s="824"/>
    </row>
    <row r="9" spans="1:9">
      <c r="A9" s="198" t="s">
        <v>1202</v>
      </c>
      <c r="B9" s="94"/>
      <c r="C9" s="94"/>
      <c r="D9" s="94"/>
      <c r="E9" s="94"/>
      <c r="F9" s="94"/>
      <c r="G9" s="94"/>
      <c r="H9" s="824"/>
    </row>
    <row r="10" spans="1:9">
      <c r="A10" s="84"/>
      <c r="B10" s="292" t="s">
        <v>1197</v>
      </c>
      <c r="C10" s="201"/>
      <c r="D10" s="292" t="s">
        <v>1198</v>
      </c>
      <c r="E10" s="201"/>
      <c r="F10" s="199" t="s">
        <v>1199</v>
      </c>
      <c r="G10" s="200"/>
      <c r="H10" s="825"/>
    </row>
    <row r="11" spans="1:9" ht="21" customHeight="1">
      <c r="A11" s="84"/>
      <c r="B11" s="293"/>
      <c r="C11" s="204" t="s">
        <v>302</v>
      </c>
      <c r="D11" s="204"/>
      <c r="E11" s="204" t="s">
        <v>302</v>
      </c>
      <c r="F11" s="204" t="s">
        <v>660</v>
      </c>
      <c r="G11" s="204" t="s">
        <v>1200</v>
      </c>
      <c r="H11" s="826" t="s">
        <v>116</v>
      </c>
    </row>
    <row r="12" spans="1:9">
      <c r="A12" s="104" t="s">
        <v>303</v>
      </c>
      <c r="B12" s="208" t="s">
        <v>304</v>
      </c>
      <c r="C12" s="208" t="s">
        <v>305</v>
      </c>
      <c r="D12" s="208" t="s">
        <v>304</v>
      </c>
      <c r="E12" s="208" t="s">
        <v>305</v>
      </c>
      <c r="F12" s="208" t="s">
        <v>661</v>
      </c>
      <c r="G12" s="209" t="s">
        <v>283</v>
      </c>
      <c r="H12" s="827" t="s">
        <v>305</v>
      </c>
    </row>
    <row r="13" spans="1:9">
      <c r="A13" s="124" t="str">
        <f>inputPrYr!B22</f>
        <v>General</v>
      </c>
      <c r="B13" s="303">
        <f>IF(general!$C$79&lt;&gt;0,general!$C$79,"  ")</f>
        <v>6157042</v>
      </c>
      <c r="C13" s="484">
        <f>IF(inputPrYr!D93&gt;0,inputPrYr!D93,"  ")</f>
        <v>18.838999999999999</v>
      </c>
      <c r="D13" s="303">
        <f>IF(general!$D$79&lt;&gt;0,general!$D$79,"  ")</f>
        <v>7264267</v>
      </c>
      <c r="E13" s="484">
        <f>IF(inputOth!D29&gt;0,inputOth!D29,"  ")</f>
        <v>18.533000000000001</v>
      </c>
      <c r="F13" s="303">
        <f>IF(general!$E$79&lt;&gt;0,general!$E$79,"  ")</f>
        <v>7466219</v>
      </c>
      <c r="G13" s="303">
        <f>IF(general!$E$86&lt;&gt;0,general!$E$86,"  ")</f>
        <v>1493170.3899999997</v>
      </c>
      <c r="H13" s="828">
        <f>IF(general!E86&gt;0,ROUND(G13/$F$50*1000,4),"  ")</f>
        <v>22.768599999999999</v>
      </c>
    </row>
    <row r="14" spans="1:9">
      <c r="A14" s="124" t="str">
        <f>inputPrYr!B23</f>
        <v>Debt Service</v>
      </c>
      <c r="B14" s="303">
        <f>IF(DebtSvs!$C$42&lt;&gt;0,DebtSvs!$C$42,"  ")</f>
        <v>2691015</v>
      </c>
      <c r="C14" s="484">
        <f>IF(inputPrYr!D94&gt;0,inputPrYr!D94,"  ")</f>
        <v>6.9539999999999997</v>
      </c>
      <c r="D14" s="303">
        <f>IF(DebtSvs!$D$42&lt;&gt;0,DebtSvs!$D$42,"  ")</f>
        <v>2686780</v>
      </c>
      <c r="E14" s="484">
        <f>IF(inputOth!D30&gt;0,inputOth!D30,"  ")</f>
        <v>7.1269999999999998</v>
      </c>
      <c r="F14" s="303">
        <f>IF(DebtSvs!$E$42&lt;&gt;0,DebtSvs!$E$42,"  ")</f>
        <v>3293392</v>
      </c>
      <c r="G14" s="303">
        <f>IF(DebtSvs!$E$49&lt;&gt;0,DebtSvs!$E$49,"  ")</f>
        <v>372538</v>
      </c>
      <c r="H14" s="828">
        <f>IF(DebtSvs!E49&gt;0,ROUND(G14/$F$50*1000,4),"  ")</f>
        <v>5.6806000000000001</v>
      </c>
    </row>
    <row r="15" spans="1:9">
      <c r="A15" s="124" t="str">
        <f>IF(inputPrYr!$B24&gt;"  ",(inputPrYr!$B24),"  ")</f>
        <v>Library</v>
      </c>
      <c r="B15" s="303">
        <f>Library!C35</f>
        <v>334318</v>
      </c>
      <c r="C15" s="484">
        <f>IF(inputPrYr!D95&gt;0,inputPrYr!D95,"  ")</f>
        <v>4.7850000000000001</v>
      </c>
      <c r="D15" s="821">
        <f>Library!D35</f>
        <v>363331</v>
      </c>
      <c r="E15" s="484">
        <f>IF(inputOth!D31&gt;0,inputOth!D31,"  ")</f>
        <v>4.9450000000000003</v>
      </c>
      <c r="F15" s="303">
        <f>Library!E35</f>
        <v>372748</v>
      </c>
      <c r="G15" s="303">
        <f>Library!E42</f>
        <v>338116</v>
      </c>
      <c r="H15" s="828">
        <f>IF(Library!E42&gt;0,ROUND(G15/$F$50*1000,4),"  ")</f>
        <v>5.1558000000000002</v>
      </c>
    </row>
    <row r="16" spans="1:9">
      <c r="A16" s="124" t="str">
        <f>IF(inputPrYr!$B29&gt;"  ",(inputPrYr!$B29),"  ")</f>
        <v>Spec. Rev. Aquatic Park Facility Sales Tax</v>
      </c>
      <c r="B16" s="303">
        <f>'Aquatic Sales Co Infra'!C30</f>
        <v>442168</v>
      </c>
      <c r="C16" s="215"/>
      <c r="D16" s="303">
        <f>'Aquatic Sales Co Infra'!D30</f>
        <v>441968</v>
      </c>
      <c r="E16" s="215"/>
      <c r="F16" s="303">
        <f>'Aquatic Sales Co Infra'!E30</f>
        <v>926065</v>
      </c>
      <c r="G16" s="303"/>
      <c r="H16" s="828"/>
    </row>
    <row r="17" spans="1:13">
      <c r="A17" s="124" t="str">
        <f>IF(inputPrYr!$B30&gt;"  ",(inputPrYr!$B30),"  ")</f>
        <v>Spec. Rev. County Infrastructure</v>
      </c>
      <c r="B17" s="303">
        <f>'Aquatic Sales Co Infra'!C63</f>
        <v>24783</v>
      </c>
      <c r="C17" s="215"/>
      <c r="D17" s="303">
        <f>'Aquatic Sales Co Infra'!D63</f>
        <v>0</v>
      </c>
      <c r="E17" s="215"/>
      <c r="F17" s="303">
        <f>'Aquatic Sales Co Infra'!E63</f>
        <v>1315</v>
      </c>
      <c r="G17" s="303"/>
      <c r="H17" s="828"/>
    </row>
    <row r="18" spans="1:13">
      <c r="A18" s="124" t="str">
        <f>IF(inputPrYr!$B31&gt;"  ",(inputPrYr!$B31),"  ")</f>
        <v>Spec. Rev. Convention &amp; Tourism</v>
      </c>
      <c r="B18" s="303">
        <f>'Con Tour Drug Alcohol'!C30</f>
        <v>75059</v>
      </c>
      <c r="C18" s="215"/>
      <c r="D18" s="303">
        <f>'Con Tour Drug Alcohol'!D30</f>
        <v>80196</v>
      </c>
      <c r="E18" s="215"/>
      <c r="F18" s="303">
        <f>'Con Tour Drug Alcohol'!E30</f>
        <v>103366</v>
      </c>
      <c r="G18" s="303"/>
      <c r="H18" s="828"/>
    </row>
    <row r="19" spans="1:13">
      <c r="A19" s="124" t="str">
        <f>IF(inputPrYr!$B32&gt;"  ",(inputPrYr!$B32),"  ")</f>
        <v>Spec. Rev. Drug &amp; Alcohol</v>
      </c>
      <c r="B19" s="303">
        <f>'Con Tour Drug Alcohol'!C63</f>
        <v>65935</v>
      </c>
      <c r="C19" s="215"/>
      <c r="D19" s="303">
        <f>'Con Tour Drug Alcohol'!D63</f>
        <v>79325</v>
      </c>
      <c r="E19" s="215"/>
      <c r="F19" s="303">
        <f>'Con Tour Drug Alcohol'!E63</f>
        <v>81250</v>
      </c>
      <c r="G19" s="303"/>
      <c r="H19" s="828"/>
    </row>
    <row r="20" spans="1:13">
      <c r="A20" s="124" t="str">
        <f>IF(inputPrYr!$B33&gt;"  ",(inputPrYr!$B33),"  ")</f>
        <v>Spec. Rev. Economic Development</v>
      </c>
      <c r="B20" s="303">
        <f>'ED EMS Capital'!C30</f>
        <v>9238</v>
      </c>
      <c r="C20" s="215"/>
      <c r="D20" s="303">
        <f>'ED EMS Capital'!D30</f>
        <v>11417</v>
      </c>
      <c r="E20" s="215"/>
      <c r="F20" s="303">
        <f>'ED EMS Capital'!E30</f>
        <v>12574</v>
      </c>
      <c r="G20" s="303"/>
      <c r="H20" s="828"/>
    </row>
    <row r="21" spans="1:13">
      <c r="A21" s="124" t="str">
        <f>IF(inputPrYr!$B34&gt;"  ",(inputPrYr!$B34),"  ")</f>
        <v>Spec. Rev. Emergency Services Capital</v>
      </c>
      <c r="B21" s="303">
        <f>'ED EMS Capital'!C63</f>
        <v>424062</v>
      </c>
      <c r="C21" s="215"/>
      <c r="D21" s="303">
        <f>'ED EMS Capital'!D63</f>
        <v>489924</v>
      </c>
      <c r="E21" s="215"/>
      <c r="F21" s="303">
        <f>'ED EMS Capital'!E63</f>
        <v>703342</v>
      </c>
      <c r="G21" s="303"/>
      <c r="H21" s="828"/>
    </row>
    <row r="22" spans="1:13">
      <c r="A22" s="124" t="str">
        <f>IF(inputPrYr!$B35&gt;"  ",(inputPrYr!$B35),"  ")</f>
        <v>Spec. Rev. Emergency Medical Services</v>
      </c>
      <c r="B22" s="303">
        <f>'EMS Library Sales'!C30</f>
        <v>490715</v>
      </c>
      <c r="C22" s="215"/>
      <c r="D22" s="303">
        <f>'EMS Library Sales'!D30</f>
        <v>554947</v>
      </c>
      <c r="E22" s="215"/>
      <c r="F22" s="303">
        <f>'EMS Library Sales'!E30</f>
        <v>576020</v>
      </c>
      <c r="G22" s="303"/>
      <c r="H22" s="828"/>
    </row>
    <row r="23" spans="1:13">
      <c r="A23" s="124" t="str">
        <f>IF(inputPrYr!$B36&gt;"  ",(inputPrYr!$B36),"  ")</f>
        <v>Spec. Rev. Library Sales Tax</v>
      </c>
      <c r="B23" s="303">
        <f>'EMS Library Sales'!C63</f>
        <v>429840</v>
      </c>
      <c r="C23" s="215"/>
      <c r="D23" s="303">
        <f>'EMS Library Sales'!D63</f>
        <v>387470</v>
      </c>
      <c r="E23" s="215"/>
      <c r="F23" s="303">
        <f>'EMS Library Sales'!E63</f>
        <v>437940</v>
      </c>
      <c r="G23" s="303"/>
      <c r="H23" s="828"/>
    </row>
    <row r="24" spans="1:13">
      <c r="A24" s="124" t="str">
        <f>IF(inputPrYr!$B37&gt;"  ",(inputPrYr!$B37),"  ")</f>
        <v>Spec. Rev. Park Dedication</v>
      </c>
      <c r="B24" s="303">
        <f>'Park Ded Rec Programs'!C24</f>
        <v>0</v>
      </c>
      <c r="C24" s="215"/>
      <c r="D24" s="303">
        <f>'Park Ded Rec Programs'!D24</f>
        <v>0</v>
      </c>
      <c r="E24" s="215"/>
      <c r="F24" s="303">
        <f>'Park Ded Rec Programs'!E24</f>
        <v>0</v>
      </c>
      <c r="G24" s="303"/>
      <c r="H24" s="828"/>
    </row>
    <row r="25" spans="1:13">
      <c r="A25" s="124" t="str">
        <f>IF(inputPrYr!$B38&gt;"  ",(inputPrYr!$B38),"  ")</f>
        <v>Spec. Rev. Recreation Programs</v>
      </c>
      <c r="B25" s="303">
        <f>'Park Ded Rec Programs'!C57</f>
        <v>65684</v>
      </c>
      <c r="C25" s="215"/>
      <c r="D25" s="821">
        <f>'Park Ded Rec Programs'!D57</f>
        <v>143695</v>
      </c>
      <c r="E25" s="215"/>
      <c r="F25" s="303">
        <f>'Park Ded Rec Programs'!E57</f>
        <v>137195</v>
      </c>
      <c r="G25" s="303"/>
      <c r="H25" s="828"/>
    </row>
    <row r="26" spans="1:13">
      <c r="A26" s="124" t="str">
        <f>IF(inputPrYr!$B39&gt;"  ",(inputPrYr!$B39),"  ")</f>
        <v>Spec. Rev. Risk Management</v>
      </c>
      <c r="B26" s="303">
        <f>'Risk Mgmt Sen Ctr'!C30</f>
        <v>10044</v>
      </c>
      <c r="C26" s="215"/>
      <c r="D26" s="303">
        <f>'Risk Mgmt Sen Ctr'!D30</f>
        <v>7506</v>
      </c>
      <c r="E26" s="215"/>
      <c r="F26" s="303">
        <f>'Risk Mgmt Sen Ctr'!E30</f>
        <v>141934</v>
      </c>
      <c r="G26" s="303"/>
      <c r="H26" s="828"/>
    </row>
    <row r="27" spans="1:13">
      <c r="A27" s="124" t="str">
        <f>IF(inputPrYr!$B40&gt;"  ",(inputPrYr!$B40),"  ")</f>
        <v>Spec. Rev. Senior Center</v>
      </c>
      <c r="B27" s="303">
        <f>'Risk Mgmt Sen Ctr'!C63</f>
        <v>43127</v>
      </c>
      <c r="C27" s="215"/>
      <c r="D27" s="303">
        <f>'Risk Mgmt Sen Ctr'!D63</f>
        <v>47450</v>
      </c>
      <c r="E27" s="215"/>
      <c r="F27" s="303">
        <f>'Risk Mgmt Sen Ctr'!E63</f>
        <v>48280</v>
      </c>
      <c r="G27" s="303"/>
      <c r="H27" s="828"/>
      <c r="J27" s="935" t="e">
        <f>CONCATENATE("Estimated Value Of One Mill For ",#REF!,"")</f>
        <v>#REF!</v>
      </c>
      <c r="K27" s="936"/>
      <c r="L27" s="936"/>
      <c r="M27" s="937"/>
    </row>
    <row r="28" spans="1:13">
      <c r="A28" s="124" t="str">
        <f>IF(inputPrYr!$B41&gt;"  ",(inputPrYr!$B41),"  ")</f>
        <v>Spec. Rev. Sidewalk Escrow</v>
      </c>
      <c r="B28" s="303">
        <f>'Sidewalk Soccer'!C30</f>
        <v>0</v>
      </c>
      <c r="C28" s="215"/>
      <c r="D28" s="303">
        <f>'Sidewalk Soccer'!D30</f>
        <v>0</v>
      </c>
      <c r="E28" s="215"/>
      <c r="F28" s="303">
        <f>'Sidewalk Soccer'!E30</f>
        <v>34396</v>
      </c>
      <c r="G28" s="303"/>
      <c r="H28" s="828"/>
      <c r="J28" s="521"/>
      <c r="K28" s="522"/>
      <c r="L28" s="522"/>
      <c r="M28" s="523"/>
    </row>
    <row r="29" spans="1:13">
      <c r="A29" s="124" t="str">
        <f>IF(inputPrYr!$B42&gt;"  ",(inputPrYr!$B42),"  ")</f>
        <v>Spec. Rev. Soccer</v>
      </c>
      <c r="B29" s="303">
        <f>'Sidewalk Soccer'!C57</f>
        <v>18123</v>
      </c>
      <c r="C29" s="215"/>
      <c r="D29" s="821">
        <f>'Sidewalk Soccer'!D57</f>
        <v>11810</v>
      </c>
      <c r="E29" s="215"/>
      <c r="F29" s="303">
        <f>'Sidewalk Soccer'!E57</f>
        <v>11455</v>
      </c>
      <c r="G29" s="303"/>
      <c r="H29" s="828"/>
      <c r="J29" s="524" t="s">
        <v>751</v>
      </c>
      <c r="K29" s="525"/>
      <c r="L29" s="525"/>
      <c r="M29" s="526">
        <f>ROUND(F50/1000,0)</f>
        <v>65580</v>
      </c>
    </row>
    <row r="30" spans="1:13">
      <c r="A30" s="124" t="str">
        <f>IF(inputPrYr!$B43&gt;"  ",(inputPrYr!$B43),"  ")</f>
        <v>Spec. Rev. Special Parks &amp; Recreation</v>
      </c>
      <c r="B30" s="303">
        <f>'Spec Parks Streets'!C22</f>
        <v>64752</v>
      </c>
      <c r="C30" s="215"/>
      <c r="D30" s="821">
        <f>'Spec Parks Streets'!D22</f>
        <v>105400</v>
      </c>
      <c r="E30" s="215"/>
      <c r="F30" s="303">
        <f>'Spec Parks Streets'!E22</f>
        <v>60342</v>
      </c>
      <c r="G30" s="303"/>
      <c r="H30" s="828"/>
    </row>
    <row r="31" spans="1:13">
      <c r="A31" s="124" t="str">
        <f>IF(inputPrYr!$B44&gt;"  ",(inputPrYr!$B44),"  ")</f>
        <v>Spec. Rev. Street Projects</v>
      </c>
      <c r="B31" s="303">
        <f>'Spec Parks Streets'!C51</f>
        <v>606637</v>
      </c>
      <c r="C31" s="215"/>
      <c r="D31" s="821">
        <f>'Spec Parks Streets'!D51</f>
        <v>578912</v>
      </c>
      <c r="E31" s="215"/>
      <c r="F31" s="303">
        <f>'Spec Parks Streets'!E51</f>
        <v>539100</v>
      </c>
      <c r="G31" s="303"/>
      <c r="H31" s="828"/>
      <c r="J31" s="935" t="e">
        <f>CONCATENATE("Want The Mill Rate The Same As For ",#REF!-1,"?")</f>
        <v>#REF!</v>
      </c>
      <c r="K31" s="936"/>
      <c r="L31" s="936"/>
      <c r="M31" s="937"/>
    </row>
    <row r="32" spans="1:13">
      <c r="A32" s="124" t="str">
        <f>IF(inputPrYr!$B45&gt;"  ",(inputPrYr!$B45),"  ")</f>
        <v>Spec. Rev. Summer Ball</v>
      </c>
      <c r="B32" s="303">
        <f>'Ball Pool'!C23</f>
        <v>23761</v>
      </c>
      <c r="C32" s="215"/>
      <c r="D32" s="303">
        <f>'Ball Pool'!D23</f>
        <v>42270</v>
      </c>
      <c r="E32" s="215"/>
      <c r="F32" s="303">
        <f>'Ball Pool'!E23</f>
        <v>46250</v>
      </c>
      <c r="G32" s="303"/>
      <c r="H32" s="828"/>
      <c r="J32" s="528"/>
      <c r="K32" s="522"/>
      <c r="L32" s="522"/>
      <c r="M32" s="529"/>
    </row>
    <row r="33" spans="1:13">
      <c r="A33" s="124" t="str">
        <f>IF(inputPrYr!$B46&gt;"  ",(inputPrYr!$B46),"  ")</f>
        <v>Spec. Rev. Swimming Pool</v>
      </c>
      <c r="B33" s="303">
        <f>'Ball Pool'!C58</f>
        <v>253911</v>
      </c>
      <c r="C33" s="215"/>
      <c r="D33" s="303">
        <f>'Ball Pool'!D58</f>
        <v>245645</v>
      </c>
      <c r="E33" s="215"/>
      <c r="F33" s="303">
        <f>'Ball Pool'!E58</f>
        <v>261924</v>
      </c>
      <c r="G33" s="303"/>
      <c r="H33" s="828"/>
      <c r="J33" s="528" t="e">
        <f>CONCATENATE("",#REF!-1," Mill Rate Was:")</f>
        <v>#REF!</v>
      </c>
      <c r="K33" s="522"/>
      <c r="L33" s="522"/>
      <c r="M33" s="530">
        <f>E45</f>
        <v>30.605</v>
      </c>
    </row>
    <row r="34" spans="1:13">
      <c r="A34" s="124" t="str">
        <f>IF(inputPrYr!$B47&gt;"  ",(inputPrYr!$B47),"  ")</f>
        <v>Spec. Rev. Tiblow Transit</v>
      </c>
      <c r="B34" s="303">
        <f>'Tiblow TIF Develop'!C31</f>
        <v>85985</v>
      </c>
      <c r="C34" s="215"/>
      <c r="D34" s="303">
        <f>'Tiblow TIF Develop'!D31</f>
        <v>95389</v>
      </c>
      <c r="E34" s="215"/>
      <c r="F34" s="303">
        <f>'Tiblow TIF Develop'!E31</f>
        <v>90533</v>
      </c>
      <c r="G34" s="303"/>
      <c r="H34" s="828"/>
      <c r="J34" s="531" t="e">
        <f>CONCATENATE("",#REF!," Tax Levy Fund Expenditures Must Be")</f>
        <v>#REF!</v>
      </c>
      <c r="K34" s="532"/>
      <c r="L34" s="532"/>
      <c r="M34" s="529"/>
    </row>
    <row r="35" spans="1:13">
      <c r="A35" s="124" t="str">
        <f>IF(inputPrYr!$B48&gt;"  ",(inputPrYr!$B48),"  ")</f>
        <v>Spec. Rev. TIF Develop Funds</v>
      </c>
      <c r="B35" s="303">
        <f>'Tiblow TIF Develop'!C64</f>
        <v>0</v>
      </c>
      <c r="C35" s="215"/>
      <c r="D35" s="303">
        <f>'Tiblow TIF Develop'!D64</f>
        <v>0</v>
      </c>
      <c r="E35" s="215"/>
      <c r="F35" s="303">
        <f>'Tiblow TIF Develop'!E64</f>
        <v>0</v>
      </c>
      <c r="G35" s="303"/>
      <c r="H35" s="828"/>
      <c r="J35" s="531" t="str">
        <f>IF(M35&gt;0,"Increased By:","")</f>
        <v/>
      </c>
      <c r="K35" s="532"/>
      <c r="L35" s="532"/>
      <c r="M35" s="600">
        <f>IF(M47&lt;0,M47*-1,0)</f>
        <v>0</v>
      </c>
    </row>
    <row r="36" spans="1:13">
      <c r="A36" s="124" t="str">
        <f>IF(inputPrYr!$B49&gt;"  ",(inputPrYr!$B49),"  ")</f>
        <v>Bonner Pointe TIF Increment</v>
      </c>
      <c r="B36" s="303">
        <f>'TIF Increment CID Develop'!C30</f>
        <v>124596</v>
      </c>
      <c r="C36" s="215"/>
      <c r="D36" s="303">
        <f>'TIF Increment CID Develop'!D30</f>
        <v>140000</v>
      </c>
      <c r="E36" s="215"/>
      <c r="F36" s="303">
        <f>'TIF Increment CID Develop'!E30</f>
        <v>180000</v>
      </c>
      <c r="G36" s="303"/>
      <c r="H36" s="828"/>
      <c r="J36" s="601" t="str">
        <f>IF(M36&lt;0,"Reduced By:","")</f>
        <v>Reduced By:</v>
      </c>
      <c r="K36" s="602"/>
      <c r="L36" s="602"/>
      <c r="M36" s="603">
        <f>IF(M47&gt;0,M47*-1,0)</f>
        <v>-196740.38999999966</v>
      </c>
    </row>
    <row r="37" spans="1:13">
      <c r="A37" s="124" t="str">
        <f>IF(inputPrYr!$B50&gt;"  ",(inputPrYr!$B50),"  ")</f>
        <v>CID Development Fees</v>
      </c>
      <c r="B37" s="303">
        <f>'TIF Increment CID Develop'!C63</f>
        <v>0</v>
      </c>
      <c r="C37" s="215"/>
      <c r="D37" s="821">
        <f>'TIF Increment CID Develop'!D63</f>
        <v>11190</v>
      </c>
      <c r="E37" s="215"/>
      <c r="F37" s="303">
        <f>'TIF Increment CID Develop'!E63</f>
        <v>0</v>
      </c>
      <c r="G37" s="303"/>
      <c r="H37" s="828"/>
      <c r="J37" s="788"/>
      <c r="K37" s="788"/>
      <c r="L37" s="788"/>
      <c r="M37" s="789"/>
    </row>
    <row r="38" spans="1:13">
      <c r="A38" s="124" t="str">
        <f>IF(inputPrYr!$B51&gt;"  ",(inputPrYr!$B51),"  ")</f>
        <v>Bonner Springs Center CID</v>
      </c>
      <c r="B38" s="303">
        <f>'Center CID Ctr City Contrib'!C30</f>
        <v>58446</v>
      </c>
      <c r="C38" s="215"/>
      <c r="D38" s="303">
        <f>'Center CID Ctr City Contrib'!D30</f>
        <v>100000</v>
      </c>
      <c r="E38" s="215"/>
      <c r="F38" s="303">
        <f>'Center CID Ctr City Contrib'!E30</f>
        <v>100000</v>
      </c>
      <c r="G38" s="303"/>
      <c r="H38" s="828"/>
      <c r="J38" s="788"/>
      <c r="K38" s="788"/>
      <c r="L38" s="788"/>
      <c r="M38" s="789"/>
    </row>
    <row r="39" spans="1:13">
      <c r="A39" s="124" t="str">
        <f>IF(inputPrYr!$B52&gt;"  ",(inputPrYr!$B52),"  ")</f>
        <v>Bonner Springs Ctr City Contribution</v>
      </c>
      <c r="B39" s="303">
        <f>'Center CID Ctr City Contrib'!C63</f>
        <v>18144</v>
      </c>
      <c r="C39" s="215"/>
      <c r="D39" s="303">
        <f>'Center CID Ctr City Contrib'!D63</f>
        <v>33000</v>
      </c>
      <c r="E39" s="215"/>
      <c r="F39" s="303">
        <f>'Center CID Ctr City Contrib'!E63</f>
        <v>33000</v>
      </c>
      <c r="G39" s="303"/>
      <c r="H39" s="828"/>
      <c r="J39" s="788"/>
      <c r="K39" s="788"/>
      <c r="L39" s="788"/>
      <c r="M39" s="789"/>
    </row>
    <row r="40" spans="1:13">
      <c r="A40" s="124" t="str">
        <f>IF(inputPrYr!$B53&gt;"  ",(inputPrYr!$B53),"  ")</f>
        <v>Enterprise Fund - Solid Waste</v>
      </c>
      <c r="B40" s="303">
        <f>'Solid Waste Storm'!C26</f>
        <v>353091</v>
      </c>
      <c r="C40" s="215"/>
      <c r="D40" s="303">
        <f>'Solid Waste Storm'!D26</f>
        <v>338184</v>
      </c>
      <c r="E40" s="215"/>
      <c r="F40" s="303">
        <f>'Solid Waste Storm'!E26</f>
        <v>380110</v>
      </c>
      <c r="G40" s="303"/>
      <c r="H40" s="828"/>
      <c r="J40" s="788"/>
      <c r="K40" s="788"/>
      <c r="L40" s="788"/>
      <c r="M40" s="789"/>
    </row>
    <row r="41" spans="1:13">
      <c r="A41" s="124" t="str">
        <f>IF(inputPrYr!$B54&gt;"  ",(inputPrYr!$B54),"  ")</f>
        <v>Enterprise Fund - Storm Water</v>
      </c>
      <c r="B41" s="303">
        <f>'Solid Waste Storm'!C55</f>
        <v>48382</v>
      </c>
      <c r="C41" s="215"/>
      <c r="D41" s="303">
        <f>'Solid Waste Storm'!D55</f>
        <v>110293</v>
      </c>
      <c r="E41" s="215"/>
      <c r="F41" s="303">
        <f>'Solid Waste Storm'!E55</f>
        <v>175378</v>
      </c>
      <c r="G41" s="303"/>
      <c r="H41" s="828"/>
      <c r="J41" s="788"/>
      <c r="K41" s="788"/>
      <c r="L41" s="788"/>
      <c r="M41" s="789"/>
    </row>
    <row r="42" spans="1:13">
      <c r="A42" s="124" t="str">
        <f>IF(inputPrYr!$B55&gt;"  ",(inputPrYr!$B55),"  ")</f>
        <v>Enterprise Fund - Waste Water</v>
      </c>
      <c r="B42" s="303">
        <f>'Waste Water'!C37</f>
        <v>1525646</v>
      </c>
      <c r="C42" s="215"/>
      <c r="D42" s="303">
        <f>'Waste Water'!D37</f>
        <v>1480719</v>
      </c>
      <c r="E42" s="215"/>
      <c r="F42" s="303">
        <f>'Waste Water'!E37</f>
        <v>1658907</v>
      </c>
      <c r="G42" s="303"/>
      <c r="H42" s="828"/>
      <c r="J42" s="788"/>
      <c r="K42" s="788"/>
      <c r="L42" s="788"/>
      <c r="M42" s="789"/>
    </row>
    <row r="43" spans="1:13">
      <c r="A43" s="124" t="str">
        <f>IF(inputPrYr!$B56&gt;"  ",(inputPrYr!$B56),"  ")</f>
        <v>Enterprise Fund - Water</v>
      </c>
      <c r="B43" s="303">
        <f>Water!C35</f>
        <v>1775682</v>
      </c>
      <c r="C43" s="215"/>
      <c r="D43" s="821">
        <f>Water!D35</f>
        <v>1860601</v>
      </c>
      <c r="E43" s="215"/>
      <c r="F43" s="303">
        <f>Water!E35</f>
        <v>2325055</v>
      </c>
      <c r="G43" s="303"/>
      <c r="H43" s="828"/>
      <c r="J43" s="788"/>
      <c r="K43" s="788"/>
      <c r="L43" s="788"/>
      <c r="M43" s="789"/>
    </row>
    <row r="44" spans="1:13" ht="16.5" thickBot="1">
      <c r="A44" s="124" t="str">
        <f>IF(inputPrYr!$B57&gt;"  ",(inputPrYr!$B57),"  ")</f>
        <v>Non Budgeted Funds</v>
      </c>
      <c r="B44" s="303">
        <f>NonBudA!K28</f>
        <v>1217144</v>
      </c>
      <c r="C44" s="215"/>
      <c r="D44" s="303">
        <v>0</v>
      </c>
      <c r="E44" s="215"/>
      <c r="F44" s="303">
        <v>0</v>
      </c>
      <c r="G44" s="303"/>
      <c r="H44" s="828"/>
      <c r="J44" s="788"/>
      <c r="K44" s="788"/>
      <c r="L44" s="788"/>
      <c r="M44" s="789"/>
    </row>
    <row r="45" spans="1:13">
      <c r="A45" s="566" t="s">
        <v>761</v>
      </c>
      <c r="B45" s="569">
        <f>SUM(B13:B44)</f>
        <v>17437330</v>
      </c>
      <c r="C45" s="570">
        <f>SUM(C13:C15)</f>
        <v>30.577999999999999</v>
      </c>
      <c r="D45" s="569">
        <f>SUM(D13:D44)</f>
        <v>17711689</v>
      </c>
      <c r="E45" s="570">
        <f>SUM(E13:E15)</f>
        <v>30.605</v>
      </c>
      <c r="F45" s="569">
        <f>SUM(F13:F44)</f>
        <v>20198090</v>
      </c>
      <c r="G45" s="569">
        <f>SUM(G13:G44)</f>
        <v>2203824.3899999997</v>
      </c>
      <c r="H45" s="829">
        <f>SUM(H13:H15)</f>
        <v>33.604999999999997</v>
      </c>
      <c r="J45" s="528" t="e">
        <f>CONCATENATE("",#REF!," Ad Valorem Tax Revenue:")</f>
        <v>#REF!</v>
      </c>
      <c r="K45" s="522"/>
      <c r="L45" s="522"/>
      <c r="M45" s="523">
        <f>G45</f>
        <v>2203824.3899999997</v>
      </c>
    </row>
    <row r="46" spans="1:13">
      <c r="A46" s="91" t="s">
        <v>306</v>
      </c>
      <c r="B46" s="486">
        <f>transfers!$C$41</f>
        <v>3283888</v>
      </c>
      <c r="C46" s="558"/>
      <c r="D46" s="486">
        <f>transfers!$D$41</f>
        <v>3053013</v>
      </c>
      <c r="E46" s="558"/>
      <c r="F46" s="486">
        <f>transfers!$E$41</f>
        <v>3610474</v>
      </c>
      <c r="G46" s="487"/>
      <c r="H46" s="830"/>
      <c r="I46" s="488"/>
      <c r="J46" s="528" t="e">
        <f>CONCATENATE("",#REF!-1," Ad Valorem Tax Revenue:")</f>
        <v>#REF!</v>
      </c>
      <c r="K46" s="522"/>
      <c r="L46" s="522"/>
      <c r="M46" s="536">
        <f>ROUND(F50*M33/1000,0)</f>
        <v>2007084</v>
      </c>
    </row>
    <row r="47" spans="1:13" ht="16.5" thickBot="1">
      <c r="A47" s="91" t="s">
        <v>307</v>
      </c>
      <c r="B47" s="305">
        <f>B45-B46</f>
        <v>14153442</v>
      </c>
      <c r="C47" s="173"/>
      <c r="D47" s="305">
        <f>D45-D46</f>
        <v>14658676</v>
      </c>
      <c r="E47" s="485"/>
      <c r="F47" s="305">
        <f>F45-F46</f>
        <v>16587616</v>
      </c>
      <c r="G47" s="84"/>
      <c r="H47" s="831"/>
      <c r="J47" s="533" t="s">
        <v>752</v>
      </c>
      <c r="K47" s="534"/>
      <c r="L47" s="534"/>
      <c r="M47" s="526">
        <f>SUM(M45-M46)</f>
        <v>196740.38999999966</v>
      </c>
    </row>
    <row r="48" spans="1:13" ht="16.5" thickTop="1">
      <c r="A48" s="91" t="s">
        <v>308</v>
      </c>
      <c r="B48" s="486">
        <f>inputPrYr!$E$99</f>
        <v>2034437</v>
      </c>
      <c r="C48" s="483"/>
      <c r="D48" s="486">
        <f>inputPrYr!$E$26</f>
        <v>2025736</v>
      </c>
      <c r="E48" s="483"/>
      <c r="F48" s="294" t="s">
        <v>272</v>
      </c>
      <c r="G48" s="487"/>
      <c r="H48" s="830"/>
      <c r="J48" s="527"/>
      <c r="K48" s="527"/>
      <c r="L48" s="527"/>
      <c r="M48" s="535"/>
    </row>
    <row r="49" spans="1:13">
      <c r="A49" s="91" t="s">
        <v>309</v>
      </c>
      <c r="B49" s="512"/>
      <c r="C49" s="173"/>
      <c r="D49" s="512"/>
      <c r="E49" s="173"/>
      <c r="F49" s="256"/>
      <c r="G49" s="357"/>
      <c r="H49" s="832"/>
      <c r="J49" s="935" t="s">
        <v>753</v>
      </c>
      <c r="K49" s="938"/>
      <c r="L49" s="938"/>
      <c r="M49" s="939"/>
    </row>
    <row r="50" spans="1:13">
      <c r="A50" s="91" t="s">
        <v>310</v>
      </c>
      <c r="B50" s="486">
        <f>inputPrYr!$E$100</f>
        <v>66531961</v>
      </c>
      <c r="C50" s="173"/>
      <c r="D50" s="486">
        <f>inputOth!$D$42</f>
        <v>66216245</v>
      </c>
      <c r="E50" s="173"/>
      <c r="F50" s="486">
        <f>inputOth!$B$14</f>
        <v>65580249</v>
      </c>
      <c r="G50" s="173"/>
      <c r="H50" s="832"/>
      <c r="J50" s="528"/>
      <c r="K50" s="522"/>
      <c r="L50" s="522"/>
      <c r="M50" s="529"/>
    </row>
    <row r="51" spans="1:13">
      <c r="A51" s="91" t="s">
        <v>311</v>
      </c>
      <c r="B51" s="84"/>
      <c r="C51" s="84"/>
      <c r="D51" s="84"/>
      <c r="E51" s="84"/>
      <c r="F51" s="84"/>
      <c r="G51" s="173"/>
      <c r="H51" s="832"/>
      <c r="J51" s="528" t="e">
        <f>CONCATENATE("Current ",#REF!," Estimated Mill Rate:")</f>
        <v>#REF!</v>
      </c>
      <c r="K51" s="522"/>
      <c r="L51" s="522"/>
      <c r="M51" s="530">
        <f>H45</f>
        <v>33.604999999999997</v>
      </c>
    </row>
    <row r="52" spans="1:13">
      <c r="A52" s="91" t="s">
        <v>312</v>
      </c>
      <c r="B52" s="295">
        <f>inputPrYr!D103</f>
        <v>2011</v>
      </c>
      <c r="C52" s="815"/>
      <c r="D52" s="295">
        <f>inputPrYr!E103</f>
        <v>2012</v>
      </c>
      <c r="E52" s="815"/>
      <c r="F52" s="295">
        <v>2013</v>
      </c>
      <c r="G52" s="173"/>
      <c r="H52" s="832"/>
      <c r="J52" s="528" t="e">
        <f>CONCATENATE("Desired ",#REF!," Mill Rate:")</f>
        <v>#REF!</v>
      </c>
      <c r="K52" s="522"/>
      <c r="L52" s="522"/>
      <c r="M52" s="537">
        <v>35</v>
      </c>
    </row>
    <row r="53" spans="1:13" ht="15.75" customHeight="1">
      <c r="A53" s="91" t="s">
        <v>313</v>
      </c>
      <c r="B53" s="303">
        <f>inputPrYr!$D$104</f>
        <v>19585000</v>
      </c>
      <c r="C53" s="173"/>
      <c r="D53" s="303">
        <f>inputPrYr!$E$104</f>
        <v>22570000</v>
      </c>
      <c r="E53" s="173"/>
      <c r="F53" s="303">
        <f>debt!$G$20</f>
        <v>20645000</v>
      </c>
      <c r="G53" s="84"/>
      <c r="H53" s="831"/>
      <c r="J53" s="528" t="e">
        <f>CONCATENATE("",#REF!," Ad Valorem Tax:")</f>
        <v>#REF!</v>
      </c>
      <c r="K53" s="522"/>
      <c r="L53" s="522"/>
      <c r="M53" s="536">
        <f>ROUND(F50*M52/1000,0)</f>
        <v>2295309</v>
      </c>
    </row>
    <row r="54" spans="1:13" ht="15.75" customHeight="1">
      <c r="A54" s="91" t="s">
        <v>314</v>
      </c>
      <c r="B54" s="486">
        <f>inputPrYr!$D$105</f>
        <v>0</v>
      </c>
      <c r="C54" s="173"/>
      <c r="D54" s="486">
        <f>inputPrYr!$E$105</f>
        <v>0</v>
      </c>
      <c r="E54" s="173"/>
      <c r="F54" s="303">
        <f>debt!$G$32</f>
        <v>0</v>
      </c>
      <c r="G54" s="84"/>
      <c r="H54" s="831"/>
      <c r="J54" s="533" t="e">
        <f>CONCATENATE("",#REF!," Tax Levy Fund Exp. Changed By:")</f>
        <v>#REF!</v>
      </c>
      <c r="K54" s="534"/>
      <c r="L54" s="534"/>
      <c r="M54" s="526">
        <f>IF(M52=0,0,(M53-G45))</f>
        <v>91484.610000000335</v>
      </c>
    </row>
    <row r="55" spans="1:13" ht="15.75" customHeight="1">
      <c r="A55" s="84" t="s">
        <v>332</v>
      </c>
      <c r="B55" s="486">
        <f>inputPrYr!$D$106</f>
        <v>4890000</v>
      </c>
      <c r="C55" s="173"/>
      <c r="D55" s="486">
        <f>inputPrYr!$E$106</f>
        <v>0</v>
      </c>
      <c r="E55" s="173"/>
      <c r="F55" s="303">
        <f>debt!$G$42</f>
        <v>1750000</v>
      </c>
      <c r="G55" s="84"/>
      <c r="H55" s="831"/>
    </row>
    <row r="56" spans="1:13" ht="15.75" customHeight="1">
      <c r="A56" s="91" t="s">
        <v>64</v>
      </c>
      <c r="B56" s="486">
        <f>inputPrYr!$D$107</f>
        <v>435560</v>
      </c>
      <c r="C56" s="173"/>
      <c r="D56" s="486">
        <f>inputPrYr!$E$107</f>
        <v>279147</v>
      </c>
      <c r="E56" s="173"/>
      <c r="F56" s="303">
        <f>lpform!$G$28</f>
        <v>115918</v>
      </c>
      <c r="G56" s="84"/>
      <c r="H56" s="831"/>
    </row>
    <row r="57" spans="1:13" ht="18.75" customHeight="1" thickBot="1">
      <c r="A57" s="91" t="s">
        <v>315</v>
      </c>
      <c r="B57" s="540">
        <f>SUM(B53:B56)</f>
        <v>24910560</v>
      </c>
      <c r="C57" s="173"/>
      <c r="D57" s="540">
        <f>SUM(D53:D56)</f>
        <v>22849147</v>
      </c>
      <c r="E57" s="173"/>
      <c r="F57" s="540">
        <f>SUM(F53:F56)</f>
        <v>22510918</v>
      </c>
      <c r="G57" s="84"/>
      <c r="H57" s="831"/>
    </row>
    <row r="58" spans="1:13" ht="18.75" customHeight="1" thickTop="1">
      <c r="A58" s="91" t="s">
        <v>316</v>
      </c>
      <c r="B58" s="84"/>
      <c r="C58" s="84"/>
      <c r="D58" s="84"/>
      <c r="E58" s="84"/>
      <c r="F58" s="84"/>
      <c r="G58" s="84"/>
      <c r="H58" s="831"/>
    </row>
    <row r="59" spans="1:13" ht="18" customHeight="1">
      <c r="A59" s="91"/>
      <c r="B59" s="113"/>
      <c r="C59" s="84"/>
      <c r="D59" s="84"/>
      <c r="E59" s="84"/>
      <c r="F59" s="84"/>
      <c r="G59" s="84"/>
      <c r="H59" s="831"/>
    </row>
    <row r="60" spans="1:13" ht="19.5" customHeight="1">
      <c r="A60" s="944" t="str">
        <f>inputBudSum!B3</f>
        <v>City of Bonner Springs</v>
      </c>
      <c r="B60" s="945"/>
      <c r="C60" s="559"/>
      <c r="D60" s="84"/>
      <c r="E60" s="84"/>
      <c r="F60" s="84"/>
      <c r="G60" s="84"/>
      <c r="H60" s="831"/>
    </row>
    <row r="61" spans="1:13" ht="18.75" customHeight="1">
      <c r="A61" s="943" t="str">
        <f>CONCATENATE("City Official Title: ",inputBudSum!B5,"")</f>
        <v>City Official Title: City Clerk</v>
      </c>
      <c r="B61" s="927"/>
      <c r="C61" s="113"/>
      <c r="D61" s="84"/>
      <c r="E61" s="84"/>
      <c r="F61" s="84"/>
      <c r="G61" s="84"/>
      <c r="H61" s="831"/>
    </row>
    <row r="62" spans="1:13">
      <c r="A62" s="228"/>
      <c r="B62" s="941"/>
      <c r="C62" s="942"/>
      <c r="D62" s="84"/>
      <c r="E62" s="84"/>
      <c r="F62" s="84"/>
      <c r="G62" s="84"/>
      <c r="H62" s="831"/>
    </row>
    <row r="63" spans="1:13">
      <c r="A63" s="940"/>
      <c r="B63" s="940"/>
      <c r="C63" s="197" t="s">
        <v>290</v>
      </c>
      <c r="D63" s="297">
        <v>27</v>
      </c>
      <c r="E63" s="84"/>
      <c r="F63" s="84"/>
      <c r="G63" s="84"/>
      <c r="H63" s="831"/>
    </row>
    <row r="64" spans="1:13">
      <c r="A64" s="568"/>
      <c r="B64" s="567"/>
      <c r="C64" s="559"/>
      <c r="D64" s="84"/>
      <c r="E64" s="84"/>
      <c r="F64" s="84"/>
      <c r="G64" s="84"/>
      <c r="H64" s="831"/>
    </row>
    <row r="65" spans="1:8">
      <c r="A65" s="84"/>
      <c r="B65" s="84"/>
      <c r="C65" s="84"/>
      <c r="D65" s="84"/>
      <c r="E65" s="84"/>
      <c r="F65" s="84"/>
      <c r="G65" s="84"/>
      <c r="H65" s="831"/>
    </row>
  </sheetData>
  <mergeCells count="13">
    <mergeCell ref="J27:M27"/>
    <mergeCell ref="J31:M31"/>
    <mergeCell ref="J49:M49"/>
    <mergeCell ref="A63:B63"/>
    <mergeCell ref="B62:C62"/>
    <mergeCell ref="A61:B61"/>
    <mergeCell ref="A60:B60"/>
    <mergeCell ref="A6:G6"/>
    <mergeCell ref="A1:H1"/>
    <mergeCell ref="A3:H3"/>
    <mergeCell ref="A4:H4"/>
    <mergeCell ref="A5:H5"/>
    <mergeCell ref="A2:H2"/>
  </mergeCells>
  <phoneticPr fontId="0" type="noConversion"/>
  <pageMargins left="0.5" right="0.5" top="1" bottom="0.5" header="0.5" footer="0.5"/>
  <pageSetup scale="61" orientation="portrait" blackAndWhite="1" horizontalDpi="120" verticalDpi="144"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F41"/>
  <sheetViews>
    <sheetView workbookViewId="0">
      <selection activeCell="C40" sqref="C40"/>
    </sheetView>
  </sheetViews>
  <sheetFormatPr defaultColWidth="8.88671875" defaultRowHeight="15"/>
  <cols>
    <col min="1" max="1" width="9.5546875" style="144" customWidth="1"/>
    <col min="2" max="2" width="18.21875" style="144" customWidth="1"/>
    <col min="3" max="3" width="11.77734375" style="144" customWidth="1"/>
    <col min="4" max="4" width="12.77734375" style="144" customWidth="1"/>
    <col min="5" max="5" width="11.77734375" style="144" customWidth="1"/>
    <col min="6" max="16384" width="8.88671875" style="144"/>
  </cols>
  <sheetData>
    <row r="1" spans="1:6" ht="15.75">
      <c r="A1" s="253" t="str">
        <f>inputPrYr!D3</f>
        <v>City of Bonner Springs</v>
      </c>
      <c r="B1" s="84"/>
      <c r="C1" s="84"/>
      <c r="D1" s="84"/>
      <c r="E1" s="84"/>
      <c r="F1" s="84">
        <f>inputPrYr!C10</f>
        <v>2014</v>
      </c>
    </row>
    <row r="2" spans="1:6" ht="15.75">
      <c r="A2" s="84"/>
      <c r="B2" s="84"/>
      <c r="C2" s="84"/>
      <c r="D2" s="84"/>
      <c r="E2" s="84"/>
      <c r="F2" s="84"/>
    </row>
    <row r="3" spans="1:6" ht="15.75">
      <c r="A3" s="84"/>
      <c r="B3" s="901" t="str">
        <f>CONCATENATE("",F1," Neighborhood Revitalization Rebate")</f>
        <v>2014 Neighborhood Revitalization Rebate</v>
      </c>
      <c r="C3" s="947"/>
      <c r="D3" s="947"/>
      <c r="E3" s="947"/>
      <c r="F3" s="84"/>
    </row>
    <row r="4" spans="1:6" ht="15.75">
      <c r="A4" s="84"/>
      <c r="B4" s="84"/>
      <c r="C4" s="84"/>
      <c r="D4" s="84"/>
      <c r="E4" s="84"/>
      <c r="F4" s="84"/>
    </row>
    <row r="5" spans="1:6" ht="51" customHeight="1">
      <c r="A5" s="84"/>
      <c r="B5" s="298" t="str">
        <f>CONCATENATE("Budgeted Funds                     for ",F1,"")</f>
        <v>Budgeted Funds                     for 2014</v>
      </c>
      <c r="C5" s="298" t="str">
        <f>CONCATENATE("",F1-1," Ad Valorem before Rebate**")</f>
        <v>2013 Ad Valorem before Rebate**</v>
      </c>
      <c r="D5" s="299" t="str">
        <f>CONCATENATE("",F1-1," Mil Rate before Rebate")</f>
        <v>2013 Mil Rate before Rebate</v>
      </c>
      <c r="E5" s="300" t="str">
        <f>CONCATENATE("Estimate ",F1," NR Rebate")</f>
        <v>Estimate 2014 NR Rebate</v>
      </c>
      <c r="F5" s="137"/>
    </row>
    <row r="6" spans="1:6" ht="15.75">
      <c r="A6" s="84"/>
      <c r="B6" s="104" t="str">
        <f>inputPrYr!B22</f>
        <v>General</v>
      </c>
      <c r="C6" s="301"/>
      <c r="D6" s="302" t="str">
        <f>IF(C6&gt;0,C6/$D$24,"")</f>
        <v/>
      </c>
      <c r="E6" s="303" t="str">
        <f t="shared" ref="E6:E17" si="0">IF(C6&gt;0,ROUND(D6*$D$28,0),"")</f>
        <v/>
      </c>
      <c r="F6" s="137"/>
    </row>
    <row r="7" spans="1:6" ht="15.75">
      <c r="A7" s="84"/>
      <c r="B7" s="104" t="str">
        <f>inputPrYr!B23</f>
        <v>Debt Service</v>
      </c>
      <c r="C7" s="301"/>
      <c r="D7" s="302" t="str">
        <f t="shared" ref="D7:D17" si="1">IF(C7&gt;0,C7/$D$24,"")</f>
        <v/>
      </c>
      <c r="E7" s="303" t="str">
        <f t="shared" si="0"/>
        <v/>
      </c>
      <c r="F7" s="137"/>
    </row>
    <row r="8" spans="1:6" ht="15.75">
      <c r="A8" s="84"/>
      <c r="B8" s="124" t="str">
        <f>inputPrYr!B24</f>
        <v>Library</v>
      </c>
      <c r="C8" s="301"/>
      <c r="D8" s="302" t="str">
        <f t="shared" si="1"/>
        <v/>
      </c>
      <c r="E8" s="303" t="str">
        <f t="shared" si="0"/>
        <v/>
      </c>
      <c r="F8" s="137"/>
    </row>
    <row r="9" spans="1:6" ht="15.75">
      <c r="A9" s="84"/>
      <c r="B9" s="124" t="e">
        <f>inputPrYr!#REF!</f>
        <v>#REF!</v>
      </c>
      <c r="C9" s="301"/>
      <c r="D9" s="302" t="str">
        <f t="shared" si="1"/>
        <v/>
      </c>
      <c r="E9" s="303" t="str">
        <f t="shared" si="0"/>
        <v/>
      </c>
      <c r="F9" s="137"/>
    </row>
    <row r="10" spans="1:6" ht="15.75">
      <c r="A10" s="84"/>
      <c r="B10" s="124" t="e">
        <f>inputPrYr!#REF!</f>
        <v>#REF!</v>
      </c>
      <c r="C10" s="301"/>
      <c r="D10" s="302" t="str">
        <f t="shared" si="1"/>
        <v/>
      </c>
      <c r="E10" s="303" t="str">
        <f t="shared" si="0"/>
        <v/>
      </c>
      <c r="F10" s="137"/>
    </row>
    <row r="11" spans="1:6" ht="15.75">
      <c r="A11" s="84"/>
      <c r="B11" s="124" t="e">
        <f>inputPrYr!#REF!</f>
        <v>#REF!</v>
      </c>
      <c r="C11" s="301"/>
      <c r="D11" s="302" t="str">
        <f t="shared" si="1"/>
        <v/>
      </c>
      <c r="E11" s="303" t="str">
        <f t="shared" si="0"/>
        <v/>
      </c>
      <c r="F11" s="137"/>
    </row>
    <row r="12" spans="1:6" ht="15.75">
      <c r="A12" s="84"/>
      <c r="B12" s="124" t="e">
        <f>inputPrYr!#REF!</f>
        <v>#REF!</v>
      </c>
      <c r="C12" s="304"/>
      <c r="D12" s="302" t="str">
        <f t="shared" si="1"/>
        <v/>
      </c>
      <c r="E12" s="303" t="str">
        <f t="shared" si="0"/>
        <v/>
      </c>
      <c r="F12" s="137"/>
    </row>
    <row r="13" spans="1:6" ht="15.75">
      <c r="A13" s="84"/>
      <c r="B13" s="124" t="e">
        <f>inputPrYr!#REF!</f>
        <v>#REF!</v>
      </c>
      <c r="C13" s="304"/>
      <c r="D13" s="302" t="str">
        <f t="shared" si="1"/>
        <v/>
      </c>
      <c r="E13" s="303" t="str">
        <f t="shared" si="0"/>
        <v/>
      </c>
      <c r="F13" s="137"/>
    </row>
    <row r="14" spans="1:6" ht="15.75">
      <c r="A14" s="84"/>
      <c r="B14" s="124" t="e">
        <f>inputPrYr!#REF!</f>
        <v>#REF!</v>
      </c>
      <c r="C14" s="304"/>
      <c r="D14" s="302" t="str">
        <f t="shared" si="1"/>
        <v/>
      </c>
      <c r="E14" s="303" t="str">
        <f t="shared" si="0"/>
        <v/>
      </c>
      <c r="F14" s="137"/>
    </row>
    <row r="15" spans="1:6" ht="15.75">
      <c r="A15" s="84"/>
      <c r="B15" s="124" t="e">
        <f>inputPrYr!#REF!</f>
        <v>#REF!</v>
      </c>
      <c r="C15" s="304"/>
      <c r="D15" s="302" t="str">
        <f t="shared" si="1"/>
        <v/>
      </c>
      <c r="E15" s="303" t="str">
        <f t="shared" si="0"/>
        <v/>
      </c>
      <c r="F15" s="137"/>
    </row>
    <row r="16" spans="1:6" ht="15.75">
      <c r="A16" s="84"/>
      <c r="B16" s="124" t="e">
        <f>inputPrYr!#REF!</f>
        <v>#REF!</v>
      </c>
      <c r="C16" s="304"/>
      <c r="D16" s="302" t="str">
        <f t="shared" si="1"/>
        <v/>
      </c>
      <c r="E16" s="303" t="str">
        <f t="shared" si="0"/>
        <v/>
      </c>
      <c r="F16" s="137"/>
    </row>
    <row r="17" spans="1:6" ht="15.75">
      <c r="A17" s="84"/>
      <c r="B17" s="124" t="e">
        <f>inputPrYr!#REF!</f>
        <v>#REF!</v>
      </c>
      <c r="C17" s="304"/>
      <c r="D17" s="302" t="str">
        <f t="shared" si="1"/>
        <v/>
      </c>
      <c r="E17" s="303" t="str">
        <f t="shared" si="0"/>
        <v/>
      </c>
      <c r="F17" s="137"/>
    </row>
    <row r="18" spans="1:6" ht="15.75">
      <c r="A18" s="84"/>
      <c r="B18" s="124" t="e">
        <f>inputPrYr!#REF!</f>
        <v>#REF!</v>
      </c>
      <c r="C18" s="304"/>
      <c r="D18" s="302" t="str">
        <f>IF(C18&gt;0,C18/$D$24,"")</f>
        <v/>
      </c>
      <c r="E18" s="303" t="str">
        <f>IF(C18&gt;0,ROUND(D18*$D$28,0),"")</f>
        <v/>
      </c>
      <c r="F18" s="137"/>
    </row>
    <row r="19" spans="1:6" ht="16.5" thickBot="1">
      <c r="A19" s="84"/>
      <c r="B19" s="105" t="s">
        <v>277</v>
      </c>
      <c r="C19" s="305">
        <f>SUM(C6:C18)</f>
        <v>0</v>
      </c>
      <c r="D19" s="306">
        <f>SUM(D6:D18)</f>
        <v>0</v>
      </c>
      <c r="E19" s="305">
        <f>SUM(E6:E18)</f>
        <v>0</v>
      </c>
      <c r="F19" s="137"/>
    </row>
    <row r="20" spans="1:6" ht="16.5" thickTop="1">
      <c r="A20" s="84"/>
      <c r="B20" s="84"/>
      <c r="C20" s="84"/>
      <c r="D20" s="84"/>
      <c r="E20" s="84"/>
      <c r="F20" s="137"/>
    </row>
    <row r="21" spans="1:6" ht="15.75">
      <c r="A21" s="84"/>
      <c r="B21" s="84"/>
      <c r="C21" s="84"/>
      <c r="D21" s="84"/>
      <c r="E21" s="84"/>
      <c r="F21" s="137"/>
    </row>
    <row r="22" spans="1:6" ht="15.75">
      <c r="A22" s="948" t="str">
        <f>CONCATENATE("",F1-1," July 1 Valuation:")</f>
        <v>2013 July 1 Valuation:</v>
      </c>
      <c r="B22" s="912"/>
      <c r="C22" s="948"/>
      <c r="D22" s="296">
        <f>inputOth!B14</f>
        <v>65580249</v>
      </c>
      <c r="E22" s="84"/>
      <c r="F22" s="137"/>
    </row>
    <row r="23" spans="1:6" ht="15.75">
      <c r="A23" s="84"/>
      <c r="B23" s="84"/>
      <c r="C23" s="84"/>
      <c r="D23" s="84"/>
      <c r="E23" s="84"/>
      <c r="F23" s="137"/>
    </row>
    <row r="24" spans="1:6" ht="15.75">
      <c r="A24" s="84"/>
      <c r="B24" s="948" t="s">
        <v>352</v>
      </c>
      <c r="C24" s="948"/>
      <c r="D24" s="307">
        <f>IF(D22&gt;0,(D22*0.001),"")</f>
        <v>65580.248999999996</v>
      </c>
      <c r="E24" s="84"/>
      <c r="F24" s="137"/>
    </row>
    <row r="25" spans="1:6" ht="15.75">
      <c r="A25" s="84"/>
      <c r="B25" s="197"/>
      <c r="C25" s="197"/>
      <c r="D25" s="308"/>
      <c r="E25" s="84"/>
      <c r="F25" s="137"/>
    </row>
    <row r="26" spans="1:6" ht="15.75">
      <c r="A26" s="946" t="s">
        <v>353</v>
      </c>
      <c r="B26" s="875"/>
      <c r="C26" s="875"/>
      <c r="D26" s="309">
        <f>inputOth!E25</f>
        <v>0</v>
      </c>
      <c r="E26" s="107"/>
      <c r="F26" s="107"/>
    </row>
    <row r="27" spans="1:6">
      <c r="A27" s="107"/>
      <c r="B27" s="107"/>
      <c r="C27" s="107"/>
      <c r="D27" s="310"/>
      <c r="E27" s="107"/>
      <c r="F27" s="107"/>
    </row>
    <row r="28" spans="1:6" ht="15.75">
      <c r="A28" s="107"/>
      <c r="B28" s="946" t="s">
        <v>354</v>
      </c>
      <c r="C28" s="912"/>
      <c r="D28" s="311" t="str">
        <f>IF(D26&gt;0,(D26*0.001),"")</f>
        <v/>
      </c>
      <c r="E28" s="107"/>
      <c r="F28" s="107"/>
    </row>
    <row r="29" spans="1:6">
      <c r="A29" s="107"/>
      <c r="B29" s="107"/>
      <c r="C29" s="107"/>
      <c r="D29" s="107"/>
      <c r="E29" s="107"/>
      <c r="F29" s="107"/>
    </row>
    <row r="30" spans="1:6">
      <c r="A30" s="107"/>
      <c r="B30" s="107"/>
      <c r="C30" s="107"/>
      <c r="D30" s="107"/>
      <c r="E30" s="107"/>
      <c r="F30" s="107"/>
    </row>
    <row r="31" spans="1:6">
      <c r="A31" s="107"/>
      <c r="B31" s="107"/>
      <c r="C31" s="107"/>
      <c r="D31" s="107"/>
      <c r="E31" s="107"/>
      <c r="F31" s="107"/>
    </row>
    <row r="32" spans="1:6" ht="15.75">
      <c r="A32" s="425" t="str">
        <f>CONCATENATE("**This information comes from the ",F1," Budget Summary page.  See instructions tab #13 for completing")</f>
        <v>**This information comes from the 2014 Budget Summary page.  See instructions tab #13 for completing</v>
      </c>
      <c r="B32" s="107"/>
      <c r="C32" s="107"/>
      <c r="D32" s="107"/>
      <c r="E32" s="107"/>
      <c r="F32" s="107"/>
    </row>
    <row r="33" spans="1:6" ht="15.75">
      <c r="A33" s="425" t="s">
        <v>639</v>
      </c>
      <c r="B33" s="107"/>
      <c r="C33" s="107"/>
      <c r="D33" s="107"/>
      <c r="E33" s="107"/>
      <c r="F33" s="107"/>
    </row>
    <row r="34" spans="1:6" ht="15.75">
      <c r="A34" s="425"/>
      <c r="B34" s="107"/>
      <c r="C34" s="107"/>
      <c r="D34" s="107"/>
      <c r="E34" s="107"/>
      <c r="F34" s="107"/>
    </row>
    <row r="35" spans="1:6" ht="15.75">
      <c r="A35" s="425"/>
      <c r="B35" s="107"/>
      <c r="C35" s="107"/>
      <c r="D35" s="107"/>
      <c r="E35" s="107"/>
      <c r="F35" s="107"/>
    </row>
    <row r="36" spans="1:6" ht="15.75">
      <c r="A36" s="425"/>
      <c r="B36" s="107"/>
      <c r="C36" s="107"/>
      <c r="D36" s="107"/>
      <c r="E36" s="107"/>
      <c r="F36" s="107"/>
    </row>
    <row r="37" spans="1:6" ht="15.75">
      <c r="A37" s="425"/>
      <c r="B37" s="107"/>
      <c r="C37" s="107"/>
      <c r="D37" s="107"/>
      <c r="E37" s="107"/>
      <c r="F37" s="107"/>
    </row>
    <row r="38" spans="1:6" ht="15.75">
      <c r="A38" s="425"/>
      <c r="B38" s="107"/>
      <c r="C38" s="107"/>
      <c r="D38" s="107"/>
      <c r="E38" s="107"/>
      <c r="F38" s="107"/>
    </row>
    <row r="39" spans="1:6">
      <c r="A39" s="107"/>
      <c r="B39" s="107"/>
      <c r="C39" s="107"/>
      <c r="D39" s="107"/>
      <c r="E39" s="107"/>
      <c r="F39" s="107"/>
    </row>
    <row r="40" spans="1:6" ht="15.75">
      <c r="A40" s="107"/>
      <c r="B40" s="243" t="s">
        <v>298</v>
      </c>
      <c r="C40" s="297"/>
      <c r="D40" s="107"/>
      <c r="E40" s="107"/>
      <c r="F40" s="107"/>
    </row>
    <row r="41" spans="1:6" ht="15.75">
      <c r="A41" s="137"/>
      <c r="B41" s="84"/>
      <c r="C41" s="84"/>
      <c r="D41" s="312"/>
      <c r="E41" s="137"/>
      <c r="F41" s="137"/>
    </row>
  </sheetData>
  <sheetProtection sheet="1"/>
  <mergeCells count="5">
    <mergeCell ref="B28:C28"/>
    <mergeCell ref="B3:E3"/>
    <mergeCell ref="A22:C22"/>
    <mergeCell ref="B24:C24"/>
    <mergeCell ref="A26:C26"/>
  </mergeCells>
  <phoneticPr fontId="9" type="noConversion"/>
  <pageMargins left="0.75" right="0.75" top="1" bottom="1" header="0.5" footer="0.5"/>
  <pageSetup scale="91" orientation="portrait"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N40"/>
  <sheetViews>
    <sheetView topLeftCell="A17" workbookViewId="0">
      <selection sqref="A1:G1"/>
    </sheetView>
  </sheetViews>
  <sheetFormatPr defaultColWidth="8.88671875" defaultRowHeight="15.75"/>
  <cols>
    <col min="1" max="16384" width="8.88671875" style="1"/>
  </cols>
  <sheetData>
    <row r="1" spans="1:14" ht="16.5" customHeight="1">
      <c r="A1" s="949" t="s">
        <v>66</v>
      </c>
      <c r="B1" s="949"/>
      <c r="C1" s="949"/>
      <c r="D1" s="949"/>
      <c r="E1" s="949"/>
      <c r="F1" s="949"/>
      <c r="G1" s="949"/>
    </row>
    <row r="2" spans="1:14" ht="16.5" customHeight="1">
      <c r="A2" s="949"/>
      <c r="B2" s="949"/>
      <c r="C2" s="949"/>
      <c r="D2" s="949"/>
      <c r="E2" s="949"/>
      <c r="F2" s="949"/>
      <c r="G2" s="949"/>
    </row>
    <row r="3" spans="1:14" ht="16.5" customHeight="1">
      <c r="A3" s="950"/>
      <c r="B3" s="950"/>
      <c r="C3" s="950"/>
      <c r="D3" s="950"/>
      <c r="E3" s="950"/>
      <c r="F3" s="950"/>
      <c r="G3" s="950"/>
    </row>
    <row r="4" spans="1:14" ht="16.5" customHeight="1">
      <c r="A4" s="951" t="str">
        <f>CONCATENATE("AN ORDINANCE ATTESTING TO AN INCREASE IN TAX REVENUES FOR BUDGET YEAR ",inputPrYr!C10," FOR THE ",(inputPrYr!$D$3))</f>
        <v>AN ORDINANCE ATTESTING TO AN INCREASE IN TAX REVENUES FOR BUDGET YEAR 2014 FOR THE City of Bonner Springs</v>
      </c>
      <c r="B4" s="951"/>
      <c r="C4" s="951"/>
      <c r="D4" s="951"/>
      <c r="E4" s="951"/>
      <c r="F4" s="951"/>
      <c r="G4" s="951"/>
    </row>
    <row r="5" spans="1:14" ht="16.5" customHeight="1">
      <c r="A5" s="951"/>
      <c r="B5" s="951"/>
      <c r="C5" s="951"/>
      <c r="D5" s="951"/>
      <c r="E5" s="951"/>
      <c r="F5" s="951"/>
      <c r="G5" s="951"/>
    </row>
    <row r="6" spans="1:14" ht="16.5" customHeight="1">
      <c r="A6" s="949"/>
      <c r="B6" s="949"/>
      <c r="C6" s="949"/>
      <c r="D6" s="949"/>
      <c r="E6" s="949"/>
      <c r="F6" s="949"/>
      <c r="G6" s="949"/>
    </row>
    <row r="7" spans="1:14" ht="16.5" customHeight="1">
      <c r="A7" s="951" t="str">
        <f>CONCATENATE("WHEREAS, the ",(inputPrYr!$D$3)," must continue to provide services to protect the health, safety, and welfare of the citizens of this community; and")</f>
        <v>WHEREAS, the City of Bonner Springs must continue to provide services to protect the health, safety, and welfare of the citizens of this community; and</v>
      </c>
      <c r="B7" s="951"/>
      <c r="C7" s="951"/>
      <c r="D7" s="951"/>
      <c r="E7" s="951"/>
      <c r="F7" s="951"/>
      <c r="G7" s="951"/>
      <c r="H7" s="51"/>
      <c r="I7" s="51"/>
      <c r="J7" s="51"/>
      <c r="K7" s="51"/>
      <c r="L7" s="51"/>
      <c r="M7" s="51"/>
      <c r="N7" s="51"/>
    </row>
    <row r="8" spans="1:14" ht="16.5" customHeight="1">
      <c r="A8" s="951"/>
      <c r="B8" s="951"/>
      <c r="C8" s="951"/>
      <c r="D8" s="951"/>
      <c r="E8" s="951"/>
      <c r="F8" s="951"/>
      <c r="G8" s="951"/>
      <c r="H8" s="51"/>
      <c r="I8" s="51"/>
      <c r="J8" s="51"/>
      <c r="K8" s="51"/>
      <c r="L8" s="51"/>
      <c r="M8" s="51"/>
      <c r="N8" s="51"/>
    </row>
    <row r="9" spans="1:14" ht="16.5" customHeight="1">
      <c r="A9" s="52"/>
      <c r="B9" s="52"/>
      <c r="C9" s="52"/>
      <c r="D9" s="52"/>
      <c r="E9" s="52"/>
      <c r="F9" s="52"/>
      <c r="G9" s="52"/>
    </row>
    <row r="10" spans="1:14" ht="16.5" customHeight="1">
      <c r="A10" s="951" t="s">
        <v>67</v>
      </c>
      <c r="B10" s="951"/>
      <c r="C10" s="951"/>
      <c r="D10" s="951"/>
      <c r="E10" s="951"/>
      <c r="F10" s="951"/>
      <c r="G10" s="951"/>
    </row>
    <row r="11" spans="1:14" ht="16.5" customHeight="1">
      <c r="A11" s="951"/>
      <c r="B11" s="951"/>
      <c r="C11" s="951"/>
      <c r="D11" s="951"/>
      <c r="E11" s="951"/>
      <c r="F11" s="951"/>
      <c r="G11" s="951"/>
    </row>
    <row r="12" spans="1:14" ht="16.5" customHeight="1">
      <c r="A12" s="52"/>
      <c r="B12" s="52"/>
      <c r="C12" s="52"/>
      <c r="D12" s="52"/>
      <c r="E12" s="52"/>
      <c r="F12" s="52"/>
      <c r="G12" s="52"/>
    </row>
    <row r="13" spans="1:14" ht="16.5" customHeight="1">
      <c r="A13" s="951" t="str">
        <f>CONCATENATE("NOW THEREFORE, be it ordained by the Governing Body of the ",(inputPrYr!$D$3),":")</f>
        <v>NOW THEREFORE, be it ordained by the Governing Body of the City of Bonner Springs:</v>
      </c>
      <c r="B13" s="951"/>
      <c r="C13" s="951"/>
      <c r="D13" s="951"/>
      <c r="E13" s="951"/>
      <c r="F13" s="951"/>
      <c r="G13" s="951"/>
      <c r="H13" s="51"/>
      <c r="I13" s="51"/>
      <c r="J13" s="51"/>
      <c r="K13" s="51"/>
      <c r="L13" s="51"/>
      <c r="M13" s="51"/>
      <c r="N13" s="51"/>
    </row>
    <row r="14" spans="1:14" ht="16.5" customHeight="1">
      <c r="A14" s="951"/>
      <c r="B14" s="951"/>
      <c r="C14" s="951"/>
      <c r="D14" s="951"/>
      <c r="E14" s="951"/>
      <c r="F14" s="951"/>
      <c r="G14" s="951"/>
      <c r="H14" s="51"/>
      <c r="I14" s="51"/>
      <c r="J14" s="51"/>
      <c r="K14" s="51"/>
      <c r="L14" s="51"/>
      <c r="M14" s="51"/>
      <c r="N14" s="51"/>
    </row>
    <row r="15" spans="1:14" ht="16.5" customHeight="1">
      <c r="A15" s="951" t="str">
        <f>CONCATENATE("Section One.  In accordance with state law, the ",(inputPrYr!$D$3),"  has scheduled a public hearing and has prepared the proposed budget necessary to fund city services from January 1, ",inputPrYr!C10," until December 31, ",inputPrYr!C10,".")</f>
        <v>Section One.  In accordance with state law, the City of Bonner Springs  has scheduled a public hearing and has prepared the proposed budget necessary to fund city services from January 1, 2014 until December 31, 2014.</v>
      </c>
      <c r="B15" s="951"/>
      <c r="C15" s="951"/>
      <c r="D15" s="951"/>
      <c r="E15" s="951"/>
      <c r="F15" s="951"/>
      <c r="G15" s="951"/>
      <c r="H15" s="51"/>
      <c r="I15" s="51"/>
      <c r="J15" s="51"/>
      <c r="K15" s="51"/>
      <c r="L15" s="51"/>
      <c r="M15" s="51"/>
      <c r="N15" s="51"/>
    </row>
    <row r="16" spans="1:14" ht="16.5" customHeight="1">
      <c r="A16" s="951"/>
      <c r="B16" s="951"/>
      <c r="C16" s="951"/>
      <c r="D16" s="951"/>
      <c r="E16" s="951"/>
      <c r="F16" s="951"/>
      <c r="G16" s="951"/>
      <c r="H16" s="51"/>
      <c r="I16" s="51"/>
      <c r="J16" s="51"/>
      <c r="K16" s="51"/>
      <c r="L16" s="51"/>
      <c r="M16" s="51"/>
      <c r="N16" s="51"/>
    </row>
    <row r="17" spans="1:14" ht="16.5" customHeight="1">
      <c r="A17" s="951"/>
      <c r="B17" s="951"/>
      <c r="C17" s="951"/>
      <c r="D17" s="951"/>
      <c r="E17" s="951"/>
      <c r="F17" s="951"/>
      <c r="G17" s="951"/>
      <c r="H17" s="51"/>
      <c r="I17" s="51"/>
      <c r="J17" s="51"/>
      <c r="K17" s="51"/>
      <c r="L17" s="51"/>
      <c r="M17" s="51"/>
      <c r="N17" s="51"/>
    </row>
    <row r="18" spans="1:14" ht="16.5" customHeight="1">
      <c r="A18" s="51"/>
      <c r="B18" s="51"/>
      <c r="C18" s="51"/>
      <c r="D18" s="51"/>
      <c r="E18" s="51"/>
      <c r="F18" s="51"/>
      <c r="G18" s="51"/>
    </row>
    <row r="19" spans="1:14" ht="16.5" customHeight="1">
      <c r="A19" s="953" t="s">
        <v>117</v>
      </c>
      <c r="B19" s="953"/>
      <c r="C19" s="953"/>
      <c r="D19" s="953"/>
      <c r="E19" s="953"/>
      <c r="F19" s="953"/>
      <c r="G19" s="953"/>
    </row>
    <row r="20" spans="1:14" ht="16.5" customHeight="1">
      <c r="A20" s="953" t="s">
        <v>118</v>
      </c>
      <c r="B20" s="953"/>
      <c r="C20" s="953"/>
      <c r="D20" s="953"/>
      <c r="E20" s="953"/>
      <c r="F20" s="953"/>
      <c r="G20" s="953"/>
    </row>
    <row r="21" spans="1:14" ht="16.5" customHeight="1">
      <c r="A21" s="953" t="str">
        <f>CONCATENATE("necessary to budget property tax revenues in an amount exceeding the levy in the ",inputPrYr!C10-1,"")</f>
        <v>necessary to budget property tax revenues in an amount exceeding the levy in the 2013</v>
      </c>
      <c r="B21" s="953"/>
      <c r="C21" s="953"/>
      <c r="D21" s="953"/>
      <c r="E21" s="953"/>
      <c r="F21" s="953"/>
      <c r="G21" s="953"/>
    </row>
    <row r="22" spans="1:14" ht="16.5" customHeight="1">
      <c r="A22" s="53" t="s">
        <v>119</v>
      </c>
      <c r="B22" s="53"/>
      <c r="C22" s="53"/>
      <c r="D22" s="53"/>
      <c r="E22" s="53"/>
      <c r="F22" s="53"/>
      <c r="G22" s="53"/>
    </row>
    <row r="23" spans="1:14" ht="16.5" customHeight="1">
      <c r="A23" s="51"/>
      <c r="B23" s="51"/>
      <c r="C23" s="51"/>
      <c r="D23" s="51"/>
      <c r="E23" s="51"/>
      <c r="F23" s="51"/>
      <c r="G23" s="51"/>
    </row>
    <row r="24" spans="1:14" ht="16.5" customHeight="1">
      <c r="A24" s="951" t="s">
        <v>68</v>
      </c>
      <c r="B24" s="951"/>
      <c r="C24" s="951"/>
      <c r="D24" s="951"/>
      <c r="E24" s="951"/>
      <c r="F24" s="951"/>
      <c r="G24" s="951"/>
    </row>
    <row r="25" spans="1:14" ht="16.5" customHeight="1">
      <c r="A25" s="951"/>
      <c r="B25" s="951"/>
      <c r="C25" s="951"/>
      <c r="D25" s="951"/>
      <c r="E25" s="951"/>
      <c r="F25" s="951"/>
      <c r="G25" s="951"/>
    </row>
    <row r="26" spans="1:14" ht="16.5" customHeight="1">
      <c r="A26" s="51"/>
      <c r="B26" s="51"/>
      <c r="C26" s="51"/>
      <c r="D26" s="51"/>
      <c r="E26" s="51"/>
      <c r="F26" s="51"/>
      <c r="G26" s="51"/>
    </row>
    <row r="27" spans="1:14" ht="16.5" customHeight="1">
      <c r="A27" s="951" t="str">
        <f>CONCATENATE("Passed and approved by the Governing Body on this ______ day of __________, ",inputPrYr!C10-1,".")</f>
        <v>Passed and approved by the Governing Body on this ______ day of __________, 2013.</v>
      </c>
      <c r="B27" s="951"/>
      <c r="C27" s="951"/>
      <c r="D27" s="951"/>
      <c r="E27" s="951"/>
      <c r="F27" s="951"/>
      <c r="G27" s="951"/>
    </row>
    <row r="28" spans="1:14" ht="16.5" customHeight="1">
      <c r="A28" s="951"/>
      <c r="B28" s="951"/>
      <c r="C28" s="951"/>
      <c r="D28" s="951"/>
      <c r="E28" s="951"/>
      <c r="F28" s="951"/>
      <c r="G28" s="951"/>
    </row>
    <row r="29" spans="1:14" ht="16.5" customHeight="1"/>
    <row r="30" spans="1:14" ht="16.5" customHeight="1">
      <c r="A30" s="952" t="s">
        <v>69</v>
      </c>
      <c r="B30" s="952"/>
      <c r="C30" s="952"/>
      <c r="D30" s="952"/>
      <c r="E30" s="952"/>
      <c r="F30" s="952"/>
      <c r="G30" s="952"/>
    </row>
    <row r="31" spans="1:14" ht="16.5" customHeight="1">
      <c r="A31" s="952" t="s">
        <v>74</v>
      </c>
      <c r="B31" s="952"/>
      <c r="C31" s="952"/>
      <c r="D31" s="952"/>
      <c r="E31" s="952"/>
      <c r="F31" s="952"/>
      <c r="G31" s="952"/>
    </row>
    <row r="32" spans="1:14" ht="16.5" customHeight="1">
      <c r="A32" s="1" t="s">
        <v>70</v>
      </c>
    </row>
    <row r="33" spans="1:2" ht="16.5" customHeight="1">
      <c r="B33" s="1" t="s">
        <v>71</v>
      </c>
    </row>
    <row r="34" spans="1:2" ht="16.5" customHeight="1"/>
    <row r="35" spans="1:2" ht="16.5" customHeight="1"/>
    <row r="36" spans="1:2" ht="16.5" customHeight="1">
      <c r="A36" s="1" t="s">
        <v>72</v>
      </c>
    </row>
    <row r="37" spans="1:2" ht="16.5" customHeight="1"/>
    <row r="38" spans="1:2" ht="16.5" customHeight="1"/>
    <row r="39" spans="1:2" ht="16.5" customHeight="1"/>
    <row r="40" spans="1:2" ht="16.5" customHeight="1">
      <c r="A40" s="1" t="s">
        <v>73</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honeticPr fontId="9" type="noConversion"/>
  <pageMargins left="1" right="1" top="1" bottom="1" header="0.5" footer="0.5"/>
  <pageSetup orientation="portrait" blackAndWhite="1" r:id="rId1"/>
  <headerFooter alignWithMargins="0">
    <oddFooter>&amp;Lrevised 8/06/07</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85"/>
  <sheetViews>
    <sheetView workbookViewId="0">
      <selection activeCell="A33" sqref="A33"/>
    </sheetView>
  </sheetViews>
  <sheetFormatPr defaultRowHeight="15"/>
  <cols>
    <col min="1" max="1" width="71.33203125" customWidth="1"/>
  </cols>
  <sheetData>
    <row r="3" spans="1:12">
      <c r="A3" s="411" t="s">
        <v>417</v>
      </c>
      <c r="B3" s="411"/>
      <c r="C3" s="411"/>
      <c r="D3" s="411"/>
      <c r="E3" s="411"/>
      <c r="F3" s="411"/>
      <c r="G3" s="411"/>
      <c r="H3" s="411"/>
      <c r="I3" s="411"/>
      <c r="J3" s="411"/>
      <c r="K3" s="411"/>
      <c r="L3" s="411"/>
    </row>
    <row r="5" spans="1:12">
      <c r="A5" s="412" t="s">
        <v>418</v>
      </c>
    </row>
    <row r="6" spans="1:12">
      <c r="A6" s="412" t="str">
        <f>CONCATENATE(inputPrYr!C10-2," 'total expenditures' exceed your ",inputPrYr!C10-2," 'budget authority.'")</f>
        <v>2012 'total expenditures' exceed your 2012 'budget authority.'</v>
      </c>
    </row>
    <row r="7" spans="1:12">
      <c r="A7" s="412"/>
    </row>
    <row r="8" spans="1:12">
      <c r="A8" s="412" t="s">
        <v>419</v>
      </c>
    </row>
    <row r="9" spans="1:12">
      <c r="A9" s="412" t="s">
        <v>420</v>
      </c>
    </row>
    <row r="10" spans="1:12">
      <c r="A10" s="412" t="s">
        <v>421</v>
      </c>
    </row>
    <row r="11" spans="1:12">
      <c r="A11" s="412"/>
    </row>
    <row r="12" spans="1:12">
      <c r="A12" s="412"/>
    </row>
    <row r="13" spans="1:12">
      <c r="A13" s="413" t="s">
        <v>422</v>
      </c>
    </row>
    <row r="15" spans="1:12">
      <c r="A15" s="412" t="s">
        <v>423</v>
      </c>
    </row>
    <row r="16" spans="1:12">
      <c r="A16" s="412" t="str">
        <f>CONCATENATE("(i.e. an audit has not been completed, or the ",inputPrYr!C10," adopted")</f>
        <v>(i.e. an audit has not been completed, or the 2014 adopted</v>
      </c>
    </row>
    <row r="17" spans="1:1">
      <c r="A17" s="412" t="s">
        <v>424</v>
      </c>
    </row>
    <row r="18" spans="1:1">
      <c r="A18" s="412" t="s">
        <v>425</v>
      </c>
    </row>
    <row r="19" spans="1:1">
      <c r="A19" s="412" t="s">
        <v>426</v>
      </c>
    </row>
    <row r="21" spans="1:1">
      <c r="A21" s="413" t="s">
        <v>427</v>
      </c>
    </row>
    <row r="22" spans="1:1">
      <c r="A22" s="413"/>
    </row>
    <row r="23" spans="1:1">
      <c r="A23" s="412" t="s">
        <v>428</v>
      </c>
    </row>
    <row r="24" spans="1:1">
      <c r="A24" s="412" t="s">
        <v>429</v>
      </c>
    </row>
    <row r="25" spans="1:1">
      <c r="A25" s="412" t="str">
        <f>CONCATENATE("particular fund.  If your ",inputPrYr!C10-2," budget was amended, did you")</f>
        <v>particular fund.  If your 2012 budget was amended, did you</v>
      </c>
    </row>
    <row r="26" spans="1:1">
      <c r="A26" s="412" t="s">
        <v>430</v>
      </c>
    </row>
    <row r="27" spans="1:1">
      <c r="A27" s="412"/>
    </row>
    <row r="28" spans="1:1">
      <c r="A28" s="412" t="str">
        <f>CONCATENATE("Next, look to see if any of your ",inputPrYr!C10-2," expenditures can be")</f>
        <v>Next, look to see if any of your 2012 expenditures can be</v>
      </c>
    </row>
    <row r="29" spans="1:1">
      <c r="A29" s="412" t="s">
        <v>431</v>
      </c>
    </row>
    <row r="30" spans="1:1">
      <c r="A30" s="412" t="s">
        <v>432</v>
      </c>
    </row>
    <row r="31" spans="1:1">
      <c r="A31" s="412" t="s">
        <v>433</v>
      </c>
    </row>
    <row r="32" spans="1:1">
      <c r="A32" s="412"/>
    </row>
    <row r="33" spans="1:1">
      <c r="A33" s="412" t="str">
        <f>CONCATENATE("Additionally, do your ",inputPrYr!C10-2," receipts contain a reimbursement")</f>
        <v>Additionally, do your 2012 receipts contain a reimbursement</v>
      </c>
    </row>
    <row r="34" spans="1:1">
      <c r="A34" s="412" t="s">
        <v>434</v>
      </c>
    </row>
    <row r="35" spans="1:1">
      <c r="A35" s="412" t="s">
        <v>435</v>
      </c>
    </row>
    <row r="36" spans="1:1">
      <c r="A36" s="412"/>
    </row>
    <row r="37" spans="1:1">
      <c r="A37" s="412" t="s">
        <v>436</v>
      </c>
    </row>
    <row r="38" spans="1:1">
      <c r="A38" s="412" t="s">
        <v>437</v>
      </c>
    </row>
    <row r="39" spans="1:1">
      <c r="A39" s="412" t="s">
        <v>438</v>
      </c>
    </row>
    <row r="40" spans="1:1">
      <c r="A40" s="412" t="s">
        <v>439</v>
      </c>
    </row>
    <row r="41" spans="1:1">
      <c r="A41" s="412" t="s">
        <v>440</v>
      </c>
    </row>
    <row r="42" spans="1:1">
      <c r="A42" s="412" t="s">
        <v>441</v>
      </c>
    </row>
    <row r="43" spans="1:1">
      <c r="A43" s="412" t="s">
        <v>442</v>
      </c>
    </row>
    <row r="44" spans="1:1">
      <c r="A44" s="412" t="s">
        <v>443</v>
      </c>
    </row>
    <row r="45" spans="1:1">
      <c r="A45" s="412"/>
    </row>
    <row r="46" spans="1:1">
      <c r="A46" s="412" t="s">
        <v>444</v>
      </c>
    </row>
    <row r="47" spans="1:1">
      <c r="A47" s="412" t="s">
        <v>445</v>
      </c>
    </row>
    <row r="48" spans="1:1">
      <c r="A48" s="412" t="s">
        <v>446</v>
      </c>
    </row>
    <row r="49" spans="1:1">
      <c r="A49" s="412"/>
    </row>
    <row r="50" spans="1:1">
      <c r="A50" s="412" t="s">
        <v>447</v>
      </c>
    </row>
    <row r="51" spans="1:1">
      <c r="A51" s="412" t="s">
        <v>448</v>
      </c>
    </row>
    <row r="52" spans="1:1">
      <c r="A52" s="412" t="s">
        <v>449</v>
      </c>
    </row>
    <row r="53" spans="1:1">
      <c r="A53" s="412"/>
    </row>
    <row r="54" spans="1:1">
      <c r="A54" s="413" t="s">
        <v>450</v>
      </c>
    </row>
    <row r="55" spans="1:1">
      <c r="A55" s="412"/>
    </row>
    <row r="56" spans="1:1">
      <c r="A56" s="412" t="s">
        <v>451</v>
      </c>
    </row>
    <row r="57" spans="1:1">
      <c r="A57" s="412" t="s">
        <v>452</v>
      </c>
    </row>
    <row r="58" spans="1:1">
      <c r="A58" s="412" t="s">
        <v>453</v>
      </c>
    </row>
    <row r="59" spans="1:1">
      <c r="A59" s="412" t="s">
        <v>454</v>
      </c>
    </row>
    <row r="60" spans="1:1">
      <c r="A60" s="412" t="s">
        <v>455</v>
      </c>
    </row>
    <row r="61" spans="1:1">
      <c r="A61" s="412" t="s">
        <v>456</v>
      </c>
    </row>
    <row r="62" spans="1:1">
      <c r="A62" s="412" t="s">
        <v>457</v>
      </c>
    </row>
    <row r="63" spans="1:1">
      <c r="A63" s="412" t="s">
        <v>458</v>
      </c>
    </row>
    <row r="64" spans="1:1">
      <c r="A64" s="412" t="s">
        <v>459</v>
      </c>
    </row>
    <row r="65" spans="1:1">
      <c r="A65" s="412" t="s">
        <v>460</v>
      </c>
    </row>
    <row r="66" spans="1:1">
      <c r="A66" s="412" t="s">
        <v>461</v>
      </c>
    </row>
    <row r="67" spans="1:1">
      <c r="A67" s="412" t="s">
        <v>462</v>
      </c>
    </row>
    <row r="68" spans="1:1">
      <c r="A68" s="412" t="s">
        <v>463</v>
      </c>
    </row>
    <row r="69" spans="1:1">
      <c r="A69" s="412"/>
    </row>
    <row r="70" spans="1:1">
      <c r="A70" s="412" t="s">
        <v>464</v>
      </c>
    </row>
    <row r="71" spans="1:1">
      <c r="A71" s="412" t="s">
        <v>465</v>
      </c>
    </row>
    <row r="72" spans="1:1">
      <c r="A72" s="412" t="s">
        <v>466</v>
      </c>
    </row>
    <row r="73" spans="1:1">
      <c r="A73" s="412"/>
    </row>
    <row r="74" spans="1:1">
      <c r="A74" s="413" t="str">
        <f>CONCATENATE("What if the ",inputPrYr!C10-2," financial records have been closed?")</f>
        <v>What if the 2012 financial records have been closed?</v>
      </c>
    </row>
    <row r="76" spans="1:1">
      <c r="A76" s="412" t="s">
        <v>467</v>
      </c>
    </row>
    <row r="77" spans="1:1">
      <c r="A77" s="412" t="str">
        <f>CONCATENATE("(i.e. an audit for ",inputPrYr!C10-2," has been completed, or the ",inputPrYr!C10)</f>
        <v>(i.e. an audit for 2012 has been completed, or the 2014</v>
      </c>
    </row>
    <row r="78" spans="1:1">
      <c r="A78" s="412" t="s">
        <v>468</v>
      </c>
    </row>
    <row r="79" spans="1:1">
      <c r="A79" s="412" t="s">
        <v>469</v>
      </c>
    </row>
    <row r="80" spans="1:1">
      <c r="A80" s="412"/>
    </row>
    <row r="81" spans="1:1">
      <c r="A81" s="412" t="s">
        <v>470</v>
      </c>
    </row>
    <row r="82" spans="1:1">
      <c r="A82" s="412" t="s">
        <v>471</v>
      </c>
    </row>
    <row r="83" spans="1:1">
      <c r="A83" s="412" t="s">
        <v>472</v>
      </c>
    </row>
    <row r="84" spans="1:1">
      <c r="A84" s="412"/>
    </row>
    <row r="85" spans="1:1">
      <c r="A85" s="412" t="s">
        <v>473</v>
      </c>
    </row>
  </sheetData>
  <sheetProtection sheet="1"/>
  <pageMargins left="0.7" right="0.7" top="0.75" bottom="0.75" header="0.3" footer="0.3"/>
  <pageSetup orientation="portrait" r:id="rId1"/>
  <headerFooter>
    <oddFooter>&amp;Lrevised 10/02/09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
  <cols>
    <col min="1" max="1" width="71.33203125" customWidth="1"/>
  </cols>
  <sheetData>
    <row r="3" spans="1:10">
      <c r="A3" s="411" t="s">
        <v>474</v>
      </c>
      <c r="B3" s="411"/>
      <c r="C3" s="411"/>
      <c r="D3" s="411"/>
      <c r="E3" s="411"/>
      <c r="F3" s="411"/>
      <c r="G3" s="411"/>
      <c r="H3" s="414"/>
      <c r="I3" s="414"/>
      <c r="J3" s="414"/>
    </row>
    <row r="5" spans="1:10">
      <c r="A5" s="412" t="s">
        <v>475</v>
      </c>
    </row>
    <row r="6" spans="1:10">
      <c r="A6" t="str">
        <f>CONCATENATE(inputPrYr!C10-2," expenditures show that you finished the year with a ")</f>
        <v xml:space="preserve">2012 expenditures show that you finished the year with a </v>
      </c>
    </row>
    <row r="7" spans="1:10">
      <c r="A7" t="s">
        <v>476</v>
      </c>
    </row>
    <row r="9" spans="1:10">
      <c r="A9" t="s">
        <v>477</v>
      </c>
    </row>
    <row r="10" spans="1:10">
      <c r="A10" t="s">
        <v>478</v>
      </c>
    </row>
    <row r="11" spans="1:10">
      <c r="A11" t="s">
        <v>479</v>
      </c>
    </row>
    <row r="13" spans="1:10">
      <c r="A13" s="413" t="s">
        <v>480</v>
      </c>
    </row>
    <row r="14" spans="1:10">
      <c r="A14" s="413"/>
    </row>
    <row r="15" spans="1:10">
      <c r="A15" s="412" t="s">
        <v>481</v>
      </c>
    </row>
    <row r="16" spans="1:10">
      <c r="A16" s="412" t="s">
        <v>482</v>
      </c>
    </row>
    <row r="17" spans="1:1">
      <c r="A17" s="412" t="s">
        <v>483</v>
      </c>
    </row>
    <row r="18" spans="1:1">
      <c r="A18" s="412"/>
    </row>
    <row r="19" spans="1:1">
      <c r="A19" s="413" t="s">
        <v>484</v>
      </c>
    </row>
    <row r="20" spans="1:1">
      <c r="A20" s="413"/>
    </row>
    <row r="21" spans="1:1">
      <c r="A21" s="412" t="s">
        <v>485</v>
      </c>
    </row>
    <row r="22" spans="1:1">
      <c r="A22" s="412" t="s">
        <v>486</v>
      </c>
    </row>
    <row r="23" spans="1:1">
      <c r="A23" s="412" t="s">
        <v>487</v>
      </c>
    </row>
    <row r="24" spans="1:1">
      <c r="A24" s="412"/>
    </row>
    <row r="25" spans="1:1">
      <c r="A25" s="413" t="s">
        <v>488</v>
      </c>
    </row>
    <row r="26" spans="1:1">
      <c r="A26" s="413"/>
    </row>
    <row r="27" spans="1:1">
      <c r="A27" s="412" t="s">
        <v>489</v>
      </c>
    </row>
    <row r="28" spans="1:1">
      <c r="A28" s="412" t="s">
        <v>490</v>
      </c>
    </row>
    <row r="29" spans="1:1">
      <c r="A29" s="412" t="s">
        <v>491</v>
      </c>
    </row>
    <row r="30" spans="1:1">
      <c r="A30" s="412"/>
    </row>
    <row r="31" spans="1:1">
      <c r="A31" s="413" t="s">
        <v>492</v>
      </c>
    </row>
    <row r="32" spans="1:1">
      <c r="A32" s="413"/>
    </row>
    <row r="33" spans="1:8">
      <c r="A33" s="412" t="str">
        <f>CONCATENATE("If your financial records for ",inputPrYr!C10-2," are not closed")</f>
        <v>If your financial records for 2012 are not closed</v>
      </c>
      <c r="B33" s="412"/>
      <c r="C33" s="412"/>
      <c r="D33" s="412"/>
      <c r="E33" s="412"/>
      <c r="F33" s="412"/>
      <c r="G33" s="412"/>
      <c r="H33" s="412"/>
    </row>
    <row r="34" spans="1:8">
      <c r="A34" s="412" t="str">
        <f>CONCATENATE("(i.e. an audit has not been completed, or the ",inputPrYr!C10," adopted ")</f>
        <v xml:space="preserve">(i.e. an audit has not been completed, or the 2014 adopted </v>
      </c>
      <c r="B34" s="412"/>
      <c r="C34" s="412"/>
      <c r="D34" s="412"/>
      <c r="E34" s="412"/>
      <c r="F34" s="412"/>
      <c r="G34" s="412"/>
      <c r="H34" s="412"/>
    </row>
    <row r="35" spans="1:8">
      <c r="A35" s="412" t="s">
        <v>493</v>
      </c>
      <c r="B35" s="412"/>
      <c r="C35" s="412"/>
      <c r="D35" s="412"/>
      <c r="E35" s="412"/>
      <c r="F35" s="412"/>
      <c r="G35" s="412"/>
      <c r="H35" s="412"/>
    </row>
    <row r="36" spans="1:8">
      <c r="A36" s="412" t="s">
        <v>494</v>
      </c>
      <c r="B36" s="412"/>
      <c r="C36" s="412"/>
      <c r="D36" s="412"/>
      <c r="E36" s="412"/>
      <c r="F36" s="412"/>
      <c r="G36" s="412"/>
      <c r="H36" s="412"/>
    </row>
    <row r="37" spans="1:8">
      <c r="A37" s="412" t="s">
        <v>495</v>
      </c>
      <c r="B37" s="412"/>
      <c r="C37" s="412"/>
      <c r="D37" s="412"/>
      <c r="E37" s="412"/>
      <c r="F37" s="412"/>
      <c r="G37" s="412"/>
      <c r="H37" s="412"/>
    </row>
    <row r="38" spans="1:8">
      <c r="A38" s="412" t="s">
        <v>496</v>
      </c>
      <c r="B38" s="412"/>
      <c r="C38" s="412"/>
      <c r="D38" s="412"/>
      <c r="E38" s="412"/>
      <c r="F38" s="412"/>
      <c r="G38" s="412"/>
      <c r="H38" s="412"/>
    </row>
    <row r="39" spans="1:8">
      <c r="A39" s="412" t="s">
        <v>497</v>
      </c>
      <c r="B39" s="412"/>
      <c r="C39" s="412"/>
      <c r="D39" s="412"/>
      <c r="E39" s="412"/>
      <c r="F39" s="412"/>
      <c r="G39" s="412"/>
      <c r="H39" s="412"/>
    </row>
    <row r="40" spans="1:8">
      <c r="A40" s="412"/>
      <c r="B40" s="412"/>
      <c r="C40" s="412"/>
      <c r="D40" s="412"/>
      <c r="E40" s="412"/>
      <c r="F40" s="412"/>
      <c r="G40" s="412"/>
      <c r="H40" s="412"/>
    </row>
    <row r="41" spans="1:8">
      <c r="A41" s="412" t="s">
        <v>498</v>
      </c>
      <c r="B41" s="412"/>
      <c r="C41" s="412"/>
      <c r="D41" s="412"/>
      <c r="E41" s="412"/>
      <c r="F41" s="412"/>
      <c r="G41" s="412"/>
      <c r="H41" s="412"/>
    </row>
    <row r="42" spans="1:8">
      <c r="A42" s="412" t="s">
        <v>499</v>
      </c>
      <c r="B42" s="412"/>
      <c r="C42" s="412"/>
      <c r="D42" s="412"/>
      <c r="E42" s="412"/>
      <c r="F42" s="412"/>
      <c r="G42" s="412"/>
      <c r="H42" s="412"/>
    </row>
    <row r="43" spans="1:8">
      <c r="A43" s="412" t="s">
        <v>500</v>
      </c>
      <c r="B43" s="412"/>
      <c r="C43" s="412"/>
      <c r="D43" s="412"/>
      <c r="E43" s="412"/>
      <c r="F43" s="412"/>
      <c r="G43" s="412"/>
      <c r="H43" s="412"/>
    </row>
    <row r="44" spans="1:8">
      <c r="A44" s="412" t="s">
        <v>501</v>
      </c>
      <c r="B44" s="412"/>
      <c r="C44" s="412"/>
      <c r="D44" s="412"/>
      <c r="E44" s="412"/>
      <c r="F44" s="412"/>
      <c r="G44" s="412"/>
      <c r="H44" s="412"/>
    </row>
    <row r="45" spans="1:8">
      <c r="A45" s="412"/>
      <c r="B45" s="412"/>
      <c r="C45" s="412"/>
      <c r="D45" s="412"/>
      <c r="E45" s="412"/>
      <c r="F45" s="412"/>
      <c r="G45" s="412"/>
      <c r="H45" s="412"/>
    </row>
    <row r="46" spans="1:8">
      <c r="A46" s="412" t="s">
        <v>502</v>
      </c>
      <c r="B46" s="412"/>
      <c r="C46" s="412"/>
      <c r="D46" s="412"/>
      <c r="E46" s="412"/>
      <c r="F46" s="412"/>
      <c r="G46" s="412"/>
      <c r="H46" s="412"/>
    </row>
    <row r="47" spans="1:8">
      <c r="A47" s="412" t="s">
        <v>503</v>
      </c>
      <c r="B47" s="412"/>
      <c r="C47" s="412"/>
      <c r="D47" s="412"/>
      <c r="E47" s="412"/>
      <c r="F47" s="412"/>
      <c r="G47" s="412"/>
      <c r="H47" s="412"/>
    </row>
    <row r="48" spans="1:8">
      <c r="A48" s="412" t="s">
        <v>504</v>
      </c>
      <c r="B48" s="412"/>
      <c r="C48" s="412"/>
      <c r="D48" s="412"/>
      <c r="E48" s="412"/>
      <c r="F48" s="412"/>
      <c r="G48" s="412"/>
      <c r="H48" s="412"/>
    </row>
    <row r="49" spans="1:8">
      <c r="A49" s="412" t="s">
        <v>505</v>
      </c>
      <c r="B49" s="412"/>
      <c r="C49" s="412"/>
      <c r="D49" s="412"/>
      <c r="E49" s="412"/>
      <c r="F49" s="412"/>
      <c r="G49" s="412"/>
      <c r="H49" s="412"/>
    </row>
    <row r="50" spans="1:8">
      <c r="A50" s="412" t="s">
        <v>506</v>
      </c>
      <c r="B50" s="412"/>
      <c r="C50" s="412"/>
      <c r="D50" s="412"/>
      <c r="E50" s="412"/>
      <c r="F50" s="412"/>
      <c r="G50" s="412"/>
      <c r="H50" s="412"/>
    </row>
    <row r="51" spans="1:8">
      <c r="A51" s="412"/>
      <c r="B51" s="412"/>
      <c r="C51" s="412"/>
      <c r="D51" s="412"/>
      <c r="E51" s="412"/>
      <c r="F51" s="412"/>
      <c r="G51" s="412"/>
      <c r="H51" s="412"/>
    </row>
    <row r="52" spans="1:8">
      <c r="A52" s="413" t="s">
        <v>507</v>
      </c>
      <c r="B52" s="413"/>
      <c r="C52" s="413"/>
      <c r="D52" s="413"/>
      <c r="E52" s="413"/>
      <c r="F52" s="413"/>
      <c r="G52" s="413"/>
      <c r="H52" s="412"/>
    </row>
    <row r="53" spans="1:8">
      <c r="A53" s="413" t="s">
        <v>508</v>
      </c>
      <c r="B53" s="413"/>
      <c r="C53" s="413"/>
      <c r="D53" s="413"/>
      <c r="E53" s="413"/>
      <c r="F53" s="413"/>
      <c r="G53" s="413"/>
      <c r="H53" s="412"/>
    </row>
    <row r="54" spans="1:8">
      <c r="A54" s="412"/>
      <c r="B54" s="412"/>
      <c r="C54" s="412"/>
      <c r="D54" s="412"/>
      <c r="E54" s="412"/>
      <c r="F54" s="412"/>
      <c r="G54" s="412"/>
      <c r="H54" s="412"/>
    </row>
    <row r="55" spans="1:8">
      <c r="A55" s="412" t="s">
        <v>509</v>
      </c>
      <c r="B55" s="412"/>
      <c r="C55" s="412"/>
      <c r="D55" s="412"/>
      <c r="E55" s="412"/>
      <c r="F55" s="412"/>
      <c r="G55" s="412"/>
      <c r="H55" s="412"/>
    </row>
    <row r="56" spans="1:8">
      <c r="A56" s="412" t="s">
        <v>510</v>
      </c>
      <c r="B56" s="412"/>
      <c r="C56" s="412"/>
      <c r="D56" s="412"/>
      <c r="E56" s="412"/>
      <c r="F56" s="412"/>
      <c r="G56" s="412"/>
      <c r="H56" s="412"/>
    </row>
    <row r="57" spans="1:8">
      <c r="A57" s="412" t="s">
        <v>511</v>
      </c>
      <c r="B57" s="412"/>
      <c r="C57" s="412"/>
      <c r="D57" s="412"/>
      <c r="E57" s="412"/>
      <c r="F57" s="412"/>
      <c r="G57" s="412"/>
      <c r="H57" s="412"/>
    </row>
    <row r="58" spans="1:8">
      <c r="A58" s="412" t="s">
        <v>512</v>
      </c>
      <c r="B58" s="412"/>
      <c r="C58" s="412"/>
      <c r="D58" s="412"/>
      <c r="E58" s="412"/>
      <c r="F58" s="412"/>
      <c r="G58" s="412"/>
      <c r="H58" s="412"/>
    </row>
    <row r="59" spans="1:8">
      <c r="A59" s="412"/>
      <c r="B59" s="412"/>
      <c r="C59" s="412"/>
      <c r="D59" s="412"/>
      <c r="E59" s="412"/>
      <c r="F59" s="412"/>
      <c r="G59" s="412"/>
      <c r="H59" s="412"/>
    </row>
    <row r="60" spans="1:8">
      <c r="A60" s="412" t="s">
        <v>513</v>
      </c>
      <c r="B60" s="412"/>
      <c r="C60" s="412"/>
      <c r="D60" s="412"/>
      <c r="E60" s="412"/>
      <c r="F60" s="412"/>
      <c r="G60" s="412"/>
      <c r="H60" s="412"/>
    </row>
    <row r="61" spans="1:8">
      <c r="A61" s="412" t="s">
        <v>514</v>
      </c>
      <c r="B61" s="412"/>
      <c r="C61" s="412"/>
      <c r="D61" s="412"/>
      <c r="E61" s="412"/>
      <c r="F61" s="412"/>
      <c r="G61" s="412"/>
      <c r="H61" s="412"/>
    </row>
    <row r="62" spans="1:8">
      <c r="A62" s="412" t="s">
        <v>515</v>
      </c>
      <c r="B62" s="412"/>
      <c r="C62" s="412"/>
      <c r="D62" s="412"/>
      <c r="E62" s="412"/>
      <c r="F62" s="412"/>
      <c r="G62" s="412"/>
      <c r="H62" s="412"/>
    </row>
    <row r="63" spans="1:8">
      <c r="A63" s="412" t="s">
        <v>516</v>
      </c>
      <c r="B63" s="412"/>
      <c r="C63" s="412"/>
      <c r="D63" s="412"/>
      <c r="E63" s="412"/>
      <c r="F63" s="412"/>
      <c r="G63" s="412"/>
      <c r="H63" s="412"/>
    </row>
    <row r="64" spans="1:8">
      <c r="A64" s="412" t="s">
        <v>517</v>
      </c>
      <c r="B64" s="412"/>
      <c r="C64" s="412"/>
      <c r="D64" s="412"/>
      <c r="E64" s="412"/>
      <c r="F64" s="412"/>
      <c r="G64" s="412"/>
      <c r="H64" s="412"/>
    </row>
    <row r="65" spans="1:8">
      <c r="A65" s="412" t="s">
        <v>518</v>
      </c>
      <c r="B65" s="412"/>
      <c r="C65" s="412"/>
      <c r="D65" s="412"/>
      <c r="E65" s="412"/>
      <c r="F65" s="412"/>
      <c r="G65" s="412"/>
      <c r="H65" s="412"/>
    </row>
    <row r="66" spans="1:8">
      <c r="A66" s="412"/>
      <c r="B66" s="412"/>
      <c r="C66" s="412"/>
      <c r="D66" s="412"/>
      <c r="E66" s="412"/>
      <c r="F66" s="412"/>
      <c r="G66" s="412"/>
      <c r="H66" s="412"/>
    </row>
    <row r="67" spans="1:8">
      <c r="A67" s="412" t="s">
        <v>519</v>
      </c>
      <c r="B67" s="412"/>
      <c r="C67" s="412"/>
      <c r="D67" s="412"/>
      <c r="E67" s="412"/>
      <c r="F67" s="412"/>
      <c r="G67" s="412"/>
      <c r="H67" s="412"/>
    </row>
    <row r="68" spans="1:8">
      <c r="A68" s="412" t="s">
        <v>520</v>
      </c>
      <c r="B68" s="412"/>
      <c r="C68" s="412"/>
      <c r="D68" s="412"/>
      <c r="E68" s="412"/>
      <c r="F68" s="412"/>
      <c r="G68" s="412"/>
      <c r="H68" s="412"/>
    </row>
    <row r="69" spans="1:8">
      <c r="A69" s="412" t="s">
        <v>521</v>
      </c>
      <c r="B69" s="412"/>
      <c r="C69" s="412"/>
      <c r="D69" s="412"/>
      <c r="E69" s="412"/>
      <c r="F69" s="412"/>
      <c r="G69" s="412"/>
      <c r="H69" s="412"/>
    </row>
    <row r="70" spans="1:8">
      <c r="A70" s="412" t="s">
        <v>522</v>
      </c>
      <c r="B70" s="412"/>
      <c r="C70" s="412"/>
      <c r="D70" s="412"/>
      <c r="E70" s="412"/>
      <c r="F70" s="412"/>
      <c r="G70" s="412"/>
      <c r="H70" s="412"/>
    </row>
    <row r="71" spans="1:8">
      <c r="A71" s="412" t="s">
        <v>523</v>
      </c>
      <c r="B71" s="412"/>
      <c r="C71" s="412"/>
      <c r="D71" s="412"/>
      <c r="E71" s="412"/>
      <c r="F71" s="412"/>
      <c r="G71" s="412"/>
      <c r="H71" s="412"/>
    </row>
    <row r="72" spans="1:8">
      <c r="A72" s="412" t="s">
        <v>524</v>
      </c>
      <c r="B72" s="412"/>
      <c r="C72" s="412"/>
      <c r="D72" s="412"/>
      <c r="E72" s="412"/>
      <c r="F72" s="412"/>
      <c r="G72" s="412"/>
      <c r="H72" s="412"/>
    </row>
    <row r="73" spans="1:8">
      <c r="A73" s="412" t="s">
        <v>525</v>
      </c>
      <c r="B73" s="412"/>
      <c r="C73" s="412"/>
      <c r="D73" s="412"/>
      <c r="E73" s="412"/>
      <c r="F73" s="412"/>
      <c r="G73" s="412"/>
      <c r="H73" s="412"/>
    </row>
    <row r="74" spans="1:8">
      <c r="A74" s="412"/>
      <c r="B74" s="412"/>
      <c r="C74" s="412"/>
      <c r="D74" s="412"/>
      <c r="E74" s="412"/>
      <c r="F74" s="412"/>
      <c r="G74" s="412"/>
      <c r="H74" s="412"/>
    </row>
    <row r="75" spans="1:8">
      <c r="A75" s="412" t="s">
        <v>526</v>
      </c>
      <c r="B75" s="412"/>
      <c r="C75" s="412"/>
      <c r="D75" s="412"/>
      <c r="E75" s="412"/>
      <c r="F75" s="412"/>
      <c r="G75" s="412"/>
      <c r="H75" s="412"/>
    </row>
    <row r="76" spans="1:8">
      <c r="A76" s="412" t="s">
        <v>527</v>
      </c>
      <c r="B76" s="412"/>
      <c r="C76" s="412"/>
      <c r="D76" s="412"/>
      <c r="E76" s="412"/>
      <c r="F76" s="412"/>
      <c r="G76" s="412"/>
      <c r="H76" s="412"/>
    </row>
    <row r="77" spans="1:8">
      <c r="A77" s="412" t="s">
        <v>528</v>
      </c>
      <c r="B77" s="412"/>
      <c r="C77" s="412"/>
      <c r="D77" s="412"/>
      <c r="E77" s="412"/>
      <c r="F77" s="412"/>
      <c r="G77" s="412"/>
      <c r="H77" s="412"/>
    </row>
    <row r="78" spans="1:8">
      <c r="A78" s="412"/>
      <c r="B78" s="412"/>
      <c r="C78" s="412"/>
      <c r="D78" s="412"/>
      <c r="E78" s="412"/>
      <c r="F78" s="412"/>
      <c r="G78" s="412"/>
      <c r="H78" s="412"/>
    </row>
    <row r="79" spans="1:8">
      <c r="A79" s="412" t="s">
        <v>473</v>
      </c>
    </row>
    <row r="80" spans="1:8">
      <c r="A80" s="413"/>
    </row>
    <row r="81" spans="1:1">
      <c r="A81" s="412"/>
    </row>
    <row r="82" spans="1:1">
      <c r="A82" s="412"/>
    </row>
    <row r="83" spans="1:1">
      <c r="A83" s="412"/>
    </row>
    <row r="84" spans="1:1">
      <c r="A84" s="412"/>
    </row>
    <row r="85" spans="1:1">
      <c r="A85" s="412"/>
    </row>
    <row r="86" spans="1:1">
      <c r="A86" s="412"/>
    </row>
    <row r="87" spans="1:1">
      <c r="A87" s="412"/>
    </row>
    <row r="88" spans="1:1">
      <c r="A88" s="412"/>
    </row>
    <row r="89" spans="1:1">
      <c r="A89" s="412"/>
    </row>
    <row r="90" spans="1:1">
      <c r="A90" s="412"/>
    </row>
    <row r="91" spans="1:1">
      <c r="A91" s="412"/>
    </row>
    <row r="92" spans="1:1">
      <c r="A92" s="412"/>
    </row>
    <row r="93" spans="1:1">
      <c r="A93" s="412"/>
    </row>
    <row r="94" spans="1:1">
      <c r="A94" s="412"/>
    </row>
    <row r="95" spans="1:1">
      <c r="A95" s="412"/>
    </row>
    <row r="96" spans="1:1">
      <c r="A96" s="412"/>
    </row>
    <row r="97" spans="1:1">
      <c r="A97" s="412"/>
    </row>
    <row r="98" spans="1:1">
      <c r="A98" s="412"/>
    </row>
    <row r="99" spans="1:1">
      <c r="A99" s="412"/>
    </row>
    <row r="100" spans="1:1">
      <c r="A100" s="412"/>
    </row>
    <row r="101" spans="1:1">
      <c r="A101" s="412"/>
    </row>
    <row r="103" spans="1:1">
      <c r="A103" s="412"/>
    </row>
    <row r="104" spans="1:1">
      <c r="A104" s="412"/>
    </row>
    <row r="105" spans="1:1">
      <c r="A105" s="412"/>
    </row>
    <row r="107" spans="1:1">
      <c r="A107" s="413"/>
    </row>
    <row r="108" spans="1:1">
      <c r="A108" s="413"/>
    </row>
    <row r="109" spans="1:1">
      <c r="A109" s="413"/>
    </row>
  </sheetData>
  <sheetProtection sheet="1"/>
  <pageMargins left="0.7" right="0.7" top="0.75" bottom="0.75" header="0.3" footer="0.3"/>
  <pageSetup orientation="portrait" r:id="rId1"/>
  <headerFooter>
    <oddFooter>&amp;Lrevised 10/02/09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L75"/>
  <sheetViews>
    <sheetView workbookViewId="0">
      <selection activeCell="A38" sqref="A38"/>
    </sheetView>
  </sheetViews>
  <sheetFormatPr defaultRowHeight="15"/>
  <cols>
    <col min="1" max="1" width="71.33203125" customWidth="1"/>
  </cols>
  <sheetData>
    <row r="3" spans="1:12">
      <c r="A3" s="411" t="s">
        <v>529</v>
      </c>
      <c r="B3" s="411"/>
      <c r="C3" s="411"/>
      <c r="D3" s="411"/>
      <c r="E3" s="411"/>
      <c r="F3" s="411"/>
      <c r="G3" s="411"/>
      <c r="H3" s="411"/>
      <c r="I3" s="411"/>
      <c r="J3" s="411"/>
      <c r="K3" s="411"/>
      <c r="L3" s="411"/>
    </row>
    <row r="4" spans="1:12">
      <c r="A4" s="411"/>
      <c r="B4" s="411"/>
      <c r="C4" s="411"/>
      <c r="D4" s="411"/>
      <c r="E4" s="411"/>
      <c r="F4" s="411"/>
      <c r="G4" s="411"/>
      <c r="H4" s="411"/>
      <c r="I4" s="411"/>
      <c r="J4" s="411"/>
      <c r="K4" s="411"/>
      <c r="L4" s="411"/>
    </row>
    <row r="5" spans="1:12">
      <c r="A5" s="412" t="s">
        <v>418</v>
      </c>
      <c r="I5" s="411"/>
      <c r="J5" s="411"/>
      <c r="K5" s="411"/>
      <c r="L5" s="411"/>
    </row>
    <row r="6" spans="1:12">
      <c r="A6" s="412" t="str">
        <f>CONCATENATE("estimated ",inputPrYr!C10-1," 'total expenditures' exceed your ",inputPrYr!C10-1,"")</f>
        <v>estimated 2013 'total expenditures' exceed your 2013</v>
      </c>
      <c r="I6" s="411"/>
      <c r="J6" s="411"/>
      <c r="K6" s="411"/>
      <c r="L6" s="411"/>
    </row>
    <row r="7" spans="1:12">
      <c r="A7" s="415" t="s">
        <v>530</v>
      </c>
      <c r="I7" s="411"/>
      <c r="J7" s="411"/>
      <c r="K7" s="411"/>
      <c r="L7" s="411"/>
    </row>
    <row r="8" spans="1:12">
      <c r="A8" s="412"/>
      <c r="I8" s="411"/>
      <c r="J8" s="411"/>
      <c r="K8" s="411"/>
      <c r="L8" s="411"/>
    </row>
    <row r="9" spans="1:12">
      <c r="A9" s="412" t="s">
        <v>531</v>
      </c>
      <c r="I9" s="411"/>
      <c r="J9" s="411"/>
      <c r="K9" s="411"/>
      <c r="L9" s="411"/>
    </row>
    <row r="10" spans="1:12">
      <c r="A10" s="412" t="s">
        <v>532</v>
      </c>
      <c r="I10" s="411"/>
      <c r="J10" s="411"/>
      <c r="K10" s="411"/>
      <c r="L10" s="411"/>
    </row>
    <row r="11" spans="1:12">
      <c r="A11" s="412" t="s">
        <v>533</v>
      </c>
      <c r="I11" s="411"/>
      <c r="J11" s="411"/>
      <c r="K11" s="411"/>
      <c r="L11" s="411"/>
    </row>
    <row r="12" spans="1:12">
      <c r="A12" s="412" t="s">
        <v>534</v>
      </c>
      <c r="I12" s="411"/>
      <c r="J12" s="411"/>
      <c r="K12" s="411"/>
      <c r="L12" s="411"/>
    </row>
    <row r="13" spans="1:12">
      <c r="A13" s="412" t="s">
        <v>535</v>
      </c>
      <c r="I13" s="411"/>
      <c r="J13" s="411"/>
      <c r="K13" s="411"/>
      <c r="L13" s="411"/>
    </row>
    <row r="14" spans="1:12">
      <c r="A14" s="411"/>
      <c r="B14" s="411"/>
      <c r="C14" s="411"/>
      <c r="D14" s="411"/>
      <c r="E14" s="411"/>
      <c r="F14" s="411"/>
      <c r="G14" s="411"/>
      <c r="H14" s="411"/>
      <c r="I14" s="411"/>
      <c r="J14" s="411"/>
      <c r="K14" s="411"/>
      <c r="L14" s="411"/>
    </row>
    <row r="15" spans="1:12">
      <c r="A15" s="413" t="s">
        <v>536</v>
      </c>
    </row>
    <row r="16" spans="1:12">
      <c r="A16" s="413" t="s">
        <v>537</v>
      </c>
    </row>
    <row r="17" spans="1:7">
      <c r="A17" s="413"/>
    </row>
    <row r="18" spans="1:7">
      <c r="A18" s="412" t="s">
        <v>538</v>
      </c>
      <c r="B18" s="412"/>
      <c r="C18" s="412"/>
      <c r="D18" s="412"/>
      <c r="E18" s="412"/>
      <c r="F18" s="412"/>
      <c r="G18" s="412"/>
    </row>
    <row r="19" spans="1:7">
      <c r="A19" s="412" t="str">
        <f>CONCATENATE("your ",inputPrYr!C10-1," numbers to see what steps might be necessary to")</f>
        <v>your 2013 numbers to see what steps might be necessary to</v>
      </c>
      <c r="B19" s="412"/>
      <c r="C19" s="412"/>
      <c r="D19" s="412"/>
      <c r="E19" s="412"/>
      <c r="F19" s="412"/>
      <c r="G19" s="412"/>
    </row>
    <row r="20" spans="1:7">
      <c r="A20" s="412" t="s">
        <v>539</v>
      </c>
      <c r="B20" s="412"/>
      <c r="C20" s="412"/>
      <c r="D20" s="412"/>
      <c r="E20" s="412"/>
      <c r="F20" s="412"/>
      <c r="G20" s="412"/>
    </row>
    <row r="21" spans="1:7">
      <c r="A21" s="412" t="s">
        <v>540</v>
      </c>
      <c r="B21" s="412"/>
      <c r="C21" s="412"/>
      <c r="D21" s="412"/>
      <c r="E21" s="412"/>
      <c r="F21" s="412"/>
      <c r="G21" s="412"/>
    </row>
    <row r="22" spans="1:7">
      <c r="A22" s="412"/>
    </row>
    <row r="23" spans="1:7">
      <c r="A23" s="413" t="s">
        <v>541</v>
      </c>
    </row>
    <row r="24" spans="1:7">
      <c r="A24" s="413"/>
    </row>
    <row r="25" spans="1:7">
      <c r="A25" s="412" t="s">
        <v>542</v>
      </c>
    </row>
    <row r="26" spans="1:7">
      <c r="A26" s="412" t="s">
        <v>543</v>
      </c>
      <c r="B26" s="412"/>
      <c r="C26" s="412"/>
      <c r="D26" s="412"/>
      <c r="E26" s="412"/>
      <c r="F26" s="412"/>
    </row>
    <row r="27" spans="1:7">
      <c r="A27" s="412" t="s">
        <v>544</v>
      </c>
      <c r="B27" s="412"/>
      <c r="C27" s="412"/>
      <c r="D27" s="412"/>
      <c r="E27" s="412"/>
      <c r="F27" s="412"/>
    </row>
    <row r="28" spans="1:7">
      <c r="A28" s="412" t="s">
        <v>545</v>
      </c>
      <c r="B28" s="412"/>
      <c r="C28" s="412"/>
      <c r="D28" s="412"/>
      <c r="E28" s="412"/>
      <c r="F28" s="412"/>
    </row>
    <row r="29" spans="1:7">
      <c r="A29" s="412"/>
      <c r="B29" s="412"/>
      <c r="C29" s="412"/>
      <c r="D29" s="412"/>
      <c r="E29" s="412"/>
      <c r="F29" s="412"/>
    </row>
    <row r="30" spans="1:7">
      <c r="A30" s="413" t="s">
        <v>546</v>
      </c>
      <c r="B30" s="413"/>
      <c r="C30" s="413"/>
      <c r="D30" s="413"/>
      <c r="E30" s="413"/>
      <c r="F30" s="413"/>
      <c r="G30" s="413"/>
    </row>
    <row r="31" spans="1:7">
      <c r="A31" s="413" t="s">
        <v>547</v>
      </c>
      <c r="B31" s="413"/>
      <c r="C31" s="413"/>
      <c r="D31" s="413"/>
      <c r="E31" s="413"/>
      <c r="F31" s="413"/>
      <c r="G31" s="413"/>
    </row>
    <row r="32" spans="1:7">
      <c r="A32" s="412"/>
      <c r="B32" s="412"/>
      <c r="C32" s="412"/>
      <c r="D32" s="412"/>
      <c r="E32" s="412"/>
      <c r="F32" s="412"/>
    </row>
    <row r="33" spans="1:6">
      <c r="A33" s="416" t="str">
        <f>CONCATENATE("Well, let's look to see if any of your ",inputPrYr!C10-1," expenditures can")</f>
        <v>Well, let's look to see if any of your 2013 expenditures can</v>
      </c>
      <c r="B33" s="412"/>
      <c r="C33" s="412"/>
      <c r="D33" s="412"/>
      <c r="E33" s="412"/>
      <c r="F33" s="412"/>
    </row>
    <row r="34" spans="1:6">
      <c r="A34" s="416" t="s">
        <v>548</v>
      </c>
      <c r="B34" s="412"/>
      <c r="C34" s="412"/>
      <c r="D34" s="412"/>
      <c r="E34" s="412"/>
      <c r="F34" s="412"/>
    </row>
    <row r="35" spans="1:6">
      <c r="A35" s="416" t="s">
        <v>432</v>
      </c>
      <c r="B35" s="412"/>
      <c r="C35" s="412"/>
      <c r="D35" s="412"/>
      <c r="E35" s="412"/>
      <c r="F35" s="412"/>
    </row>
    <row r="36" spans="1:6">
      <c r="A36" s="416" t="s">
        <v>433</v>
      </c>
      <c r="B36" s="412"/>
      <c r="C36" s="412"/>
      <c r="D36" s="412"/>
      <c r="E36" s="412"/>
      <c r="F36" s="412"/>
    </row>
    <row r="37" spans="1:6">
      <c r="A37" s="416"/>
      <c r="B37" s="412"/>
      <c r="C37" s="412"/>
      <c r="D37" s="412"/>
      <c r="E37" s="412"/>
      <c r="F37" s="412"/>
    </row>
    <row r="38" spans="1:6">
      <c r="A38" s="416" t="str">
        <f>CONCATENATE("Additionally, do your ",inputPrYr!C10-1," receipts contain a reimbursement")</f>
        <v>Additionally, do your 2013 receipts contain a reimbursement</v>
      </c>
      <c r="B38" s="412"/>
      <c r="C38" s="412"/>
      <c r="D38" s="412"/>
      <c r="E38" s="412"/>
      <c r="F38" s="412"/>
    </row>
    <row r="39" spans="1:6">
      <c r="A39" s="416" t="s">
        <v>434</v>
      </c>
      <c r="B39" s="412"/>
      <c r="C39" s="412"/>
      <c r="D39" s="412"/>
      <c r="E39" s="412"/>
      <c r="F39" s="412"/>
    </row>
    <row r="40" spans="1:6">
      <c r="A40" s="416" t="s">
        <v>435</v>
      </c>
      <c r="B40" s="412"/>
      <c r="C40" s="412"/>
      <c r="D40" s="412"/>
      <c r="E40" s="412"/>
      <c r="F40" s="412"/>
    </row>
    <row r="41" spans="1:6">
      <c r="A41" s="416"/>
      <c r="B41" s="412"/>
      <c r="C41" s="412"/>
      <c r="D41" s="412"/>
      <c r="E41" s="412"/>
      <c r="F41" s="412"/>
    </row>
    <row r="42" spans="1:6">
      <c r="A42" s="416" t="s">
        <v>436</v>
      </c>
      <c r="B42" s="412"/>
      <c r="C42" s="412"/>
      <c r="D42" s="412"/>
      <c r="E42" s="412"/>
      <c r="F42" s="412"/>
    </row>
    <row r="43" spans="1:6">
      <c r="A43" s="416" t="s">
        <v>437</v>
      </c>
      <c r="B43" s="412"/>
      <c r="C43" s="412"/>
      <c r="D43" s="412"/>
      <c r="E43" s="412"/>
      <c r="F43" s="412"/>
    </row>
    <row r="44" spans="1:6">
      <c r="A44" s="416" t="s">
        <v>438</v>
      </c>
      <c r="B44" s="412"/>
      <c r="C44" s="412"/>
      <c r="D44" s="412"/>
      <c r="E44" s="412"/>
      <c r="F44" s="412"/>
    </row>
    <row r="45" spans="1:6">
      <c r="A45" s="416" t="s">
        <v>549</v>
      </c>
      <c r="B45" s="412"/>
      <c r="C45" s="412"/>
      <c r="D45" s="412"/>
      <c r="E45" s="412"/>
      <c r="F45" s="412"/>
    </row>
    <row r="46" spans="1:6">
      <c r="A46" s="416" t="s">
        <v>440</v>
      </c>
      <c r="B46" s="412"/>
      <c r="C46" s="412"/>
      <c r="D46" s="412"/>
      <c r="E46" s="412"/>
      <c r="F46" s="412"/>
    </row>
    <row r="47" spans="1:6">
      <c r="A47" s="416" t="s">
        <v>550</v>
      </c>
      <c r="B47" s="412"/>
      <c r="C47" s="412"/>
      <c r="D47" s="412"/>
      <c r="E47" s="412"/>
      <c r="F47" s="412"/>
    </row>
    <row r="48" spans="1:6">
      <c r="A48" s="416" t="s">
        <v>551</v>
      </c>
      <c r="B48" s="412"/>
      <c r="C48" s="412"/>
      <c r="D48" s="412"/>
      <c r="E48" s="412"/>
      <c r="F48" s="412"/>
    </row>
    <row r="49" spans="1:6">
      <c r="A49" s="416" t="s">
        <v>443</v>
      </c>
      <c r="B49" s="412"/>
      <c r="C49" s="412"/>
      <c r="D49" s="412"/>
      <c r="E49" s="412"/>
      <c r="F49" s="412"/>
    </row>
    <row r="50" spans="1:6">
      <c r="A50" s="416"/>
      <c r="B50" s="412"/>
      <c r="C50" s="412"/>
      <c r="D50" s="412"/>
      <c r="E50" s="412"/>
      <c r="F50" s="412"/>
    </row>
    <row r="51" spans="1:6">
      <c r="A51" s="416" t="s">
        <v>444</v>
      </c>
      <c r="B51" s="412"/>
      <c r="C51" s="412"/>
      <c r="D51" s="412"/>
      <c r="E51" s="412"/>
      <c r="F51" s="412"/>
    </row>
    <row r="52" spans="1:6">
      <c r="A52" s="416" t="s">
        <v>445</v>
      </c>
      <c r="B52" s="412"/>
      <c r="C52" s="412"/>
      <c r="D52" s="412"/>
      <c r="E52" s="412"/>
      <c r="F52" s="412"/>
    </row>
    <row r="53" spans="1:6">
      <c r="A53" s="416" t="s">
        <v>446</v>
      </c>
      <c r="B53" s="412"/>
      <c r="C53" s="412"/>
      <c r="D53" s="412"/>
      <c r="E53" s="412"/>
      <c r="F53" s="412"/>
    </row>
    <row r="54" spans="1:6">
      <c r="A54" s="416"/>
      <c r="B54" s="412"/>
      <c r="C54" s="412"/>
      <c r="D54" s="412"/>
      <c r="E54" s="412"/>
      <c r="F54" s="412"/>
    </row>
    <row r="55" spans="1:6">
      <c r="A55" s="416" t="s">
        <v>552</v>
      </c>
      <c r="B55" s="412"/>
      <c r="C55" s="412"/>
      <c r="D55" s="412"/>
      <c r="E55" s="412"/>
      <c r="F55" s="412"/>
    </row>
    <row r="56" spans="1:6">
      <c r="A56" s="416" t="s">
        <v>553</v>
      </c>
      <c r="B56" s="412"/>
      <c r="C56" s="412"/>
      <c r="D56" s="412"/>
      <c r="E56" s="412"/>
      <c r="F56" s="412"/>
    </row>
    <row r="57" spans="1:6">
      <c r="A57" s="416" t="s">
        <v>554</v>
      </c>
      <c r="B57" s="412"/>
      <c r="C57" s="412"/>
      <c r="D57" s="412"/>
      <c r="E57" s="412"/>
      <c r="F57" s="412"/>
    </row>
    <row r="58" spans="1:6">
      <c r="A58" s="416" t="s">
        <v>555</v>
      </c>
      <c r="B58" s="412"/>
      <c r="C58" s="412"/>
      <c r="D58" s="412"/>
      <c r="E58" s="412"/>
      <c r="F58" s="412"/>
    </row>
    <row r="59" spans="1:6">
      <c r="A59" s="416" t="s">
        <v>556</v>
      </c>
      <c r="B59" s="412"/>
      <c r="C59" s="412"/>
      <c r="D59" s="412"/>
      <c r="E59" s="412"/>
      <c r="F59" s="412"/>
    </row>
    <row r="60" spans="1:6">
      <c r="A60" s="416"/>
      <c r="B60" s="412"/>
      <c r="C60" s="412"/>
      <c r="D60" s="412"/>
      <c r="E60" s="412"/>
      <c r="F60" s="412"/>
    </row>
    <row r="61" spans="1:6">
      <c r="A61" s="417" t="s">
        <v>557</v>
      </c>
      <c r="B61" s="412"/>
      <c r="C61" s="412"/>
      <c r="D61" s="412"/>
      <c r="E61" s="412"/>
      <c r="F61" s="412"/>
    </row>
    <row r="62" spans="1:6">
      <c r="A62" s="417" t="s">
        <v>558</v>
      </c>
      <c r="B62" s="412"/>
      <c r="C62" s="412"/>
      <c r="D62" s="412"/>
      <c r="E62" s="412"/>
      <c r="F62" s="412"/>
    </row>
    <row r="63" spans="1:6">
      <c r="A63" s="417" t="s">
        <v>559</v>
      </c>
      <c r="B63" s="412"/>
      <c r="C63" s="412"/>
      <c r="D63" s="412"/>
      <c r="E63" s="412"/>
      <c r="F63" s="412"/>
    </row>
    <row r="64" spans="1:6">
      <c r="A64" s="417" t="s">
        <v>560</v>
      </c>
    </row>
    <row r="65" spans="1:1">
      <c r="A65" s="417" t="s">
        <v>561</v>
      </c>
    </row>
    <row r="66" spans="1:1">
      <c r="A66" s="417" t="s">
        <v>562</v>
      </c>
    </row>
    <row r="68" spans="1:1">
      <c r="A68" s="412" t="s">
        <v>563</v>
      </c>
    </row>
    <row r="69" spans="1:1">
      <c r="A69" s="412" t="s">
        <v>564</v>
      </c>
    </row>
    <row r="70" spans="1:1">
      <c r="A70" s="412" t="s">
        <v>565</v>
      </c>
    </row>
    <row r="71" spans="1:1">
      <c r="A71" s="412" t="s">
        <v>566</v>
      </c>
    </row>
    <row r="72" spans="1:1">
      <c r="A72" s="412" t="s">
        <v>567</v>
      </c>
    </row>
    <row r="73" spans="1:1">
      <c r="A73" s="412" t="s">
        <v>568</v>
      </c>
    </row>
    <row r="75" spans="1:1">
      <c r="A75" s="412" t="s">
        <v>473</v>
      </c>
    </row>
  </sheetData>
  <sheetProtection sheet="1"/>
  <pageMargins left="0.7" right="0.7" top="0.75" bottom="0.75" header="0.3" footer="0.3"/>
  <pageSetup orientation="portrait" r:id="rId1"/>
  <headerFooter>
    <oddFooter>&amp;Lrevised 10/02/09</oddFooter>
  </headerFooter>
</worksheet>
</file>

<file path=xl/worksheets/sheet4.xml><?xml version="1.0" encoding="utf-8"?>
<worksheet xmlns="http://schemas.openxmlformats.org/spreadsheetml/2006/main" xmlns:r="http://schemas.openxmlformats.org/officeDocument/2006/relationships">
  <dimension ref="A1:J27"/>
  <sheetViews>
    <sheetView workbookViewId="0">
      <selection activeCell="A2" sqref="A2:F2"/>
    </sheetView>
  </sheetViews>
  <sheetFormatPr defaultColWidth="8.88671875" defaultRowHeight="15"/>
  <cols>
    <col min="1" max="1" width="13.77734375" style="653" customWidth="1"/>
    <col min="2" max="2" width="16.109375" style="653" customWidth="1"/>
    <col min="3" max="16384" width="8.88671875" style="653"/>
  </cols>
  <sheetData>
    <row r="1" spans="1:10">
      <c r="J1" s="654" t="s">
        <v>869</v>
      </c>
    </row>
    <row r="2" spans="1:10" ht="54" customHeight="1">
      <c r="A2" s="878" t="s">
        <v>1203</v>
      </c>
      <c r="B2" s="879"/>
      <c r="C2" s="879"/>
      <c r="D2" s="879"/>
      <c r="E2" s="879"/>
      <c r="F2" s="879"/>
      <c r="J2" s="654" t="s">
        <v>870</v>
      </c>
    </row>
    <row r="3" spans="1:10" ht="15.75">
      <c r="A3" s="655" t="s">
        <v>871</v>
      </c>
      <c r="B3" s="656" t="s">
        <v>986</v>
      </c>
      <c r="C3" s="656"/>
      <c r="J3" s="654" t="s">
        <v>872</v>
      </c>
    </row>
    <row r="4" spans="1:10" ht="15.75">
      <c r="A4" s="655"/>
      <c r="B4" s="652"/>
      <c r="J4" s="654" t="s">
        <v>873</v>
      </c>
    </row>
    <row r="5" spans="1:10" ht="15.75">
      <c r="A5" s="655" t="s">
        <v>658</v>
      </c>
      <c r="B5" s="656" t="s">
        <v>71</v>
      </c>
      <c r="J5" s="654" t="s">
        <v>874</v>
      </c>
    </row>
    <row r="6" spans="1:10" ht="15.75">
      <c r="A6" s="405"/>
      <c r="B6" s="405"/>
      <c r="C6" s="405"/>
      <c r="D6" s="406" t="s">
        <v>875</v>
      </c>
      <c r="E6" s="405"/>
      <c r="F6" s="405"/>
      <c r="J6" s="654" t="s">
        <v>876</v>
      </c>
    </row>
    <row r="7" spans="1:10" ht="15.75">
      <c r="A7" s="406" t="s">
        <v>409</v>
      </c>
      <c r="B7" s="656" t="s">
        <v>1019</v>
      </c>
      <c r="C7" s="407"/>
      <c r="D7" s="657" t="str">
        <f ca="1">IF(B7="","",CONCATENATE("Latest date for notice to be published in your newspaper: ",G18," ",G22,", ",G23))</f>
        <v>Latest date for notice to be published in your newspaper: August 2, 2013</v>
      </c>
      <c r="E7" s="405"/>
      <c r="F7" s="405"/>
      <c r="J7" s="654" t="s">
        <v>877</v>
      </c>
    </row>
    <row r="8" spans="1:10" ht="15.75">
      <c r="A8" s="406"/>
      <c r="B8" s="408"/>
      <c r="C8" s="409"/>
      <c r="D8" s="406"/>
      <c r="E8" s="405"/>
      <c r="F8" s="405"/>
      <c r="J8" s="654" t="s">
        <v>878</v>
      </c>
    </row>
    <row r="9" spans="1:10" ht="15.75">
      <c r="A9" s="406" t="s">
        <v>410</v>
      </c>
      <c r="B9" s="656" t="s">
        <v>1020</v>
      </c>
      <c r="C9" s="410"/>
      <c r="D9" s="406"/>
      <c r="E9" s="405"/>
      <c r="F9" s="405"/>
      <c r="J9" s="654" t="s">
        <v>879</v>
      </c>
    </row>
    <row r="10" spans="1:10" ht="15.75">
      <c r="A10" s="406"/>
      <c r="B10" s="406"/>
      <c r="C10" s="406"/>
      <c r="D10" s="406"/>
      <c r="E10" s="405"/>
      <c r="F10" s="405"/>
      <c r="J10" s="654" t="s">
        <v>880</v>
      </c>
    </row>
    <row r="11" spans="1:10" ht="15.75">
      <c r="A11" s="406" t="s">
        <v>411</v>
      </c>
      <c r="B11" s="658" t="s">
        <v>1021</v>
      </c>
      <c r="C11" s="658"/>
      <c r="D11" s="658"/>
      <c r="E11" s="659"/>
      <c r="F11" s="405"/>
      <c r="J11" s="654" t="s">
        <v>881</v>
      </c>
    </row>
    <row r="12" spans="1:10" ht="15.75">
      <c r="A12" s="406"/>
      <c r="B12" s="406"/>
      <c r="C12" s="406"/>
      <c r="D12" s="406"/>
      <c r="E12" s="405"/>
      <c r="F12" s="405"/>
      <c r="J12" s="654" t="s">
        <v>882</v>
      </c>
    </row>
    <row r="13" spans="1:10" ht="15.75">
      <c r="A13" s="406"/>
      <c r="B13" s="406"/>
      <c r="C13" s="406"/>
      <c r="D13" s="406"/>
      <c r="E13" s="405"/>
      <c r="F13" s="405"/>
    </row>
    <row r="14" spans="1:10" ht="15.75">
      <c r="A14" s="406" t="s">
        <v>413</v>
      </c>
      <c r="B14" s="658" t="s">
        <v>1022</v>
      </c>
      <c r="C14" s="658"/>
      <c r="D14" s="658"/>
      <c r="E14" s="659"/>
      <c r="F14" s="405"/>
    </row>
    <row r="17" spans="1:7" ht="15.75">
      <c r="A17" s="880" t="s">
        <v>414</v>
      </c>
      <c r="B17" s="880"/>
      <c r="C17" s="406"/>
      <c r="D17" s="406"/>
      <c r="E17" s="406"/>
      <c r="F17" s="405"/>
    </row>
    <row r="18" spans="1:7" ht="15.75">
      <c r="A18" s="406"/>
      <c r="B18" s="406"/>
      <c r="C18" s="406"/>
      <c r="D18" s="406"/>
      <c r="E18" s="406"/>
      <c r="F18" s="405"/>
      <c r="G18" s="654" t="str">
        <f ca="1">IF(B7="","",INDIRECT(G19))</f>
        <v>August</v>
      </c>
    </row>
    <row r="19" spans="1:7" ht="15.75">
      <c r="A19" s="406" t="s">
        <v>658</v>
      </c>
      <c r="B19" s="406" t="s">
        <v>659</v>
      </c>
      <c r="C19" s="406"/>
      <c r="D19" s="406"/>
      <c r="E19" s="406"/>
      <c r="F19" s="405"/>
      <c r="G19" s="660" t="str">
        <f>IF(B7="","",CONCATENATE("J",G21))</f>
        <v>J8</v>
      </c>
    </row>
    <row r="20" spans="1:7" ht="15.75">
      <c r="A20" s="406"/>
      <c r="B20" s="406"/>
      <c r="C20" s="406"/>
      <c r="D20" s="406"/>
      <c r="E20" s="406"/>
      <c r="F20" s="405"/>
      <c r="G20" s="661">
        <f>B7-10</f>
        <v>41488</v>
      </c>
    </row>
    <row r="21" spans="1:7" ht="15.75">
      <c r="A21" s="406" t="s">
        <v>409</v>
      </c>
      <c r="B21" s="408" t="s">
        <v>415</v>
      </c>
      <c r="C21" s="406"/>
      <c r="D21" s="406"/>
      <c r="E21" s="406"/>
      <c r="G21" s="662">
        <f>IF(B7="","",MONTH(G20))</f>
        <v>8</v>
      </c>
    </row>
    <row r="22" spans="1:7" ht="15.75">
      <c r="A22" s="406"/>
      <c r="B22" s="406"/>
      <c r="C22" s="406"/>
      <c r="D22" s="406"/>
      <c r="E22" s="406"/>
      <c r="G22" s="663">
        <f>IF(B7="","",DAY(G20))</f>
        <v>2</v>
      </c>
    </row>
    <row r="23" spans="1:7" ht="15.75">
      <c r="A23" s="406" t="s">
        <v>410</v>
      </c>
      <c r="B23" s="406" t="s">
        <v>416</v>
      </c>
      <c r="C23" s="406"/>
      <c r="D23" s="406"/>
      <c r="E23" s="406"/>
      <c r="G23" s="664">
        <f>IF(B7="","",YEAR(G20))</f>
        <v>2013</v>
      </c>
    </row>
    <row r="24" spans="1:7" ht="15.75">
      <c r="A24" s="406"/>
      <c r="B24" s="406"/>
      <c r="C24" s="406"/>
      <c r="D24" s="406"/>
      <c r="E24" s="406"/>
    </row>
    <row r="25" spans="1:7" ht="15.75">
      <c r="A25" s="406" t="s">
        <v>411</v>
      </c>
      <c r="B25" s="406" t="s">
        <v>412</v>
      </c>
      <c r="C25" s="406"/>
      <c r="D25" s="406"/>
      <c r="E25" s="406"/>
    </row>
    <row r="26" spans="1:7" ht="15.75">
      <c r="A26" s="406"/>
      <c r="B26" s="406"/>
      <c r="C26" s="406"/>
      <c r="D26" s="406"/>
      <c r="E26" s="406"/>
    </row>
    <row r="27" spans="1:7" ht="15.75">
      <c r="A27" s="406" t="s">
        <v>413</v>
      </c>
      <c r="B27" s="406" t="s">
        <v>412</v>
      </c>
      <c r="C27" s="406"/>
      <c r="D27" s="406"/>
      <c r="E27" s="406"/>
    </row>
  </sheetData>
  <mergeCells count="2">
    <mergeCell ref="A2:F2"/>
    <mergeCell ref="A17:B17"/>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sheetPr>
    <tabColor rgb="FFFF0000"/>
  </sheetPr>
  <dimension ref="A3:G106"/>
  <sheetViews>
    <sheetView workbookViewId="0">
      <selection activeCell="A46" sqref="A46"/>
    </sheetView>
  </sheetViews>
  <sheetFormatPr defaultRowHeight="15"/>
  <cols>
    <col min="1" max="1" width="71.33203125" customWidth="1"/>
  </cols>
  <sheetData>
    <row r="3" spans="1:7">
      <c r="A3" s="411" t="s">
        <v>569</v>
      </c>
      <c r="B3" s="411"/>
      <c r="C3" s="411"/>
      <c r="D3" s="411"/>
      <c r="E3" s="411"/>
      <c r="F3" s="411"/>
      <c r="G3" s="411"/>
    </row>
    <row r="4" spans="1:7">
      <c r="A4" s="411"/>
      <c r="B4" s="411"/>
      <c r="C4" s="411"/>
      <c r="D4" s="411"/>
      <c r="E4" s="411"/>
      <c r="F4" s="411"/>
      <c r="G4" s="411"/>
    </row>
    <row r="5" spans="1:7">
      <c r="A5" s="412" t="s">
        <v>475</v>
      </c>
    </row>
    <row r="6" spans="1:7">
      <c r="A6" s="412" t="str">
        <f>CONCATENATE(inputPrYr!C10," estimated expenditures show that at the end of this year")</f>
        <v>2014 estimated expenditures show that at the end of this year</v>
      </c>
    </row>
    <row r="7" spans="1:7">
      <c r="A7" s="412" t="s">
        <v>570</v>
      </c>
    </row>
    <row r="8" spans="1:7">
      <c r="A8" s="412" t="s">
        <v>571</v>
      </c>
    </row>
    <row r="10" spans="1:7">
      <c r="A10" t="s">
        <v>477</v>
      </c>
    </row>
    <row r="11" spans="1:7">
      <c r="A11" t="s">
        <v>478</v>
      </c>
    </row>
    <row r="12" spans="1:7">
      <c r="A12" t="s">
        <v>479</v>
      </c>
    </row>
    <row r="13" spans="1:7">
      <c r="A13" s="411"/>
      <c r="B13" s="411"/>
      <c r="C13" s="411"/>
      <c r="D13" s="411"/>
      <c r="E13" s="411"/>
      <c r="F13" s="411"/>
      <c r="G13" s="411"/>
    </row>
    <row r="14" spans="1:7">
      <c r="A14" s="413" t="s">
        <v>572</v>
      </c>
    </row>
    <row r="15" spans="1:7">
      <c r="A15" s="412"/>
    </row>
    <row r="16" spans="1:7">
      <c r="A16" s="412" t="s">
        <v>573</v>
      </c>
    </row>
    <row r="17" spans="1:7">
      <c r="A17" s="412" t="s">
        <v>574</v>
      </c>
    </row>
    <row r="18" spans="1:7">
      <c r="A18" s="412" t="s">
        <v>575</v>
      </c>
    </row>
    <row r="19" spans="1:7">
      <c r="A19" s="412"/>
    </row>
    <row r="20" spans="1:7">
      <c r="A20" s="412" t="s">
        <v>576</v>
      </c>
    </row>
    <row r="21" spans="1:7">
      <c r="A21" s="412" t="s">
        <v>577</v>
      </c>
    </row>
    <row r="22" spans="1:7">
      <c r="A22" s="412" t="s">
        <v>578</v>
      </c>
    </row>
    <row r="23" spans="1:7">
      <c r="A23" s="412" t="s">
        <v>579</v>
      </c>
    </row>
    <row r="24" spans="1:7">
      <c r="A24" s="412"/>
    </row>
    <row r="25" spans="1:7">
      <c r="A25" s="413" t="s">
        <v>541</v>
      </c>
    </row>
    <row r="26" spans="1:7">
      <c r="A26" s="413"/>
    </row>
    <row r="27" spans="1:7">
      <c r="A27" s="412" t="s">
        <v>542</v>
      </c>
    </row>
    <row r="28" spans="1:7">
      <c r="A28" s="412" t="s">
        <v>543</v>
      </c>
      <c r="B28" s="412"/>
      <c r="C28" s="412"/>
      <c r="D28" s="412"/>
      <c r="E28" s="412"/>
      <c r="F28" s="412"/>
    </row>
    <row r="29" spans="1:7">
      <c r="A29" s="412" t="s">
        <v>544</v>
      </c>
      <c r="B29" s="412"/>
      <c r="C29" s="412"/>
      <c r="D29" s="412"/>
      <c r="E29" s="412"/>
      <c r="F29" s="412"/>
    </row>
    <row r="30" spans="1:7">
      <c r="A30" s="412" t="s">
        <v>545</v>
      </c>
      <c r="B30" s="412"/>
      <c r="C30" s="412"/>
      <c r="D30" s="412"/>
      <c r="E30" s="412"/>
      <c r="F30" s="412"/>
    </row>
    <row r="31" spans="1:7">
      <c r="A31" s="412"/>
    </row>
    <row r="32" spans="1:7">
      <c r="A32" s="413" t="s">
        <v>546</v>
      </c>
      <c r="B32" s="413"/>
      <c r="C32" s="413"/>
      <c r="D32" s="413"/>
      <c r="E32" s="413"/>
      <c r="F32" s="413"/>
      <c r="G32" s="413"/>
    </row>
    <row r="33" spans="1:7">
      <c r="A33" s="413" t="s">
        <v>547</v>
      </c>
      <c r="B33" s="413"/>
      <c r="C33" s="413"/>
      <c r="D33" s="413"/>
      <c r="E33" s="413"/>
      <c r="F33" s="413"/>
      <c r="G33" s="413"/>
    </row>
    <row r="34" spans="1:7">
      <c r="A34" s="413"/>
      <c r="B34" s="413"/>
      <c r="C34" s="413"/>
      <c r="D34" s="413"/>
      <c r="E34" s="413"/>
      <c r="F34" s="413"/>
      <c r="G34" s="413"/>
    </row>
    <row r="35" spans="1:7">
      <c r="A35" s="412" t="s">
        <v>580</v>
      </c>
      <c r="B35" s="412"/>
      <c r="C35" s="412"/>
      <c r="D35" s="412"/>
      <c r="E35" s="412"/>
      <c r="F35" s="412"/>
      <c r="G35" s="412"/>
    </row>
    <row r="36" spans="1:7">
      <c r="A36" s="412" t="s">
        <v>581</v>
      </c>
      <c r="B36" s="412"/>
      <c r="C36" s="412"/>
      <c r="D36" s="412"/>
      <c r="E36" s="412"/>
      <c r="F36" s="412"/>
      <c r="G36" s="412"/>
    </row>
    <row r="37" spans="1:7">
      <c r="A37" s="412" t="s">
        <v>582</v>
      </c>
      <c r="B37" s="412"/>
      <c r="C37" s="412"/>
      <c r="D37" s="412"/>
      <c r="E37" s="412"/>
      <c r="F37" s="412"/>
      <c r="G37" s="412"/>
    </row>
    <row r="38" spans="1:7">
      <c r="A38" s="412" t="s">
        <v>583</v>
      </c>
      <c r="B38" s="412"/>
      <c r="C38" s="412"/>
      <c r="D38" s="412"/>
      <c r="E38" s="412"/>
      <c r="F38" s="412"/>
      <c r="G38" s="412"/>
    </row>
    <row r="39" spans="1:7">
      <c r="A39" s="412" t="s">
        <v>584</v>
      </c>
      <c r="B39" s="412"/>
      <c r="C39" s="412"/>
      <c r="D39" s="412"/>
      <c r="E39" s="412"/>
      <c r="F39" s="412"/>
      <c r="G39" s="412"/>
    </row>
    <row r="40" spans="1:7">
      <c r="A40" s="413"/>
      <c r="B40" s="413"/>
      <c r="C40" s="413"/>
      <c r="D40" s="413"/>
      <c r="E40" s="413"/>
      <c r="F40" s="413"/>
      <c r="G40" s="413"/>
    </row>
    <row r="41" spans="1:7">
      <c r="A41" s="416" t="str">
        <f>CONCATENATE("So, let's look to see if any of your ",inputPrYr!C10-1," expenditures can")</f>
        <v>So, let's look to see if any of your 2013 expenditures can</v>
      </c>
      <c r="B41" s="412"/>
      <c r="C41" s="412"/>
      <c r="D41" s="412"/>
      <c r="E41" s="412"/>
      <c r="F41" s="412"/>
    </row>
    <row r="42" spans="1:7">
      <c r="A42" s="416" t="s">
        <v>548</v>
      </c>
      <c r="B42" s="412"/>
      <c r="C42" s="412"/>
      <c r="D42" s="412"/>
      <c r="E42" s="412"/>
      <c r="F42" s="412"/>
    </row>
    <row r="43" spans="1:7">
      <c r="A43" s="416" t="s">
        <v>432</v>
      </c>
      <c r="B43" s="412"/>
      <c r="C43" s="412"/>
      <c r="D43" s="412"/>
      <c r="E43" s="412"/>
      <c r="F43" s="412"/>
    </row>
    <row r="44" spans="1:7">
      <c r="A44" s="416" t="s">
        <v>433</v>
      </c>
      <c r="B44" s="412"/>
      <c r="C44" s="412"/>
      <c r="D44" s="412"/>
      <c r="E44" s="412"/>
      <c r="F44" s="412"/>
    </row>
    <row r="45" spans="1:7">
      <c r="A45" s="412"/>
    </row>
    <row r="46" spans="1:7">
      <c r="A46" s="416" t="str">
        <f>CONCATENATE("Additionally, do your ",inputPrYr!C10-1," receipts contain a reimbursement")</f>
        <v>Additionally, do your 2013 receipts contain a reimbursement</v>
      </c>
      <c r="B46" s="412"/>
      <c r="C46" s="412"/>
      <c r="D46" s="412"/>
      <c r="E46" s="412"/>
      <c r="F46" s="412"/>
    </row>
    <row r="47" spans="1:7">
      <c r="A47" s="416" t="s">
        <v>434</v>
      </c>
      <c r="B47" s="412"/>
      <c r="C47" s="412"/>
      <c r="D47" s="412"/>
      <c r="E47" s="412"/>
      <c r="F47" s="412"/>
    </row>
    <row r="48" spans="1:7">
      <c r="A48" s="416" t="s">
        <v>435</v>
      </c>
      <c r="B48" s="412"/>
      <c r="C48" s="412"/>
      <c r="D48" s="412"/>
      <c r="E48" s="412"/>
      <c r="F48" s="412"/>
    </row>
    <row r="49" spans="1:7">
      <c r="A49" s="412"/>
      <c r="B49" s="412"/>
      <c r="C49" s="412"/>
      <c r="D49" s="412"/>
      <c r="E49" s="412"/>
      <c r="F49" s="412"/>
      <c r="G49" s="412"/>
    </row>
    <row r="50" spans="1:7">
      <c r="A50" s="412" t="s">
        <v>502</v>
      </c>
      <c r="B50" s="412"/>
      <c r="C50" s="412"/>
      <c r="D50" s="412"/>
      <c r="E50" s="412"/>
      <c r="F50" s="412"/>
      <c r="G50" s="412"/>
    </row>
    <row r="51" spans="1:7">
      <c r="A51" s="412" t="s">
        <v>503</v>
      </c>
      <c r="B51" s="412"/>
      <c r="C51" s="412"/>
      <c r="D51" s="412"/>
      <c r="E51" s="412"/>
      <c r="F51" s="412"/>
      <c r="G51" s="412"/>
    </row>
    <row r="52" spans="1:7">
      <c r="A52" s="412" t="s">
        <v>504</v>
      </c>
      <c r="B52" s="412"/>
      <c r="C52" s="412"/>
      <c r="D52" s="412"/>
      <c r="E52" s="412"/>
      <c r="F52" s="412"/>
      <c r="G52" s="412"/>
    </row>
    <row r="53" spans="1:7">
      <c r="A53" s="412" t="s">
        <v>505</v>
      </c>
      <c r="B53" s="412"/>
      <c r="C53" s="412"/>
      <c r="D53" s="412"/>
      <c r="E53" s="412"/>
      <c r="F53" s="412"/>
      <c r="G53" s="412"/>
    </row>
    <row r="54" spans="1:7">
      <c r="A54" s="412" t="s">
        <v>506</v>
      </c>
      <c r="B54" s="412"/>
      <c r="C54" s="412"/>
      <c r="D54" s="412"/>
      <c r="E54" s="412"/>
      <c r="F54" s="412"/>
      <c r="G54" s="412"/>
    </row>
    <row r="55" spans="1:7">
      <c r="A55" s="412"/>
      <c r="B55" s="412"/>
      <c r="C55" s="412"/>
      <c r="D55" s="412"/>
      <c r="E55" s="412"/>
      <c r="F55" s="412"/>
      <c r="G55" s="412"/>
    </row>
    <row r="56" spans="1:7">
      <c r="A56" s="416" t="s">
        <v>444</v>
      </c>
      <c r="B56" s="412"/>
      <c r="C56" s="412"/>
      <c r="D56" s="412"/>
      <c r="E56" s="412"/>
      <c r="F56" s="412"/>
    </row>
    <row r="57" spans="1:7">
      <c r="A57" s="416" t="s">
        <v>445</v>
      </c>
      <c r="B57" s="412"/>
      <c r="C57" s="412"/>
      <c r="D57" s="412"/>
      <c r="E57" s="412"/>
      <c r="F57" s="412"/>
    </row>
    <row r="58" spans="1:7">
      <c r="A58" s="416" t="s">
        <v>446</v>
      </c>
      <c r="B58" s="412"/>
      <c r="C58" s="412"/>
      <c r="D58" s="412"/>
      <c r="E58" s="412"/>
      <c r="F58" s="412"/>
    </row>
    <row r="59" spans="1:7">
      <c r="A59" s="416"/>
      <c r="B59" s="412"/>
      <c r="C59" s="412"/>
      <c r="D59" s="412"/>
      <c r="E59" s="412"/>
      <c r="F59" s="412"/>
    </row>
    <row r="60" spans="1:7">
      <c r="A60" s="412" t="s">
        <v>585</v>
      </c>
      <c r="B60" s="412"/>
      <c r="C60" s="412"/>
      <c r="D60" s="412"/>
      <c r="E60" s="412"/>
      <c r="F60" s="412"/>
      <c r="G60" s="412"/>
    </row>
    <row r="61" spans="1:7">
      <c r="A61" s="412" t="s">
        <v>586</v>
      </c>
      <c r="B61" s="412"/>
      <c r="C61" s="412"/>
      <c r="D61" s="412"/>
      <c r="E61" s="412"/>
      <c r="F61" s="412"/>
      <c r="G61" s="412"/>
    </row>
    <row r="62" spans="1:7">
      <c r="A62" s="412" t="s">
        <v>587</v>
      </c>
      <c r="B62" s="412"/>
      <c r="C62" s="412"/>
      <c r="D62" s="412"/>
      <c r="E62" s="412"/>
      <c r="F62" s="412"/>
      <c r="G62" s="412"/>
    </row>
    <row r="63" spans="1:7">
      <c r="A63" s="412" t="s">
        <v>588</v>
      </c>
      <c r="B63" s="412"/>
      <c r="C63" s="412"/>
      <c r="D63" s="412"/>
      <c r="E63" s="412"/>
      <c r="F63" s="412"/>
      <c r="G63" s="412"/>
    </row>
    <row r="64" spans="1:7">
      <c r="A64" s="412" t="s">
        <v>589</v>
      </c>
      <c r="B64" s="412"/>
      <c r="C64" s="412"/>
      <c r="D64" s="412"/>
      <c r="E64" s="412"/>
      <c r="F64" s="412"/>
      <c r="G64" s="412"/>
    </row>
    <row r="66" spans="1:6">
      <c r="A66" s="416" t="s">
        <v>552</v>
      </c>
      <c r="B66" s="412"/>
      <c r="C66" s="412"/>
      <c r="D66" s="412"/>
      <c r="E66" s="412"/>
      <c r="F66" s="412"/>
    </row>
    <row r="67" spans="1:6">
      <c r="A67" s="416" t="s">
        <v>553</v>
      </c>
      <c r="B67" s="412"/>
      <c r="C67" s="412"/>
      <c r="D67" s="412"/>
      <c r="E67" s="412"/>
      <c r="F67" s="412"/>
    </row>
    <row r="68" spans="1:6">
      <c r="A68" s="416" t="s">
        <v>554</v>
      </c>
      <c r="B68" s="412"/>
      <c r="C68" s="412"/>
      <c r="D68" s="412"/>
      <c r="E68" s="412"/>
      <c r="F68" s="412"/>
    </row>
    <row r="69" spans="1:6">
      <c r="A69" s="416" t="s">
        <v>555</v>
      </c>
      <c r="B69" s="412"/>
      <c r="C69" s="412"/>
      <c r="D69" s="412"/>
      <c r="E69" s="412"/>
      <c r="F69" s="412"/>
    </row>
    <row r="70" spans="1:6">
      <c r="A70" s="416" t="s">
        <v>556</v>
      </c>
      <c r="B70" s="412"/>
      <c r="C70" s="412"/>
      <c r="D70" s="412"/>
      <c r="E70" s="412"/>
      <c r="F70" s="412"/>
    </row>
    <row r="71" spans="1:6">
      <c r="A71" s="412"/>
    </row>
    <row r="72" spans="1:6">
      <c r="A72" s="412" t="s">
        <v>473</v>
      </c>
    </row>
    <row r="73" spans="1:6">
      <c r="A73" s="412"/>
    </row>
    <row r="74" spans="1:6">
      <c r="A74" s="412"/>
    </row>
    <row r="75" spans="1:6">
      <c r="A75" s="412"/>
    </row>
    <row r="78" spans="1:6">
      <c r="A78" s="413"/>
    </row>
    <row r="80" spans="1:6">
      <c r="A80" s="412"/>
    </row>
    <row r="81" spans="1:1">
      <c r="A81" s="412"/>
    </row>
    <row r="82" spans="1:1">
      <c r="A82" s="412"/>
    </row>
    <row r="83" spans="1:1">
      <c r="A83" s="412"/>
    </row>
    <row r="84" spans="1:1">
      <c r="A84" s="412"/>
    </row>
    <row r="85" spans="1:1">
      <c r="A85" s="412"/>
    </row>
    <row r="86" spans="1:1">
      <c r="A86" s="412"/>
    </row>
    <row r="87" spans="1:1">
      <c r="A87" s="412"/>
    </row>
    <row r="88" spans="1:1">
      <c r="A88" s="412"/>
    </row>
    <row r="89" spans="1:1">
      <c r="A89" s="412"/>
    </row>
    <row r="90" spans="1:1">
      <c r="A90" s="412"/>
    </row>
    <row r="92" spans="1:1">
      <c r="A92" s="412"/>
    </row>
    <row r="93" spans="1:1">
      <c r="A93" s="412"/>
    </row>
    <row r="94" spans="1:1">
      <c r="A94" s="412"/>
    </row>
    <row r="95" spans="1:1">
      <c r="A95" s="412"/>
    </row>
    <row r="96" spans="1:1">
      <c r="A96" s="412"/>
    </row>
    <row r="97" spans="1:1">
      <c r="A97" s="412"/>
    </row>
    <row r="98" spans="1:1">
      <c r="A98" s="412"/>
    </row>
    <row r="99" spans="1:1">
      <c r="A99" s="412"/>
    </row>
    <row r="100" spans="1:1">
      <c r="A100" s="412"/>
    </row>
    <row r="101" spans="1:1">
      <c r="A101" s="412"/>
    </row>
    <row r="102" spans="1:1">
      <c r="A102" s="412"/>
    </row>
    <row r="103" spans="1:1">
      <c r="A103" s="412"/>
    </row>
    <row r="104" spans="1:1">
      <c r="A104" s="412"/>
    </row>
    <row r="105" spans="1:1">
      <c r="A105" s="412"/>
    </row>
    <row r="106" spans="1:1">
      <c r="A106" s="412"/>
    </row>
  </sheetData>
  <sheetProtection sheet="1" objects="1" scenarios="1"/>
  <pageMargins left="0.7" right="0.7" top="0.75" bottom="0.75" header="0.3" footer="0.3"/>
  <pageSetup orientation="portrait" r:id="rId1"/>
  <headerFooter>
    <oddFooter>&amp;Lrevised 10/02/09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H52"/>
  <sheetViews>
    <sheetView workbookViewId="0">
      <selection activeCell="A8" sqref="A8"/>
    </sheetView>
  </sheetViews>
  <sheetFormatPr defaultRowHeight="15"/>
  <cols>
    <col min="1" max="1" width="71.33203125" customWidth="1"/>
  </cols>
  <sheetData>
    <row r="3" spans="1:7">
      <c r="A3" s="411" t="s">
        <v>590</v>
      </c>
      <c r="B3" s="411"/>
      <c r="C3" s="411"/>
      <c r="D3" s="411"/>
      <c r="E3" s="411"/>
      <c r="F3" s="411"/>
      <c r="G3" s="411"/>
    </row>
    <row r="4" spans="1:7">
      <c r="A4" s="411" t="s">
        <v>591</v>
      </c>
      <c r="B4" s="411"/>
      <c r="C4" s="411"/>
      <c r="D4" s="411"/>
      <c r="E4" s="411"/>
      <c r="F4" s="411"/>
      <c r="G4" s="411"/>
    </row>
    <row r="5" spans="1:7">
      <c r="A5" s="411"/>
      <c r="B5" s="411"/>
      <c r="C5" s="411"/>
      <c r="D5" s="411"/>
      <c r="E5" s="411"/>
      <c r="F5" s="411"/>
      <c r="G5" s="411"/>
    </row>
    <row r="6" spans="1:7">
      <c r="A6" s="411"/>
      <c r="B6" s="411"/>
      <c r="C6" s="411"/>
      <c r="D6" s="411"/>
      <c r="E6" s="411"/>
      <c r="F6" s="411"/>
      <c r="G6" s="411"/>
    </row>
    <row r="7" spans="1:7">
      <c r="A7" s="412" t="s">
        <v>418</v>
      </c>
    </row>
    <row r="8" spans="1:7">
      <c r="A8" s="412" t="str">
        <f>CONCATENATE("estimated ",inputPrYr!C10," 'total expenditures' exceed your ",inputPrYr!C10,"")</f>
        <v>estimated 2014 'total expenditures' exceed your 2014</v>
      </c>
    </row>
    <row r="9" spans="1:7">
      <c r="A9" s="415" t="s">
        <v>592</v>
      </c>
    </row>
    <row r="10" spans="1:7">
      <c r="A10" s="412"/>
    </row>
    <row r="11" spans="1:7">
      <c r="A11" s="412" t="s">
        <v>593</v>
      </c>
    </row>
    <row r="12" spans="1:7">
      <c r="A12" s="412" t="s">
        <v>594</v>
      </c>
    </row>
    <row r="13" spans="1:7">
      <c r="A13" s="412" t="s">
        <v>595</v>
      </c>
    </row>
    <row r="14" spans="1:7">
      <c r="A14" s="412"/>
    </row>
    <row r="15" spans="1:7">
      <c r="A15" s="413" t="s">
        <v>596</v>
      </c>
    </row>
    <row r="16" spans="1:7">
      <c r="A16" s="411"/>
      <c r="B16" s="411"/>
      <c r="C16" s="411"/>
      <c r="D16" s="411"/>
      <c r="E16" s="411"/>
      <c r="F16" s="411"/>
      <c r="G16" s="411"/>
    </row>
    <row r="17" spans="1:8">
      <c r="A17" s="418" t="s">
        <v>597</v>
      </c>
      <c r="B17" s="419"/>
      <c r="C17" s="419"/>
      <c r="D17" s="419"/>
      <c r="E17" s="419"/>
      <c r="F17" s="419"/>
      <c r="G17" s="419"/>
      <c r="H17" s="419"/>
    </row>
    <row r="18" spans="1:8">
      <c r="A18" s="412" t="s">
        <v>598</v>
      </c>
      <c r="B18" s="420"/>
      <c r="C18" s="420"/>
      <c r="D18" s="420"/>
      <c r="E18" s="420"/>
      <c r="F18" s="420"/>
      <c r="G18" s="420"/>
    </row>
    <row r="19" spans="1:8">
      <c r="A19" s="412" t="s">
        <v>599</v>
      </c>
    </row>
    <row r="20" spans="1:8">
      <c r="A20" s="412" t="s">
        <v>600</v>
      </c>
    </row>
    <row r="22" spans="1:8">
      <c r="A22" s="413" t="s">
        <v>601</v>
      </c>
    </row>
    <row r="24" spans="1:8">
      <c r="A24" s="412" t="s">
        <v>602</v>
      </c>
    </row>
    <row r="25" spans="1:8">
      <c r="A25" s="412" t="s">
        <v>603</v>
      </c>
    </row>
    <row r="26" spans="1:8">
      <c r="A26" s="412" t="s">
        <v>604</v>
      </c>
    </row>
    <row r="28" spans="1:8">
      <c r="A28" s="413" t="s">
        <v>605</v>
      </c>
    </row>
    <row r="30" spans="1:8">
      <c r="A30" t="s">
        <v>606</v>
      </c>
    </row>
    <row r="31" spans="1:8">
      <c r="A31" t="s">
        <v>607</v>
      </c>
    </row>
    <row r="32" spans="1:8">
      <c r="A32" t="s">
        <v>608</v>
      </c>
    </row>
    <row r="33" spans="1:1">
      <c r="A33" s="412" t="s">
        <v>609</v>
      </c>
    </row>
    <row r="35" spans="1:1">
      <c r="A35" t="s">
        <v>610</v>
      </c>
    </row>
    <row r="36" spans="1:1">
      <c r="A36" t="s">
        <v>611</v>
      </c>
    </row>
    <row r="37" spans="1:1">
      <c r="A37" t="s">
        <v>612</v>
      </c>
    </row>
    <row r="38" spans="1:1">
      <c r="A38" t="s">
        <v>613</v>
      </c>
    </row>
    <row r="40" spans="1:1">
      <c r="A40" t="s">
        <v>614</v>
      </c>
    </row>
    <row r="41" spans="1:1">
      <c r="A41" t="s">
        <v>615</v>
      </c>
    </row>
    <row r="42" spans="1:1">
      <c r="A42" t="s">
        <v>616</v>
      </c>
    </row>
    <row r="43" spans="1:1">
      <c r="A43" t="s">
        <v>617</v>
      </c>
    </row>
    <row r="44" spans="1:1">
      <c r="A44" t="s">
        <v>618</v>
      </c>
    </row>
    <row r="45" spans="1:1">
      <c r="A45" t="s">
        <v>619</v>
      </c>
    </row>
    <row r="47" spans="1:1">
      <c r="A47" t="s">
        <v>620</v>
      </c>
    </row>
    <row r="48" spans="1:1">
      <c r="A48" t="s">
        <v>621</v>
      </c>
    </row>
    <row r="49" spans="1:1">
      <c r="A49" s="412" t="s">
        <v>622</v>
      </c>
    </row>
    <row r="50" spans="1:1">
      <c r="A50" s="412" t="s">
        <v>623</v>
      </c>
    </row>
    <row r="52" spans="1:1">
      <c r="A52" t="s">
        <v>473</v>
      </c>
    </row>
  </sheetData>
  <sheetProtection sheet="1"/>
  <pageMargins left="0.7" right="0.7" top="0.75" bottom="0.75" header="0.3" footer="0.3"/>
  <pageSetup orientation="portrait" r:id="rId1"/>
  <headerFooter>
    <oddFooter>&amp;Lrevised 10/02/09</oddFooter>
  </headerFooter>
</worksheet>
</file>

<file path=xl/worksheets/sheet42.xml><?xml version="1.0" encoding="utf-8"?>
<worksheet xmlns="http://schemas.openxmlformats.org/spreadsheetml/2006/main" xmlns:r="http://schemas.openxmlformats.org/officeDocument/2006/relationships">
  <dimension ref="A1:X354"/>
  <sheetViews>
    <sheetView topLeftCell="A55" zoomScaleNormal="100" workbookViewId="0">
      <selection sqref="A1:IV65536"/>
    </sheetView>
  </sheetViews>
  <sheetFormatPr defaultColWidth="8.88671875" defaultRowHeight="14.25"/>
  <cols>
    <col min="1" max="1" width="7.5546875" style="509" customWidth="1"/>
    <col min="2" max="2" width="11.21875" style="508" customWidth="1"/>
    <col min="3" max="3" width="7.44140625" style="508" customWidth="1"/>
    <col min="4" max="4" width="8.88671875" style="508"/>
    <col min="5" max="5" width="1.5546875" style="508" customWidth="1"/>
    <col min="6" max="6" width="14.33203125" style="508" customWidth="1"/>
    <col min="7" max="7" width="2.5546875" style="508" customWidth="1"/>
    <col min="8" max="8" width="9.77734375" style="508" customWidth="1"/>
    <col min="9" max="9" width="2" style="508" customWidth="1"/>
    <col min="10" max="10" width="8.5546875" style="508" customWidth="1"/>
    <col min="11" max="11" width="11.6640625" style="508" customWidth="1"/>
    <col min="12" max="12" width="7.5546875" style="509" customWidth="1"/>
    <col min="13" max="14" width="8.88671875" style="509"/>
    <col min="15" max="15" width="9.88671875" style="509" bestFit="1" customWidth="1"/>
    <col min="16" max="16384" width="8.88671875" style="509"/>
  </cols>
  <sheetData>
    <row r="1" spans="1:12">
      <c r="A1" s="510"/>
      <c r="B1" s="510"/>
      <c r="C1" s="510"/>
      <c r="D1" s="510"/>
      <c r="E1" s="510"/>
      <c r="F1" s="510"/>
      <c r="G1" s="510"/>
      <c r="H1" s="510"/>
      <c r="I1" s="510"/>
      <c r="J1" s="510"/>
      <c r="K1" s="510"/>
      <c r="L1" s="510"/>
    </row>
    <row r="2" spans="1:12">
      <c r="A2" s="510"/>
      <c r="B2" s="510"/>
      <c r="C2" s="510"/>
      <c r="D2" s="510"/>
      <c r="E2" s="510"/>
      <c r="F2" s="510"/>
      <c r="G2" s="510"/>
      <c r="H2" s="510"/>
      <c r="I2" s="510"/>
      <c r="J2" s="510"/>
      <c r="K2" s="510"/>
      <c r="L2" s="510"/>
    </row>
    <row r="3" spans="1:12">
      <c r="A3" s="510"/>
      <c r="B3" s="510"/>
      <c r="C3" s="510"/>
      <c r="D3" s="510"/>
      <c r="E3" s="510"/>
      <c r="F3" s="510"/>
      <c r="G3" s="510"/>
      <c r="H3" s="510"/>
      <c r="I3" s="510"/>
      <c r="J3" s="510"/>
      <c r="K3" s="510"/>
      <c r="L3" s="510"/>
    </row>
    <row r="4" spans="1:12">
      <c r="A4" s="510"/>
      <c r="L4" s="510"/>
    </row>
    <row r="5" spans="1:12" ht="15" customHeight="1">
      <c r="A5" s="510"/>
      <c r="L5" s="510"/>
    </row>
    <row r="6" spans="1:12" ht="33" customHeight="1">
      <c r="A6" s="510"/>
      <c r="B6" s="964" t="s">
        <v>696</v>
      </c>
      <c r="C6" s="969"/>
      <c r="D6" s="969"/>
      <c r="E6" s="969"/>
      <c r="F6" s="969"/>
      <c r="G6" s="969"/>
      <c r="H6" s="969"/>
      <c r="I6" s="969"/>
      <c r="J6" s="969"/>
      <c r="K6" s="969"/>
      <c r="L6" s="507"/>
    </row>
    <row r="7" spans="1:12" ht="40.5" customHeight="1">
      <c r="A7" s="510"/>
      <c r="B7" s="983" t="s">
        <v>697</v>
      </c>
      <c r="C7" s="984"/>
      <c r="D7" s="984"/>
      <c r="E7" s="984"/>
      <c r="F7" s="984"/>
      <c r="G7" s="984"/>
      <c r="H7" s="984"/>
      <c r="I7" s="984"/>
      <c r="J7" s="984"/>
      <c r="K7" s="984"/>
      <c r="L7" s="510"/>
    </row>
    <row r="8" spans="1:12">
      <c r="A8" s="510"/>
      <c r="B8" s="974" t="s">
        <v>698</v>
      </c>
      <c r="C8" s="974"/>
      <c r="D8" s="974"/>
      <c r="E8" s="974"/>
      <c r="F8" s="974"/>
      <c r="G8" s="974"/>
      <c r="H8" s="974"/>
      <c r="I8" s="974"/>
      <c r="J8" s="974"/>
      <c r="K8" s="974"/>
      <c r="L8" s="510"/>
    </row>
    <row r="9" spans="1:12">
      <c r="A9" s="510"/>
      <c r="L9" s="510"/>
    </row>
    <row r="10" spans="1:12">
      <c r="A10" s="510"/>
      <c r="B10" s="974" t="s">
        <v>699</v>
      </c>
      <c r="C10" s="974"/>
      <c r="D10" s="974"/>
      <c r="E10" s="974"/>
      <c r="F10" s="974"/>
      <c r="G10" s="974"/>
      <c r="H10" s="974"/>
      <c r="I10" s="974"/>
      <c r="J10" s="974"/>
      <c r="K10" s="974"/>
      <c r="L10" s="510"/>
    </row>
    <row r="11" spans="1:12">
      <c r="A11" s="510"/>
      <c r="B11" s="609"/>
      <c r="C11" s="609"/>
      <c r="D11" s="609"/>
      <c r="E11" s="609"/>
      <c r="F11" s="609"/>
      <c r="G11" s="609"/>
      <c r="H11" s="609"/>
      <c r="I11" s="609"/>
      <c r="J11" s="609"/>
      <c r="K11" s="609"/>
      <c r="L11" s="510"/>
    </row>
    <row r="12" spans="1:12" ht="32.25" customHeight="1">
      <c r="A12" s="510"/>
      <c r="B12" s="963" t="s">
        <v>700</v>
      </c>
      <c r="C12" s="963"/>
      <c r="D12" s="963"/>
      <c r="E12" s="963"/>
      <c r="F12" s="963"/>
      <c r="G12" s="963"/>
      <c r="H12" s="963"/>
      <c r="I12" s="963"/>
      <c r="J12" s="963"/>
      <c r="K12" s="963"/>
      <c r="L12" s="510"/>
    </row>
    <row r="13" spans="1:12">
      <c r="A13" s="510"/>
      <c r="L13" s="510"/>
    </row>
    <row r="14" spans="1:12">
      <c r="A14" s="510"/>
      <c r="B14" s="506" t="s">
        <v>701</v>
      </c>
      <c r="L14" s="510"/>
    </row>
    <row r="15" spans="1:12">
      <c r="A15" s="510"/>
      <c r="L15" s="510"/>
    </row>
    <row r="16" spans="1:12">
      <c r="A16" s="510"/>
      <c r="B16" s="508" t="s">
        <v>702</v>
      </c>
      <c r="L16" s="510"/>
    </row>
    <row r="17" spans="1:12">
      <c r="A17" s="510"/>
      <c r="B17" s="508" t="s">
        <v>703</v>
      </c>
      <c r="L17" s="510"/>
    </row>
    <row r="18" spans="1:12">
      <c r="A18" s="510"/>
      <c r="L18" s="510"/>
    </row>
    <row r="19" spans="1:12">
      <c r="A19" s="510"/>
      <c r="B19" s="506" t="s">
        <v>883</v>
      </c>
      <c r="L19" s="510"/>
    </row>
    <row r="20" spans="1:12">
      <c r="A20" s="510"/>
      <c r="B20" s="506"/>
      <c r="L20" s="510"/>
    </row>
    <row r="21" spans="1:12">
      <c r="A21" s="510"/>
      <c r="B21" s="508" t="s">
        <v>884</v>
      </c>
      <c r="L21" s="510"/>
    </row>
    <row r="22" spans="1:12">
      <c r="A22" s="510"/>
      <c r="L22" s="510"/>
    </row>
    <row r="23" spans="1:12">
      <c r="A23" s="510"/>
      <c r="B23" s="508" t="s">
        <v>704</v>
      </c>
      <c r="E23" s="508" t="s">
        <v>705</v>
      </c>
      <c r="F23" s="965">
        <v>312000000</v>
      </c>
      <c r="G23" s="965"/>
      <c r="L23" s="510"/>
    </row>
    <row r="24" spans="1:12">
      <c r="A24" s="510"/>
      <c r="L24" s="510"/>
    </row>
    <row r="25" spans="1:12">
      <c r="A25" s="510"/>
      <c r="C25" s="982">
        <f>F23</f>
        <v>312000000</v>
      </c>
      <c r="D25" s="982"/>
      <c r="E25" s="508" t="s">
        <v>706</v>
      </c>
      <c r="F25" s="505">
        <v>1000</v>
      </c>
      <c r="G25" s="505" t="s">
        <v>705</v>
      </c>
      <c r="H25" s="610">
        <f>F23/F25</f>
        <v>312000</v>
      </c>
      <c r="L25" s="510"/>
    </row>
    <row r="26" spans="1:12" ht="15" thickBot="1">
      <c r="A26" s="510"/>
      <c r="L26" s="510"/>
    </row>
    <row r="27" spans="1:12">
      <c r="A27" s="510"/>
      <c r="B27" s="504" t="s">
        <v>701</v>
      </c>
      <c r="C27" s="503"/>
      <c r="D27" s="503"/>
      <c r="E27" s="503"/>
      <c r="F27" s="503"/>
      <c r="G27" s="503"/>
      <c r="H27" s="503"/>
      <c r="I27" s="503"/>
      <c r="J27" s="503"/>
      <c r="K27" s="502"/>
      <c r="L27" s="510"/>
    </row>
    <row r="28" spans="1:12">
      <c r="A28" s="510"/>
      <c r="B28" s="501">
        <f>F23</f>
        <v>312000000</v>
      </c>
      <c r="C28" s="500" t="s">
        <v>707</v>
      </c>
      <c r="D28" s="500"/>
      <c r="E28" s="500" t="s">
        <v>706</v>
      </c>
      <c r="F28" s="612">
        <v>1000</v>
      </c>
      <c r="G28" s="612" t="s">
        <v>705</v>
      </c>
      <c r="H28" s="499">
        <f>B28/F28</f>
        <v>312000</v>
      </c>
      <c r="I28" s="500" t="s">
        <v>708</v>
      </c>
      <c r="J28" s="500"/>
      <c r="K28" s="498"/>
      <c r="L28" s="510"/>
    </row>
    <row r="29" spans="1:12" ht="15" thickBot="1">
      <c r="A29" s="510"/>
      <c r="B29" s="449"/>
      <c r="C29" s="495"/>
      <c r="D29" s="495"/>
      <c r="E29" s="495"/>
      <c r="F29" s="495"/>
      <c r="G29" s="495"/>
      <c r="H29" s="495"/>
      <c r="I29" s="495"/>
      <c r="J29" s="495"/>
      <c r="K29" s="494"/>
      <c r="L29" s="510"/>
    </row>
    <row r="30" spans="1:12" ht="40.5" customHeight="1">
      <c r="A30" s="510"/>
      <c r="B30" s="966" t="s">
        <v>697</v>
      </c>
      <c r="C30" s="966"/>
      <c r="D30" s="966"/>
      <c r="E30" s="966"/>
      <c r="F30" s="966"/>
      <c r="G30" s="966"/>
      <c r="H30" s="966"/>
      <c r="I30" s="966"/>
      <c r="J30" s="966"/>
      <c r="K30" s="966"/>
      <c r="L30" s="510"/>
    </row>
    <row r="31" spans="1:12">
      <c r="A31" s="510"/>
      <c r="B31" s="974" t="s">
        <v>709</v>
      </c>
      <c r="C31" s="974"/>
      <c r="D31" s="974"/>
      <c r="E31" s="974"/>
      <c r="F31" s="974"/>
      <c r="G31" s="974"/>
      <c r="H31" s="974"/>
      <c r="I31" s="974"/>
      <c r="J31" s="974"/>
      <c r="K31" s="974"/>
      <c r="L31" s="510"/>
    </row>
    <row r="32" spans="1:12">
      <c r="A32" s="510"/>
      <c r="L32" s="510"/>
    </row>
    <row r="33" spans="1:12">
      <c r="A33" s="510"/>
      <c r="B33" s="974" t="s">
        <v>710</v>
      </c>
      <c r="C33" s="974"/>
      <c r="D33" s="974"/>
      <c r="E33" s="974"/>
      <c r="F33" s="974"/>
      <c r="G33" s="974"/>
      <c r="H33" s="974"/>
      <c r="I33" s="974"/>
      <c r="J33" s="974"/>
      <c r="K33" s="974"/>
      <c r="L33" s="510"/>
    </row>
    <row r="34" spans="1:12">
      <c r="A34" s="510"/>
      <c r="L34" s="510"/>
    </row>
    <row r="35" spans="1:12" ht="89.25" customHeight="1">
      <c r="A35" s="510"/>
      <c r="B35" s="963" t="s">
        <v>711</v>
      </c>
      <c r="C35" s="973"/>
      <c r="D35" s="973"/>
      <c r="E35" s="973"/>
      <c r="F35" s="973"/>
      <c r="G35" s="973"/>
      <c r="H35" s="973"/>
      <c r="I35" s="973"/>
      <c r="J35" s="973"/>
      <c r="K35" s="973"/>
      <c r="L35" s="510"/>
    </row>
    <row r="36" spans="1:12">
      <c r="A36" s="510"/>
      <c r="L36" s="510"/>
    </row>
    <row r="37" spans="1:12">
      <c r="A37" s="510"/>
      <c r="B37" s="506" t="s">
        <v>712</v>
      </c>
      <c r="L37" s="510"/>
    </row>
    <row r="38" spans="1:12">
      <c r="A38" s="510"/>
      <c r="L38" s="510"/>
    </row>
    <row r="39" spans="1:12">
      <c r="A39" s="510"/>
      <c r="B39" s="508" t="s">
        <v>713</v>
      </c>
      <c r="L39" s="510"/>
    </row>
    <row r="40" spans="1:12">
      <c r="A40" s="510"/>
      <c r="L40" s="510"/>
    </row>
    <row r="41" spans="1:12">
      <c r="A41" s="510"/>
      <c r="C41" s="975">
        <v>312000000</v>
      </c>
      <c r="D41" s="975"/>
      <c r="E41" s="508" t="s">
        <v>706</v>
      </c>
      <c r="F41" s="505">
        <v>1000</v>
      </c>
      <c r="G41" s="505" t="s">
        <v>705</v>
      </c>
      <c r="H41" s="450">
        <f>C41/F41</f>
        <v>312000</v>
      </c>
      <c r="L41" s="510"/>
    </row>
    <row r="42" spans="1:12">
      <c r="A42" s="510"/>
      <c r="L42" s="510"/>
    </row>
    <row r="43" spans="1:12">
      <c r="A43" s="510"/>
      <c r="B43" s="508" t="s">
        <v>714</v>
      </c>
      <c r="L43" s="510"/>
    </row>
    <row r="44" spans="1:12">
      <c r="A44" s="510"/>
      <c r="L44" s="510"/>
    </row>
    <row r="45" spans="1:12">
      <c r="A45" s="510"/>
      <c r="B45" s="508" t="s">
        <v>715</v>
      </c>
      <c r="L45" s="510"/>
    </row>
    <row r="46" spans="1:12" ht="15" thickBot="1">
      <c r="A46" s="510"/>
      <c r="L46" s="510"/>
    </row>
    <row r="47" spans="1:12">
      <c r="A47" s="510"/>
      <c r="B47" s="451" t="s">
        <v>701</v>
      </c>
      <c r="C47" s="503"/>
      <c r="D47" s="503"/>
      <c r="E47" s="503"/>
      <c r="F47" s="503"/>
      <c r="G47" s="503"/>
      <c r="H47" s="503"/>
      <c r="I47" s="503"/>
      <c r="J47" s="503"/>
      <c r="K47" s="502"/>
      <c r="L47" s="510"/>
    </row>
    <row r="48" spans="1:12">
      <c r="A48" s="510"/>
      <c r="B48" s="976">
        <v>312000000</v>
      </c>
      <c r="C48" s="965"/>
      <c r="D48" s="500" t="s">
        <v>716</v>
      </c>
      <c r="E48" s="500" t="s">
        <v>706</v>
      </c>
      <c r="F48" s="612">
        <v>1000</v>
      </c>
      <c r="G48" s="612" t="s">
        <v>705</v>
      </c>
      <c r="H48" s="499">
        <f>B48/F48</f>
        <v>312000</v>
      </c>
      <c r="I48" s="500" t="s">
        <v>717</v>
      </c>
      <c r="J48" s="500"/>
      <c r="K48" s="498"/>
      <c r="L48" s="510"/>
    </row>
    <row r="49" spans="1:24">
      <c r="A49" s="510"/>
      <c r="B49" s="452"/>
      <c r="C49" s="500"/>
      <c r="D49" s="500"/>
      <c r="E49" s="500"/>
      <c r="F49" s="500"/>
      <c r="G49" s="500"/>
      <c r="H49" s="500"/>
      <c r="I49" s="500"/>
      <c r="J49" s="500"/>
      <c r="K49" s="498"/>
      <c r="L49" s="510"/>
    </row>
    <row r="50" spans="1:24">
      <c r="A50" s="510"/>
      <c r="B50" s="453">
        <v>50000</v>
      </c>
      <c r="C50" s="500" t="s">
        <v>718</v>
      </c>
      <c r="D50" s="500"/>
      <c r="E50" s="500" t="s">
        <v>706</v>
      </c>
      <c r="F50" s="499">
        <f>H48</f>
        <v>312000</v>
      </c>
      <c r="G50" s="977" t="s">
        <v>719</v>
      </c>
      <c r="H50" s="978"/>
      <c r="I50" s="612" t="s">
        <v>705</v>
      </c>
      <c r="J50" s="454">
        <f>B50/F50</f>
        <v>0.16025641025641027</v>
      </c>
      <c r="K50" s="498"/>
      <c r="L50" s="510"/>
    </row>
    <row r="51" spans="1:24" ht="15" thickBot="1">
      <c r="A51" s="510"/>
      <c r="B51" s="449"/>
      <c r="C51" s="495"/>
      <c r="D51" s="495"/>
      <c r="E51" s="495"/>
      <c r="F51" s="495"/>
      <c r="G51" s="495"/>
      <c r="H51" s="495"/>
      <c r="I51" s="980" t="s">
        <v>720</v>
      </c>
      <c r="J51" s="980"/>
      <c r="K51" s="981"/>
      <c r="L51" s="510"/>
      <c r="O51" s="590"/>
    </row>
    <row r="52" spans="1:24" ht="40.5" customHeight="1">
      <c r="A52" s="510"/>
      <c r="B52" s="966" t="s">
        <v>697</v>
      </c>
      <c r="C52" s="966"/>
      <c r="D52" s="966"/>
      <c r="E52" s="966"/>
      <c r="F52" s="966"/>
      <c r="G52" s="966"/>
      <c r="H52" s="966"/>
      <c r="I52" s="966"/>
      <c r="J52" s="966"/>
      <c r="K52" s="966"/>
      <c r="L52" s="510"/>
    </row>
    <row r="53" spans="1:24">
      <c r="A53" s="510"/>
      <c r="B53" s="974" t="s">
        <v>721</v>
      </c>
      <c r="C53" s="974"/>
      <c r="D53" s="974"/>
      <c r="E53" s="974"/>
      <c r="F53" s="974"/>
      <c r="G53" s="974"/>
      <c r="H53" s="974"/>
      <c r="I53" s="974"/>
      <c r="J53" s="974"/>
      <c r="K53" s="974"/>
      <c r="L53" s="510"/>
    </row>
    <row r="54" spans="1:24">
      <c r="A54" s="510"/>
      <c r="B54" s="609"/>
      <c r="C54" s="609"/>
      <c r="D54" s="609"/>
      <c r="E54" s="609"/>
      <c r="F54" s="609"/>
      <c r="G54" s="609"/>
      <c r="H54" s="609"/>
      <c r="I54" s="609"/>
      <c r="J54" s="609"/>
      <c r="K54" s="609"/>
      <c r="L54" s="510"/>
    </row>
    <row r="55" spans="1:24">
      <c r="A55" s="510"/>
      <c r="B55" s="964" t="s">
        <v>722</v>
      </c>
      <c r="C55" s="964"/>
      <c r="D55" s="964"/>
      <c r="E55" s="964"/>
      <c r="F55" s="964"/>
      <c r="G55" s="964"/>
      <c r="H55" s="964"/>
      <c r="I55" s="964"/>
      <c r="J55" s="964"/>
      <c r="K55" s="964"/>
      <c r="L55" s="510"/>
    </row>
    <row r="56" spans="1:24" ht="15" customHeight="1">
      <c r="A56" s="510"/>
      <c r="L56" s="510"/>
    </row>
    <row r="57" spans="1:24" ht="74.25" customHeight="1">
      <c r="A57" s="510"/>
      <c r="B57" s="963" t="s">
        <v>723</v>
      </c>
      <c r="C57" s="973"/>
      <c r="D57" s="973"/>
      <c r="E57" s="973"/>
      <c r="F57" s="973"/>
      <c r="G57" s="973"/>
      <c r="H57" s="973"/>
      <c r="I57" s="973"/>
      <c r="J57" s="973"/>
      <c r="K57" s="973"/>
      <c r="L57" s="510"/>
      <c r="M57" s="455"/>
      <c r="N57" s="456"/>
      <c r="O57" s="456"/>
      <c r="P57" s="456"/>
      <c r="Q57" s="456"/>
      <c r="R57" s="456"/>
      <c r="S57" s="456"/>
      <c r="T57" s="456"/>
      <c r="U57" s="456"/>
      <c r="V57" s="456"/>
      <c r="W57" s="456"/>
      <c r="X57" s="456"/>
    </row>
    <row r="58" spans="1:24" ht="15" customHeight="1">
      <c r="A58" s="510"/>
      <c r="B58" s="963"/>
      <c r="C58" s="973"/>
      <c r="D58" s="973"/>
      <c r="E58" s="973"/>
      <c r="F58" s="973"/>
      <c r="G58" s="973"/>
      <c r="H58" s="973"/>
      <c r="I58" s="973"/>
      <c r="J58" s="973"/>
      <c r="K58" s="973"/>
      <c r="L58" s="510"/>
      <c r="M58" s="455"/>
      <c r="N58" s="456"/>
      <c r="O58" s="456"/>
      <c r="P58" s="456"/>
      <c r="Q58" s="456"/>
      <c r="R58" s="456"/>
      <c r="S58" s="456"/>
      <c r="T58" s="456"/>
      <c r="U58" s="456"/>
      <c r="V58" s="456"/>
      <c r="W58" s="456"/>
      <c r="X58" s="456"/>
    </row>
    <row r="59" spans="1:24">
      <c r="A59" s="510"/>
      <c r="B59" s="506" t="s">
        <v>712</v>
      </c>
      <c r="L59" s="510"/>
      <c r="M59" s="456"/>
      <c r="N59" s="456"/>
      <c r="O59" s="456"/>
      <c r="P59" s="456"/>
      <c r="Q59" s="456"/>
      <c r="R59" s="456"/>
      <c r="S59" s="456"/>
      <c r="T59" s="456"/>
      <c r="U59" s="456"/>
      <c r="V59" s="456"/>
      <c r="W59" s="456"/>
      <c r="X59" s="456"/>
    </row>
    <row r="60" spans="1:24">
      <c r="A60" s="510"/>
      <c r="L60" s="510"/>
      <c r="M60" s="456"/>
      <c r="N60" s="456"/>
      <c r="O60" s="456"/>
      <c r="P60" s="456"/>
      <c r="Q60" s="456"/>
      <c r="R60" s="456"/>
      <c r="S60" s="456"/>
      <c r="T60" s="456"/>
      <c r="U60" s="456"/>
      <c r="V60" s="456"/>
      <c r="W60" s="456"/>
      <c r="X60" s="456"/>
    </row>
    <row r="61" spans="1:24">
      <c r="A61" s="510"/>
      <c r="B61" s="508" t="s">
        <v>724</v>
      </c>
      <c r="L61" s="510"/>
      <c r="M61" s="456"/>
      <c r="N61" s="456"/>
      <c r="O61" s="456"/>
      <c r="P61" s="456"/>
      <c r="Q61" s="456"/>
      <c r="R61" s="456"/>
      <c r="S61" s="456"/>
      <c r="T61" s="456"/>
      <c r="U61" s="456"/>
      <c r="V61" s="456"/>
      <c r="W61" s="456"/>
      <c r="X61" s="456"/>
    </row>
    <row r="62" spans="1:24">
      <c r="A62" s="510"/>
      <c r="B62" s="508" t="s">
        <v>885</v>
      </c>
      <c r="L62" s="510"/>
      <c r="M62" s="456"/>
      <c r="N62" s="456"/>
      <c r="O62" s="456"/>
      <c r="P62" s="456"/>
      <c r="Q62" s="456"/>
      <c r="R62" s="456"/>
      <c r="S62" s="456"/>
      <c r="T62" s="456"/>
      <c r="U62" s="456"/>
      <c r="V62" s="456"/>
      <c r="W62" s="456"/>
      <c r="X62" s="456"/>
    </row>
    <row r="63" spans="1:24">
      <c r="A63" s="510"/>
      <c r="B63" s="508" t="s">
        <v>886</v>
      </c>
      <c r="L63" s="510"/>
      <c r="M63" s="456"/>
      <c r="N63" s="456"/>
      <c r="O63" s="456"/>
      <c r="P63" s="456"/>
      <c r="Q63" s="456"/>
      <c r="R63" s="456"/>
      <c r="S63" s="456"/>
      <c r="T63" s="456"/>
      <c r="U63" s="456"/>
      <c r="V63" s="456"/>
      <c r="W63" s="456"/>
      <c r="X63" s="456"/>
    </row>
    <row r="64" spans="1:24">
      <c r="A64" s="510"/>
      <c r="L64" s="510"/>
      <c r="M64" s="456"/>
      <c r="N64" s="456"/>
      <c r="O64" s="456"/>
      <c r="P64" s="456"/>
      <c r="Q64" s="456"/>
      <c r="R64" s="456"/>
      <c r="S64" s="456"/>
      <c r="T64" s="456"/>
      <c r="U64" s="456"/>
      <c r="V64" s="456"/>
      <c r="W64" s="456"/>
      <c r="X64" s="456"/>
    </row>
    <row r="65" spans="1:24">
      <c r="A65" s="510"/>
      <c r="B65" s="508" t="s">
        <v>725</v>
      </c>
      <c r="L65" s="510"/>
      <c r="M65" s="456"/>
      <c r="N65" s="456"/>
      <c r="O65" s="456"/>
      <c r="P65" s="456"/>
      <c r="Q65" s="456"/>
      <c r="R65" s="456"/>
      <c r="S65" s="456"/>
      <c r="T65" s="456"/>
      <c r="U65" s="456"/>
      <c r="V65" s="456"/>
      <c r="W65" s="456"/>
      <c r="X65" s="456"/>
    </row>
    <row r="66" spans="1:24">
      <c r="A66" s="510"/>
      <c r="B66" s="508" t="s">
        <v>726</v>
      </c>
      <c r="L66" s="510"/>
      <c r="M66" s="456"/>
      <c r="N66" s="456"/>
      <c r="O66" s="456"/>
      <c r="P66" s="456"/>
      <c r="Q66" s="456"/>
      <c r="R66" s="456"/>
      <c r="S66" s="456"/>
      <c r="T66" s="456"/>
      <c r="U66" s="456"/>
      <c r="V66" s="456"/>
      <c r="W66" s="456"/>
      <c r="X66" s="456"/>
    </row>
    <row r="67" spans="1:24">
      <c r="A67" s="510"/>
      <c r="L67" s="510"/>
      <c r="M67" s="456"/>
      <c r="N67" s="456"/>
      <c r="O67" s="456"/>
      <c r="P67" s="456"/>
      <c r="Q67" s="456"/>
      <c r="R67" s="456"/>
      <c r="S67" s="456"/>
      <c r="T67" s="456"/>
      <c r="U67" s="456"/>
      <c r="V67" s="456"/>
      <c r="W67" s="456"/>
      <c r="X67" s="456"/>
    </row>
    <row r="68" spans="1:24">
      <c r="A68" s="510"/>
      <c r="B68" s="508" t="s">
        <v>727</v>
      </c>
      <c r="L68" s="510"/>
      <c r="M68" s="457"/>
      <c r="N68" s="458"/>
      <c r="O68" s="458"/>
      <c r="P68" s="458"/>
      <c r="Q68" s="458"/>
      <c r="R68" s="458"/>
      <c r="S68" s="458"/>
      <c r="T68" s="458"/>
      <c r="U68" s="458"/>
      <c r="V68" s="458"/>
      <c r="W68" s="458"/>
      <c r="X68" s="456"/>
    </row>
    <row r="69" spans="1:24">
      <c r="A69" s="510"/>
      <c r="B69" s="508" t="s">
        <v>887</v>
      </c>
      <c r="L69" s="510"/>
      <c r="M69" s="456"/>
      <c r="N69" s="456"/>
      <c r="O69" s="456"/>
      <c r="P69" s="456"/>
      <c r="Q69" s="456"/>
      <c r="R69" s="456"/>
      <c r="S69" s="456"/>
      <c r="T69" s="456"/>
      <c r="U69" s="456"/>
      <c r="V69" s="456"/>
      <c r="W69" s="456"/>
      <c r="X69" s="456"/>
    </row>
    <row r="70" spans="1:24">
      <c r="A70" s="510"/>
      <c r="B70" s="508" t="s">
        <v>888</v>
      </c>
      <c r="L70" s="510"/>
      <c r="M70" s="456"/>
      <c r="N70" s="456"/>
      <c r="O70" s="456"/>
      <c r="P70" s="456"/>
      <c r="Q70" s="456"/>
      <c r="R70" s="456"/>
      <c r="S70" s="456"/>
      <c r="T70" s="456"/>
      <c r="U70" s="456"/>
      <c r="V70" s="456"/>
      <c r="W70" s="456"/>
      <c r="X70" s="456"/>
    </row>
    <row r="71" spans="1:24" ht="15" thickBot="1">
      <c r="A71" s="510"/>
      <c r="B71" s="500"/>
      <c r="C71" s="500"/>
      <c r="D71" s="500"/>
      <c r="E71" s="500"/>
      <c r="F71" s="500"/>
      <c r="G71" s="500"/>
      <c r="H71" s="500"/>
      <c r="I71" s="500"/>
      <c r="J71" s="500"/>
      <c r="K71" s="500"/>
      <c r="L71" s="510"/>
    </row>
    <row r="72" spans="1:24">
      <c r="A72" s="510"/>
      <c r="B72" s="504" t="s">
        <v>701</v>
      </c>
      <c r="C72" s="503"/>
      <c r="D72" s="503"/>
      <c r="E72" s="503"/>
      <c r="F72" s="503"/>
      <c r="G72" s="503"/>
      <c r="H72" s="503"/>
      <c r="I72" s="503"/>
      <c r="J72" s="503"/>
      <c r="K72" s="502"/>
      <c r="L72" s="459"/>
    </row>
    <row r="73" spans="1:24">
      <c r="A73" s="510"/>
      <c r="B73" s="452"/>
      <c r="C73" s="500" t="s">
        <v>707</v>
      </c>
      <c r="D73" s="500"/>
      <c r="E73" s="500"/>
      <c r="F73" s="500"/>
      <c r="G73" s="500"/>
      <c r="H73" s="500"/>
      <c r="I73" s="500"/>
      <c r="J73" s="500"/>
      <c r="K73" s="498"/>
      <c r="L73" s="459"/>
    </row>
    <row r="74" spans="1:24">
      <c r="A74" s="510"/>
      <c r="B74" s="452" t="s">
        <v>728</v>
      </c>
      <c r="C74" s="965">
        <v>312000000</v>
      </c>
      <c r="D74" s="965"/>
      <c r="E74" s="612" t="s">
        <v>706</v>
      </c>
      <c r="F74" s="612">
        <v>1000</v>
      </c>
      <c r="G74" s="612" t="s">
        <v>705</v>
      </c>
      <c r="H74" s="604">
        <f>C74/F74</f>
        <v>312000</v>
      </c>
      <c r="I74" s="500" t="s">
        <v>729</v>
      </c>
      <c r="J74" s="500"/>
      <c r="K74" s="498"/>
      <c r="L74" s="459"/>
    </row>
    <row r="75" spans="1:24">
      <c r="A75" s="510"/>
      <c r="B75" s="452"/>
      <c r="C75" s="500"/>
      <c r="D75" s="500"/>
      <c r="E75" s="612"/>
      <c r="F75" s="500"/>
      <c r="G75" s="500"/>
      <c r="H75" s="500"/>
      <c r="I75" s="500"/>
      <c r="J75" s="500"/>
      <c r="K75" s="498"/>
      <c r="L75" s="459"/>
    </row>
    <row r="76" spans="1:24">
      <c r="A76" s="510"/>
      <c r="B76" s="452"/>
      <c r="C76" s="500" t="s">
        <v>730</v>
      </c>
      <c r="D76" s="500"/>
      <c r="E76" s="612"/>
      <c r="F76" s="500" t="s">
        <v>729</v>
      </c>
      <c r="G76" s="500"/>
      <c r="H76" s="500"/>
      <c r="I76" s="500"/>
      <c r="J76" s="500"/>
      <c r="K76" s="498"/>
      <c r="L76" s="459"/>
    </row>
    <row r="77" spans="1:24">
      <c r="A77" s="510"/>
      <c r="B77" s="452" t="s">
        <v>733</v>
      </c>
      <c r="C77" s="965">
        <v>50000</v>
      </c>
      <c r="D77" s="965"/>
      <c r="E77" s="612" t="s">
        <v>706</v>
      </c>
      <c r="F77" s="604">
        <f>H74</f>
        <v>312000</v>
      </c>
      <c r="G77" s="612" t="s">
        <v>705</v>
      </c>
      <c r="H77" s="454">
        <f>C77/F77</f>
        <v>0.16025641025641027</v>
      </c>
      <c r="I77" s="500" t="s">
        <v>731</v>
      </c>
      <c r="J77" s="500"/>
      <c r="K77" s="498"/>
      <c r="L77" s="459"/>
    </row>
    <row r="78" spans="1:24">
      <c r="A78" s="510"/>
      <c r="B78" s="452"/>
      <c r="C78" s="500"/>
      <c r="D78" s="500"/>
      <c r="E78" s="612"/>
      <c r="F78" s="500"/>
      <c r="G78" s="500"/>
      <c r="H78" s="500"/>
      <c r="I78" s="500"/>
      <c r="J78" s="500"/>
      <c r="K78" s="498"/>
      <c r="L78" s="459"/>
    </row>
    <row r="79" spans="1:24">
      <c r="A79" s="510"/>
      <c r="B79" s="460"/>
      <c r="C79" s="461" t="s">
        <v>732</v>
      </c>
      <c r="D79" s="461"/>
      <c r="E79" s="605"/>
      <c r="F79" s="461"/>
      <c r="G79" s="461"/>
      <c r="H79" s="461"/>
      <c r="I79" s="461"/>
      <c r="J79" s="461"/>
      <c r="K79" s="462"/>
      <c r="L79" s="459"/>
    </row>
    <row r="80" spans="1:24">
      <c r="A80" s="510"/>
      <c r="B80" s="452" t="s">
        <v>793</v>
      </c>
      <c r="C80" s="965">
        <v>100000</v>
      </c>
      <c r="D80" s="965"/>
      <c r="E80" s="612" t="s">
        <v>272</v>
      </c>
      <c r="F80" s="612">
        <v>0.115</v>
      </c>
      <c r="G80" s="612" t="s">
        <v>705</v>
      </c>
      <c r="H80" s="604">
        <f>C80*F80</f>
        <v>11500</v>
      </c>
      <c r="I80" s="500" t="s">
        <v>734</v>
      </c>
      <c r="J80" s="500"/>
      <c r="K80" s="498"/>
      <c r="L80" s="459"/>
    </row>
    <row r="81" spans="1:12">
      <c r="A81" s="510"/>
      <c r="B81" s="452"/>
      <c r="C81" s="500"/>
      <c r="D81" s="500"/>
      <c r="E81" s="612"/>
      <c r="F81" s="500"/>
      <c r="G81" s="500"/>
      <c r="H81" s="500"/>
      <c r="I81" s="500"/>
      <c r="J81" s="500"/>
      <c r="K81" s="498"/>
      <c r="L81" s="459"/>
    </row>
    <row r="82" spans="1:12">
      <c r="A82" s="510"/>
      <c r="B82" s="460"/>
      <c r="C82" s="461" t="s">
        <v>735</v>
      </c>
      <c r="D82" s="461"/>
      <c r="E82" s="605"/>
      <c r="F82" s="461" t="s">
        <v>731</v>
      </c>
      <c r="G82" s="461"/>
      <c r="H82" s="461"/>
      <c r="I82" s="461"/>
      <c r="J82" s="461" t="s">
        <v>736</v>
      </c>
      <c r="K82" s="462"/>
      <c r="L82" s="459"/>
    </row>
    <row r="83" spans="1:12">
      <c r="A83" s="510"/>
      <c r="B83" s="452" t="s">
        <v>794</v>
      </c>
      <c r="C83" s="971">
        <f>H80</f>
        <v>11500</v>
      </c>
      <c r="D83" s="971"/>
      <c r="E83" s="612" t="s">
        <v>272</v>
      </c>
      <c r="F83" s="454">
        <f>H77</f>
        <v>0.16025641025641027</v>
      </c>
      <c r="G83" s="612" t="s">
        <v>706</v>
      </c>
      <c r="H83" s="612">
        <v>1000</v>
      </c>
      <c r="I83" s="612" t="s">
        <v>705</v>
      </c>
      <c r="J83" s="606">
        <f>C83*F83/H83</f>
        <v>1.8429487179487181</v>
      </c>
      <c r="K83" s="498"/>
      <c r="L83" s="459"/>
    </row>
    <row r="84" spans="1:12" ht="15" thickBot="1">
      <c r="A84" s="510"/>
      <c r="B84" s="449"/>
      <c r="C84" s="463"/>
      <c r="D84" s="463"/>
      <c r="E84" s="464"/>
      <c r="F84" s="465"/>
      <c r="G84" s="464"/>
      <c r="H84" s="464"/>
      <c r="I84" s="464"/>
      <c r="J84" s="466"/>
      <c r="K84" s="494"/>
      <c r="L84" s="459"/>
    </row>
    <row r="85" spans="1:12" ht="40.5" customHeight="1">
      <c r="A85" s="510"/>
      <c r="B85" s="966" t="s">
        <v>697</v>
      </c>
      <c r="C85" s="966"/>
      <c r="D85" s="966"/>
      <c r="E85" s="966"/>
      <c r="F85" s="966"/>
      <c r="G85" s="966"/>
      <c r="H85" s="966"/>
      <c r="I85" s="966"/>
      <c r="J85" s="966"/>
      <c r="K85" s="966"/>
      <c r="L85" s="510"/>
    </row>
    <row r="86" spans="1:12">
      <c r="A86" s="510"/>
      <c r="B86" s="964" t="s">
        <v>737</v>
      </c>
      <c r="C86" s="964"/>
      <c r="D86" s="964"/>
      <c r="E86" s="964"/>
      <c r="F86" s="964"/>
      <c r="G86" s="964"/>
      <c r="H86" s="964"/>
      <c r="I86" s="964"/>
      <c r="J86" s="964"/>
      <c r="K86" s="964"/>
      <c r="L86" s="510"/>
    </row>
    <row r="87" spans="1:12">
      <c r="A87" s="510"/>
      <c r="B87" s="467"/>
      <c r="C87" s="467"/>
      <c r="D87" s="467"/>
      <c r="E87" s="467"/>
      <c r="F87" s="467"/>
      <c r="G87" s="467"/>
      <c r="H87" s="467"/>
      <c r="I87" s="467"/>
      <c r="J87" s="467"/>
      <c r="K87" s="467"/>
      <c r="L87" s="510"/>
    </row>
    <row r="88" spans="1:12">
      <c r="A88" s="510"/>
      <c r="B88" s="964" t="s">
        <v>738</v>
      </c>
      <c r="C88" s="964"/>
      <c r="D88" s="964"/>
      <c r="E88" s="964"/>
      <c r="F88" s="964"/>
      <c r="G88" s="964"/>
      <c r="H88" s="964"/>
      <c r="I88" s="964"/>
      <c r="J88" s="964"/>
      <c r="K88" s="964"/>
      <c r="L88" s="510"/>
    </row>
    <row r="89" spans="1:12">
      <c r="A89" s="510"/>
      <c r="B89" s="608"/>
      <c r="C89" s="608"/>
      <c r="D89" s="608"/>
      <c r="E89" s="608"/>
      <c r="F89" s="608"/>
      <c r="G89" s="608"/>
      <c r="H89" s="608"/>
      <c r="I89" s="608"/>
      <c r="J89" s="608"/>
      <c r="K89" s="608"/>
      <c r="L89" s="510"/>
    </row>
    <row r="90" spans="1:12" ht="45" customHeight="1">
      <c r="A90" s="510"/>
      <c r="B90" s="963" t="s">
        <v>739</v>
      </c>
      <c r="C90" s="963"/>
      <c r="D90" s="963"/>
      <c r="E90" s="963"/>
      <c r="F90" s="963"/>
      <c r="G90" s="963"/>
      <c r="H90" s="963"/>
      <c r="I90" s="963"/>
      <c r="J90" s="963"/>
      <c r="K90" s="963"/>
      <c r="L90" s="510"/>
    </row>
    <row r="91" spans="1:12" ht="15" customHeight="1" thickBot="1">
      <c r="A91" s="510"/>
      <c r="L91" s="510"/>
    </row>
    <row r="92" spans="1:12" ht="15" customHeight="1">
      <c r="A92" s="510"/>
      <c r="B92" s="468" t="s">
        <v>701</v>
      </c>
      <c r="C92" s="469"/>
      <c r="D92" s="469"/>
      <c r="E92" s="469"/>
      <c r="F92" s="469"/>
      <c r="G92" s="469"/>
      <c r="H92" s="469"/>
      <c r="I92" s="469"/>
      <c r="J92" s="469"/>
      <c r="K92" s="470"/>
      <c r="L92" s="510"/>
    </row>
    <row r="93" spans="1:12" ht="15" customHeight="1">
      <c r="A93" s="510"/>
      <c r="B93" s="471"/>
      <c r="C93" s="611" t="s">
        <v>707</v>
      </c>
      <c r="D93" s="611"/>
      <c r="E93" s="611"/>
      <c r="F93" s="611"/>
      <c r="G93" s="611"/>
      <c r="H93" s="611"/>
      <c r="I93" s="611"/>
      <c r="J93" s="611"/>
      <c r="K93" s="472"/>
      <c r="L93" s="510"/>
    </row>
    <row r="94" spans="1:12" ht="15" customHeight="1">
      <c r="A94" s="510"/>
      <c r="B94" s="471" t="s">
        <v>728</v>
      </c>
      <c r="C94" s="965">
        <v>312000000</v>
      </c>
      <c r="D94" s="965"/>
      <c r="E94" s="612" t="s">
        <v>706</v>
      </c>
      <c r="F94" s="612">
        <v>1000</v>
      </c>
      <c r="G94" s="612" t="s">
        <v>705</v>
      </c>
      <c r="H94" s="604">
        <f>C94/F94</f>
        <v>312000</v>
      </c>
      <c r="I94" s="611" t="s">
        <v>729</v>
      </c>
      <c r="J94" s="611"/>
      <c r="K94" s="472"/>
      <c r="L94" s="510"/>
    </row>
    <row r="95" spans="1:12" ht="15" customHeight="1">
      <c r="A95" s="510"/>
      <c r="B95" s="471"/>
      <c r="C95" s="611"/>
      <c r="D95" s="611"/>
      <c r="E95" s="612"/>
      <c r="F95" s="611"/>
      <c r="G95" s="611"/>
      <c r="H95" s="611"/>
      <c r="I95" s="611"/>
      <c r="J95" s="611"/>
      <c r="K95" s="472"/>
      <c r="L95" s="510"/>
    </row>
    <row r="96" spans="1:12" ht="15" customHeight="1">
      <c r="A96" s="510"/>
      <c r="B96" s="471"/>
      <c r="C96" s="611" t="s">
        <v>730</v>
      </c>
      <c r="D96" s="611"/>
      <c r="E96" s="612"/>
      <c r="F96" s="611" t="s">
        <v>729</v>
      </c>
      <c r="G96" s="611"/>
      <c r="H96" s="611"/>
      <c r="I96" s="611"/>
      <c r="J96" s="611"/>
      <c r="K96" s="472"/>
      <c r="L96" s="510"/>
    </row>
    <row r="97" spans="1:12" ht="15" customHeight="1">
      <c r="A97" s="510"/>
      <c r="B97" s="471" t="s">
        <v>733</v>
      </c>
      <c r="C97" s="965">
        <v>50000</v>
      </c>
      <c r="D97" s="965"/>
      <c r="E97" s="612" t="s">
        <v>706</v>
      </c>
      <c r="F97" s="604">
        <f>H94</f>
        <v>312000</v>
      </c>
      <c r="G97" s="612" t="s">
        <v>705</v>
      </c>
      <c r="H97" s="454">
        <f>C97/F97</f>
        <v>0.16025641025641027</v>
      </c>
      <c r="I97" s="611" t="s">
        <v>731</v>
      </c>
      <c r="J97" s="611"/>
      <c r="K97" s="472"/>
      <c r="L97" s="510"/>
    </row>
    <row r="98" spans="1:12" ht="15" customHeight="1">
      <c r="A98" s="510"/>
      <c r="B98" s="471"/>
      <c r="C98" s="611"/>
      <c r="D98" s="611"/>
      <c r="E98" s="612"/>
      <c r="F98" s="611"/>
      <c r="G98" s="611"/>
      <c r="H98" s="611"/>
      <c r="I98" s="611"/>
      <c r="J98" s="611"/>
      <c r="K98" s="472"/>
      <c r="L98" s="510"/>
    </row>
    <row r="99" spans="1:12" ht="15" customHeight="1">
      <c r="A99" s="510"/>
      <c r="B99" s="473"/>
      <c r="C99" s="474" t="s">
        <v>740</v>
      </c>
      <c r="D99" s="474"/>
      <c r="E99" s="605"/>
      <c r="F99" s="474"/>
      <c r="G99" s="474"/>
      <c r="H99" s="474"/>
      <c r="I99" s="474"/>
      <c r="J99" s="474"/>
      <c r="K99" s="475"/>
      <c r="L99" s="510"/>
    </row>
    <row r="100" spans="1:12" ht="15" customHeight="1">
      <c r="A100" s="510"/>
      <c r="B100" s="471" t="s">
        <v>793</v>
      </c>
      <c r="C100" s="965">
        <v>2500000</v>
      </c>
      <c r="D100" s="965"/>
      <c r="E100" s="612" t="s">
        <v>272</v>
      </c>
      <c r="F100" s="476">
        <v>0.3</v>
      </c>
      <c r="G100" s="612" t="s">
        <v>705</v>
      </c>
      <c r="H100" s="604">
        <f>C100*F100</f>
        <v>750000</v>
      </c>
      <c r="I100" s="611" t="s">
        <v>734</v>
      </c>
      <c r="J100" s="611"/>
      <c r="K100" s="472"/>
      <c r="L100" s="510"/>
    </row>
    <row r="101" spans="1:12" ht="15" customHeight="1">
      <c r="A101" s="510"/>
      <c r="B101" s="471"/>
      <c r="C101" s="611"/>
      <c r="D101" s="611"/>
      <c r="E101" s="612"/>
      <c r="F101" s="611"/>
      <c r="G101" s="611"/>
      <c r="H101" s="611"/>
      <c r="I101" s="611"/>
      <c r="J101" s="611"/>
      <c r="K101" s="472"/>
      <c r="L101" s="510"/>
    </row>
    <row r="102" spans="1:12" ht="15" customHeight="1">
      <c r="A102" s="510"/>
      <c r="B102" s="473"/>
      <c r="C102" s="474" t="s">
        <v>735</v>
      </c>
      <c r="D102" s="474"/>
      <c r="E102" s="605"/>
      <c r="F102" s="474" t="s">
        <v>731</v>
      </c>
      <c r="G102" s="474"/>
      <c r="H102" s="474"/>
      <c r="I102" s="474"/>
      <c r="J102" s="474" t="s">
        <v>736</v>
      </c>
      <c r="K102" s="475"/>
      <c r="L102" s="510"/>
    </row>
    <row r="103" spans="1:12" ht="15" customHeight="1">
      <c r="A103" s="510"/>
      <c r="B103" s="471" t="s">
        <v>794</v>
      </c>
      <c r="C103" s="971">
        <f>H100</f>
        <v>750000</v>
      </c>
      <c r="D103" s="971"/>
      <c r="E103" s="612" t="s">
        <v>272</v>
      </c>
      <c r="F103" s="454">
        <f>H97</f>
        <v>0.16025641025641027</v>
      </c>
      <c r="G103" s="612" t="s">
        <v>706</v>
      </c>
      <c r="H103" s="612">
        <v>1000</v>
      </c>
      <c r="I103" s="612" t="s">
        <v>705</v>
      </c>
      <c r="J103" s="606">
        <f>C103*F103/H103</f>
        <v>120.19230769230771</v>
      </c>
      <c r="K103" s="472"/>
      <c r="L103" s="510"/>
    </row>
    <row r="104" spans="1:12" ht="15" customHeight="1" thickBot="1">
      <c r="A104" s="510"/>
      <c r="B104" s="477"/>
      <c r="C104" s="463"/>
      <c r="D104" s="463"/>
      <c r="E104" s="464"/>
      <c r="F104" s="465"/>
      <c r="G104" s="464"/>
      <c r="H104" s="464"/>
      <c r="I104" s="464"/>
      <c r="J104" s="466"/>
      <c r="K104" s="613"/>
      <c r="L104" s="510"/>
    </row>
    <row r="105" spans="1:12" ht="40.5" customHeight="1">
      <c r="A105" s="510"/>
      <c r="B105" s="966" t="s">
        <v>697</v>
      </c>
      <c r="C105" s="967"/>
      <c r="D105" s="967"/>
      <c r="E105" s="967"/>
      <c r="F105" s="967"/>
      <c r="G105" s="967"/>
      <c r="H105" s="967"/>
      <c r="I105" s="967"/>
      <c r="J105" s="967"/>
      <c r="K105" s="967"/>
      <c r="L105" s="510"/>
    </row>
    <row r="106" spans="1:12" ht="15" customHeight="1">
      <c r="A106" s="510"/>
      <c r="B106" s="968" t="s">
        <v>741</v>
      </c>
      <c r="C106" s="969"/>
      <c r="D106" s="969"/>
      <c r="E106" s="969"/>
      <c r="F106" s="969"/>
      <c r="G106" s="969"/>
      <c r="H106" s="969"/>
      <c r="I106" s="969"/>
      <c r="J106" s="969"/>
      <c r="K106" s="969"/>
      <c r="L106" s="510"/>
    </row>
    <row r="107" spans="1:12" ht="15" customHeight="1">
      <c r="A107" s="510"/>
      <c r="B107" s="611"/>
      <c r="C107" s="478"/>
      <c r="D107" s="478"/>
      <c r="E107" s="612"/>
      <c r="F107" s="454"/>
      <c r="G107" s="612"/>
      <c r="H107" s="612"/>
      <c r="I107" s="612"/>
      <c r="J107" s="606"/>
      <c r="K107" s="611"/>
      <c r="L107" s="510"/>
    </row>
    <row r="108" spans="1:12" ht="15" customHeight="1">
      <c r="A108" s="510"/>
      <c r="B108" s="968" t="s">
        <v>742</v>
      </c>
      <c r="C108" s="970"/>
      <c r="D108" s="970"/>
      <c r="E108" s="970"/>
      <c r="F108" s="970"/>
      <c r="G108" s="970"/>
      <c r="H108" s="970"/>
      <c r="I108" s="970"/>
      <c r="J108" s="970"/>
      <c r="K108" s="970"/>
      <c r="L108" s="510"/>
    </row>
    <row r="109" spans="1:12" ht="15" customHeight="1">
      <c r="A109" s="510"/>
      <c r="B109" s="611"/>
      <c r="C109" s="478"/>
      <c r="D109" s="478"/>
      <c r="E109" s="612"/>
      <c r="F109" s="454"/>
      <c r="G109" s="612"/>
      <c r="H109" s="612"/>
      <c r="I109" s="612"/>
      <c r="J109" s="606"/>
      <c r="K109" s="611"/>
      <c r="L109" s="510"/>
    </row>
    <row r="110" spans="1:12" ht="59.25" customHeight="1">
      <c r="A110" s="510"/>
      <c r="B110" s="972" t="s">
        <v>743</v>
      </c>
      <c r="C110" s="973"/>
      <c r="D110" s="973"/>
      <c r="E110" s="973"/>
      <c r="F110" s="973"/>
      <c r="G110" s="973"/>
      <c r="H110" s="973"/>
      <c r="I110" s="973"/>
      <c r="J110" s="973"/>
      <c r="K110" s="973"/>
      <c r="L110" s="510"/>
    </row>
    <row r="111" spans="1:12" ht="15" thickBot="1">
      <c r="A111" s="510"/>
      <c r="B111" s="609"/>
      <c r="C111" s="609"/>
      <c r="D111" s="609"/>
      <c r="E111" s="609"/>
      <c r="F111" s="609"/>
      <c r="G111" s="609"/>
      <c r="H111" s="609"/>
      <c r="I111" s="609"/>
      <c r="J111" s="609"/>
      <c r="K111" s="609"/>
      <c r="L111" s="479"/>
    </row>
    <row r="112" spans="1:12">
      <c r="A112" s="510"/>
      <c r="B112" s="504" t="s">
        <v>701</v>
      </c>
      <c r="C112" s="503"/>
      <c r="D112" s="503"/>
      <c r="E112" s="503"/>
      <c r="F112" s="503"/>
      <c r="G112" s="503"/>
      <c r="H112" s="503"/>
      <c r="I112" s="503"/>
      <c r="J112" s="503"/>
      <c r="K112" s="502"/>
      <c r="L112" s="510"/>
    </row>
    <row r="113" spans="1:12">
      <c r="A113" s="510"/>
      <c r="B113" s="452"/>
      <c r="C113" s="500" t="s">
        <v>707</v>
      </c>
      <c r="D113" s="500"/>
      <c r="E113" s="500"/>
      <c r="F113" s="500"/>
      <c r="G113" s="500"/>
      <c r="H113" s="500"/>
      <c r="I113" s="500"/>
      <c r="J113" s="500"/>
      <c r="K113" s="498"/>
      <c r="L113" s="510"/>
    </row>
    <row r="114" spans="1:12">
      <c r="A114" s="510"/>
      <c r="B114" s="452" t="s">
        <v>728</v>
      </c>
      <c r="C114" s="965">
        <v>312000000</v>
      </c>
      <c r="D114" s="965"/>
      <c r="E114" s="612" t="s">
        <v>706</v>
      </c>
      <c r="F114" s="612">
        <v>1000</v>
      </c>
      <c r="G114" s="612" t="s">
        <v>705</v>
      </c>
      <c r="H114" s="604">
        <f>C114/F114</f>
        <v>312000</v>
      </c>
      <c r="I114" s="500" t="s">
        <v>729</v>
      </c>
      <c r="J114" s="500"/>
      <c r="K114" s="498"/>
      <c r="L114" s="510"/>
    </row>
    <row r="115" spans="1:12">
      <c r="A115" s="510"/>
      <c r="B115" s="452"/>
      <c r="C115" s="500"/>
      <c r="D115" s="500"/>
      <c r="E115" s="612"/>
      <c r="F115" s="500"/>
      <c r="G115" s="500"/>
      <c r="H115" s="500"/>
      <c r="I115" s="500"/>
      <c r="J115" s="500"/>
      <c r="K115" s="498"/>
      <c r="L115" s="510"/>
    </row>
    <row r="116" spans="1:12">
      <c r="A116" s="510"/>
      <c r="B116" s="452"/>
      <c r="C116" s="500" t="s">
        <v>730</v>
      </c>
      <c r="D116" s="500"/>
      <c r="E116" s="612"/>
      <c r="F116" s="500" t="s">
        <v>729</v>
      </c>
      <c r="G116" s="500"/>
      <c r="H116" s="500"/>
      <c r="I116" s="500"/>
      <c r="J116" s="500"/>
      <c r="K116" s="498"/>
      <c r="L116" s="510"/>
    </row>
    <row r="117" spans="1:12">
      <c r="A117" s="510"/>
      <c r="B117" s="452" t="s">
        <v>733</v>
      </c>
      <c r="C117" s="965">
        <v>50000</v>
      </c>
      <c r="D117" s="965"/>
      <c r="E117" s="612" t="s">
        <v>706</v>
      </c>
      <c r="F117" s="604">
        <f>H114</f>
        <v>312000</v>
      </c>
      <c r="G117" s="612" t="s">
        <v>705</v>
      </c>
      <c r="H117" s="454">
        <f>C117/F117</f>
        <v>0.16025641025641027</v>
      </c>
      <c r="I117" s="500" t="s">
        <v>731</v>
      </c>
      <c r="J117" s="500"/>
      <c r="K117" s="498"/>
      <c r="L117" s="510"/>
    </row>
    <row r="118" spans="1:12">
      <c r="A118" s="510"/>
      <c r="B118" s="452"/>
      <c r="C118" s="500"/>
      <c r="D118" s="500"/>
      <c r="E118" s="612"/>
      <c r="F118" s="500"/>
      <c r="G118" s="500"/>
      <c r="H118" s="500"/>
      <c r="I118" s="500"/>
      <c r="J118" s="500"/>
      <c r="K118" s="498"/>
      <c r="L118" s="510"/>
    </row>
    <row r="119" spans="1:12">
      <c r="A119" s="510"/>
      <c r="B119" s="460"/>
      <c r="C119" s="461" t="s">
        <v>740</v>
      </c>
      <c r="D119" s="461"/>
      <c r="E119" s="605"/>
      <c r="F119" s="461"/>
      <c r="G119" s="461"/>
      <c r="H119" s="461"/>
      <c r="I119" s="461"/>
      <c r="J119" s="461"/>
      <c r="K119" s="462"/>
      <c r="L119" s="510"/>
    </row>
    <row r="120" spans="1:12">
      <c r="A120" s="510"/>
      <c r="B120" s="452" t="s">
        <v>793</v>
      </c>
      <c r="C120" s="965">
        <v>2500000</v>
      </c>
      <c r="D120" s="965"/>
      <c r="E120" s="612" t="s">
        <v>272</v>
      </c>
      <c r="F120" s="476">
        <v>0.25</v>
      </c>
      <c r="G120" s="612" t="s">
        <v>705</v>
      </c>
      <c r="H120" s="604">
        <f>C120*F120</f>
        <v>625000</v>
      </c>
      <c r="I120" s="500" t="s">
        <v>734</v>
      </c>
      <c r="J120" s="500"/>
      <c r="K120" s="498"/>
      <c r="L120" s="510"/>
    </row>
    <row r="121" spans="1:12">
      <c r="A121" s="510"/>
      <c r="B121" s="452"/>
      <c r="C121" s="500"/>
      <c r="D121" s="500"/>
      <c r="E121" s="612"/>
      <c r="F121" s="500"/>
      <c r="G121" s="500"/>
      <c r="H121" s="500"/>
      <c r="I121" s="500"/>
      <c r="J121" s="500"/>
      <c r="K121" s="498"/>
      <c r="L121" s="510"/>
    </row>
    <row r="122" spans="1:12">
      <c r="A122" s="510"/>
      <c r="B122" s="460"/>
      <c r="C122" s="461" t="s">
        <v>735</v>
      </c>
      <c r="D122" s="461"/>
      <c r="E122" s="605"/>
      <c r="F122" s="461" t="s">
        <v>731</v>
      </c>
      <c r="G122" s="461"/>
      <c r="H122" s="461"/>
      <c r="I122" s="461"/>
      <c r="J122" s="461" t="s">
        <v>736</v>
      </c>
      <c r="K122" s="462"/>
      <c r="L122" s="510"/>
    </row>
    <row r="123" spans="1:12">
      <c r="A123" s="510"/>
      <c r="B123" s="452" t="s">
        <v>794</v>
      </c>
      <c r="C123" s="971">
        <f>H120</f>
        <v>625000</v>
      </c>
      <c r="D123" s="971"/>
      <c r="E123" s="612" t="s">
        <v>272</v>
      </c>
      <c r="F123" s="454">
        <f>H117</f>
        <v>0.16025641025641027</v>
      </c>
      <c r="G123" s="612" t="s">
        <v>706</v>
      </c>
      <c r="H123" s="612">
        <v>1000</v>
      </c>
      <c r="I123" s="612" t="s">
        <v>705</v>
      </c>
      <c r="J123" s="606">
        <f>C123*F123/H123</f>
        <v>100.16025641025642</v>
      </c>
      <c r="K123" s="498"/>
      <c r="L123" s="510"/>
    </row>
    <row r="124" spans="1:12" ht="15" thickBot="1">
      <c r="A124" s="510"/>
      <c r="B124" s="449"/>
      <c r="C124" s="463"/>
      <c r="D124" s="463"/>
      <c r="E124" s="464"/>
      <c r="F124" s="465"/>
      <c r="G124" s="464"/>
      <c r="H124" s="464"/>
      <c r="I124" s="464"/>
      <c r="J124" s="466"/>
      <c r="K124" s="494"/>
      <c r="L124" s="510"/>
    </row>
    <row r="125" spans="1:12" ht="40.5" customHeight="1">
      <c r="A125" s="510"/>
      <c r="B125" s="966" t="s">
        <v>697</v>
      </c>
      <c r="C125" s="966"/>
      <c r="D125" s="966"/>
      <c r="E125" s="966"/>
      <c r="F125" s="966"/>
      <c r="G125" s="966"/>
      <c r="H125" s="966"/>
      <c r="I125" s="966"/>
      <c r="J125" s="966"/>
      <c r="K125" s="966"/>
      <c r="L125" s="479"/>
    </row>
    <row r="126" spans="1:12">
      <c r="A126" s="510"/>
      <c r="B126" s="964" t="s">
        <v>744</v>
      </c>
      <c r="C126" s="964"/>
      <c r="D126" s="964"/>
      <c r="E126" s="964"/>
      <c r="F126" s="964"/>
      <c r="G126" s="964"/>
      <c r="H126" s="964"/>
      <c r="I126" s="964"/>
      <c r="J126" s="964"/>
      <c r="K126" s="964"/>
      <c r="L126" s="479"/>
    </row>
    <row r="127" spans="1:12">
      <c r="A127" s="510"/>
      <c r="B127" s="609"/>
      <c r="C127" s="609"/>
      <c r="D127" s="609"/>
      <c r="E127" s="609"/>
      <c r="F127" s="609"/>
      <c r="G127" s="609"/>
      <c r="H127" s="609"/>
      <c r="I127" s="609"/>
      <c r="J127" s="609"/>
      <c r="K127" s="609"/>
      <c r="L127" s="479"/>
    </row>
    <row r="128" spans="1:12">
      <c r="A128" s="510"/>
      <c r="B128" s="964" t="s">
        <v>745</v>
      </c>
      <c r="C128" s="964"/>
      <c r="D128" s="964"/>
      <c r="E128" s="964"/>
      <c r="F128" s="964"/>
      <c r="G128" s="964"/>
      <c r="H128" s="964"/>
      <c r="I128" s="964"/>
      <c r="J128" s="964"/>
      <c r="K128" s="964"/>
      <c r="L128" s="479"/>
    </row>
    <row r="129" spans="1:12">
      <c r="A129" s="510"/>
      <c r="B129" s="608"/>
      <c r="C129" s="608"/>
      <c r="D129" s="608"/>
      <c r="E129" s="608"/>
      <c r="F129" s="608"/>
      <c r="G129" s="608"/>
      <c r="H129" s="608"/>
      <c r="I129" s="608"/>
      <c r="J129" s="608"/>
      <c r="K129" s="608"/>
      <c r="L129" s="479"/>
    </row>
    <row r="130" spans="1:12" ht="74.25" customHeight="1">
      <c r="A130" s="510"/>
      <c r="B130" s="963" t="s">
        <v>795</v>
      </c>
      <c r="C130" s="963"/>
      <c r="D130" s="963"/>
      <c r="E130" s="963"/>
      <c r="F130" s="963"/>
      <c r="G130" s="963"/>
      <c r="H130" s="963"/>
      <c r="I130" s="963"/>
      <c r="J130" s="963"/>
      <c r="K130" s="963"/>
      <c r="L130" s="479"/>
    </row>
    <row r="131" spans="1:12" ht="15" thickBot="1">
      <c r="A131" s="510"/>
      <c r="L131" s="510"/>
    </row>
    <row r="132" spans="1:12">
      <c r="A132" s="510"/>
      <c r="B132" s="504" t="s">
        <v>701</v>
      </c>
      <c r="C132" s="503"/>
      <c r="D132" s="503"/>
      <c r="E132" s="503"/>
      <c r="F132" s="503"/>
      <c r="G132" s="503"/>
      <c r="H132" s="503"/>
      <c r="I132" s="503"/>
      <c r="J132" s="503"/>
      <c r="K132" s="502"/>
      <c r="L132" s="510"/>
    </row>
    <row r="133" spans="1:12">
      <c r="A133" s="510"/>
      <c r="B133" s="452"/>
      <c r="C133" s="979" t="s">
        <v>746</v>
      </c>
      <c r="D133" s="979"/>
      <c r="E133" s="500"/>
      <c r="F133" s="612" t="s">
        <v>747</v>
      </c>
      <c r="G133" s="500"/>
      <c r="H133" s="979" t="s">
        <v>734</v>
      </c>
      <c r="I133" s="979"/>
      <c r="J133" s="500"/>
      <c r="K133" s="498"/>
      <c r="L133" s="510"/>
    </row>
    <row r="134" spans="1:12">
      <c r="A134" s="510"/>
      <c r="B134" s="452" t="s">
        <v>728</v>
      </c>
      <c r="C134" s="965">
        <v>100000</v>
      </c>
      <c r="D134" s="965"/>
      <c r="E134" s="612" t="s">
        <v>272</v>
      </c>
      <c r="F134" s="612">
        <v>0.115</v>
      </c>
      <c r="G134" s="612" t="s">
        <v>705</v>
      </c>
      <c r="H134" s="957">
        <f>C134*F134</f>
        <v>11500</v>
      </c>
      <c r="I134" s="957"/>
      <c r="J134" s="500"/>
      <c r="K134" s="498"/>
      <c r="L134" s="510"/>
    </row>
    <row r="135" spans="1:12">
      <c r="A135" s="510"/>
      <c r="B135" s="452"/>
      <c r="C135" s="500"/>
      <c r="D135" s="500"/>
      <c r="E135" s="500"/>
      <c r="F135" s="500"/>
      <c r="G135" s="500"/>
      <c r="H135" s="500"/>
      <c r="I135" s="500"/>
      <c r="J135" s="500"/>
      <c r="K135" s="498"/>
      <c r="L135" s="510"/>
    </row>
    <row r="136" spans="1:12">
      <c r="A136" s="510"/>
      <c r="B136" s="460"/>
      <c r="C136" s="958" t="s">
        <v>734</v>
      </c>
      <c r="D136" s="958"/>
      <c r="E136" s="461"/>
      <c r="F136" s="605" t="s">
        <v>748</v>
      </c>
      <c r="G136" s="605"/>
      <c r="H136" s="461"/>
      <c r="I136" s="461"/>
      <c r="J136" s="461" t="s">
        <v>749</v>
      </c>
      <c r="K136" s="462"/>
      <c r="L136" s="510"/>
    </row>
    <row r="137" spans="1:12">
      <c r="A137" s="510"/>
      <c r="B137" s="452" t="s">
        <v>733</v>
      </c>
      <c r="C137" s="957">
        <f>H134</f>
        <v>11500</v>
      </c>
      <c r="D137" s="957"/>
      <c r="E137" s="612" t="s">
        <v>272</v>
      </c>
      <c r="F137" s="480">
        <v>52.869</v>
      </c>
      <c r="G137" s="612" t="s">
        <v>706</v>
      </c>
      <c r="H137" s="612">
        <v>1000</v>
      </c>
      <c r="I137" s="612" t="s">
        <v>705</v>
      </c>
      <c r="J137" s="481">
        <f>C137*F137/H137</f>
        <v>607.99350000000004</v>
      </c>
      <c r="K137" s="498"/>
      <c r="L137" s="510"/>
    </row>
    <row r="138" spans="1:12" ht="15" thickBot="1">
      <c r="A138" s="510"/>
      <c r="B138" s="449"/>
      <c r="C138" s="591"/>
      <c r="D138" s="591"/>
      <c r="E138" s="464"/>
      <c r="F138" s="592"/>
      <c r="G138" s="464"/>
      <c r="H138" s="464"/>
      <c r="I138" s="464"/>
      <c r="J138" s="593"/>
      <c r="K138" s="494"/>
      <c r="L138" s="510"/>
    </row>
    <row r="139" spans="1:12" ht="40.5" customHeight="1">
      <c r="A139" s="510"/>
      <c r="B139" s="578" t="s">
        <v>697</v>
      </c>
      <c r="C139" s="579"/>
      <c r="D139" s="579"/>
      <c r="E139" s="580"/>
      <c r="F139" s="581"/>
      <c r="G139" s="580"/>
      <c r="H139" s="580"/>
      <c r="I139" s="580"/>
      <c r="J139" s="582"/>
      <c r="K139" s="583"/>
      <c r="L139" s="510"/>
    </row>
    <row r="140" spans="1:12">
      <c r="A140" s="510"/>
      <c r="B140" s="584" t="s">
        <v>796</v>
      </c>
      <c r="C140" s="585"/>
      <c r="D140" s="585"/>
      <c r="E140" s="586"/>
      <c r="F140" s="587"/>
      <c r="G140" s="586"/>
      <c r="H140" s="586"/>
      <c r="I140" s="586"/>
      <c r="J140" s="588"/>
      <c r="K140" s="589"/>
      <c r="L140" s="510"/>
    </row>
    <row r="141" spans="1:12">
      <c r="A141" s="510"/>
      <c r="B141" s="452"/>
      <c r="C141" s="604"/>
      <c r="D141" s="604"/>
      <c r="E141" s="612"/>
      <c r="F141" s="594"/>
      <c r="G141" s="612"/>
      <c r="H141" s="612"/>
      <c r="I141" s="612"/>
      <c r="J141" s="481"/>
      <c r="K141" s="498"/>
      <c r="L141" s="510"/>
    </row>
    <row r="142" spans="1:12">
      <c r="A142" s="510"/>
      <c r="B142" s="584" t="s">
        <v>797</v>
      </c>
      <c r="C142" s="585"/>
      <c r="D142" s="585"/>
      <c r="E142" s="586"/>
      <c r="F142" s="587"/>
      <c r="G142" s="586"/>
      <c r="H142" s="586"/>
      <c r="I142" s="586"/>
      <c r="J142" s="588"/>
      <c r="K142" s="589"/>
      <c r="L142" s="510"/>
    </row>
    <row r="143" spans="1:12">
      <c r="A143" s="510"/>
      <c r="B143" s="452"/>
      <c r="C143" s="604"/>
      <c r="D143" s="604"/>
      <c r="E143" s="612"/>
      <c r="F143" s="594"/>
      <c r="G143" s="612"/>
      <c r="H143" s="612"/>
      <c r="I143" s="612"/>
      <c r="J143" s="481"/>
      <c r="K143" s="498"/>
      <c r="L143" s="510"/>
    </row>
    <row r="144" spans="1:12" ht="76.5" customHeight="1">
      <c r="A144" s="510"/>
      <c r="B144" s="959" t="s">
        <v>798</v>
      </c>
      <c r="C144" s="960"/>
      <c r="D144" s="960"/>
      <c r="E144" s="960"/>
      <c r="F144" s="960"/>
      <c r="G144" s="960"/>
      <c r="H144" s="960"/>
      <c r="I144" s="960"/>
      <c r="J144" s="960"/>
      <c r="K144" s="961"/>
      <c r="L144" s="510"/>
    </row>
    <row r="145" spans="1:12" ht="15" thickBot="1">
      <c r="A145" s="510"/>
      <c r="B145" s="452"/>
      <c r="C145" s="604"/>
      <c r="D145" s="604"/>
      <c r="E145" s="612"/>
      <c r="F145" s="594"/>
      <c r="G145" s="612"/>
      <c r="H145" s="612"/>
      <c r="I145" s="612"/>
      <c r="J145" s="481"/>
      <c r="K145" s="498"/>
      <c r="L145" s="510"/>
    </row>
    <row r="146" spans="1:12">
      <c r="A146" s="510"/>
      <c r="B146" s="504" t="s">
        <v>701</v>
      </c>
      <c r="C146" s="595"/>
      <c r="D146" s="595"/>
      <c r="E146" s="596"/>
      <c r="F146" s="597"/>
      <c r="G146" s="596"/>
      <c r="H146" s="596"/>
      <c r="I146" s="596"/>
      <c r="J146" s="598"/>
      <c r="K146" s="502"/>
      <c r="L146" s="510"/>
    </row>
    <row r="147" spans="1:12">
      <c r="A147" s="510"/>
      <c r="B147" s="452"/>
      <c r="C147" s="957" t="s">
        <v>799</v>
      </c>
      <c r="D147" s="957"/>
      <c r="E147" s="612"/>
      <c r="F147" s="594" t="s">
        <v>800</v>
      </c>
      <c r="G147" s="612"/>
      <c r="H147" s="612"/>
      <c r="I147" s="612"/>
      <c r="J147" s="955" t="s">
        <v>801</v>
      </c>
      <c r="K147" s="962"/>
      <c r="L147" s="510"/>
    </row>
    <row r="148" spans="1:12">
      <c r="A148" s="510"/>
      <c r="B148" s="452"/>
      <c r="C148" s="954">
        <v>52.869</v>
      </c>
      <c r="D148" s="954"/>
      <c r="E148" s="612" t="s">
        <v>272</v>
      </c>
      <c r="F148" s="607">
        <v>312000000</v>
      </c>
      <c r="G148" s="599" t="s">
        <v>706</v>
      </c>
      <c r="H148" s="612">
        <v>1000</v>
      </c>
      <c r="I148" s="612" t="s">
        <v>705</v>
      </c>
      <c r="J148" s="955">
        <f>C148*(F148/1000)</f>
        <v>16495128</v>
      </c>
      <c r="K148" s="956"/>
      <c r="L148" s="510"/>
    </row>
    <row r="149" spans="1:12" ht="15" thickBot="1">
      <c r="A149" s="510"/>
      <c r="B149" s="449"/>
      <c r="C149" s="591"/>
      <c r="D149" s="591"/>
      <c r="E149" s="464"/>
      <c r="F149" s="592"/>
      <c r="G149" s="464"/>
      <c r="H149" s="464"/>
      <c r="I149" s="464"/>
      <c r="J149" s="593"/>
      <c r="K149" s="494"/>
      <c r="L149" s="510"/>
    </row>
    <row r="150" spans="1:12" ht="15" thickBot="1">
      <c r="A150" s="510"/>
      <c r="B150" s="449"/>
      <c r="C150" s="495"/>
      <c r="D150" s="495"/>
      <c r="E150" s="495"/>
      <c r="F150" s="495"/>
      <c r="G150" s="495"/>
      <c r="H150" s="495"/>
      <c r="I150" s="495"/>
      <c r="J150" s="495"/>
      <c r="K150" s="494"/>
      <c r="L150" s="510"/>
    </row>
    <row r="151" spans="1:12">
      <c r="A151" s="510"/>
      <c r="B151" s="510"/>
      <c r="C151" s="510"/>
      <c r="D151" s="510"/>
      <c r="E151" s="510"/>
      <c r="F151" s="510"/>
      <c r="G151" s="510"/>
      <c r="H151" s="510"/>
      <c r="I151" s="510"/>
      <c r="J151" s="510"/>
      <c r="K151" s="510"/>
      <c r="L151" s="510"/>
    </row>
    <row r="152" spans="1:12">
      <c r="A152" s="510"/>
      <c r="B152" s="510"/>
      <c r="C152" s="510"/>
      <c r="D152" s="510"/>
      <c r="E152" s="510"/>
      <c r="F152" s="510"/>
      <c r="G152" s="510"/>
      <c r="H152" s="510"/>
      <c r="I152" s="510"/>
      <c r="J152" s="510"/>
      <c r="K152" s="510"/>
      <c r="L152" s="510"/>
    </row>
    <row r="153" spans="1:12">
      <c r="A153" s="510"/>
      <c r="B153" s="510"/>
      <c r="C153" s="510"/>
      <c r="D153" s="510"/>
      <c r="E153" s="510"/>
      <c r="F153" s="510"/>
      <c r="G153" s="510"/>
      <c r="H153" s="510"/>
      <c r="I153" s="510"/>
      <c r="J153" s="510"/>
      <c r="K153" s="510"/>
      <c r="L153" s="510"/>
    </row>
    <row r="154" spans="1:12">
      <c r="A154" s="482"/>
      <c r="B154" s="482"/>
      <c r="C154" s="482"/>
      <c r="D154" s="482"/>
      <c r="E154" s="482"/>
      <c r="F154" s="482"/>
      <c r="G154" s="482"/>
      <c r="H154" s="482"/>
      <c r="I154" s="482"/>
      <c r="J154" s="482"/>
      <c r="K154" s="482"/>
      <c r="L154" s="482"/>
    </row>
    <row r="155" spans="1:12">
      <c r="A155" s="482"/>
      <c r="B155" s="482"/>
      <c r="C155" s="482"/>
      <c r="D155" s="482"/>
      <c r="E155" s="482"/>
      <c r="F155" s="482"/>
      <c r="G155" s="482"/>
      <c r="H155" s="482"/>
      <c r="I155" s="482"/>
      <c r="J155" s="482"/>
      <c r="K155" s="482"/>
      <c r="L155" s="482"/>
    </row>
    <row r="156" spans="1:12">
      <c r="A156" s="482"/>
      <c r="B156" s="482"/>
      <c r="C156" s="482"/>
      <c r="D156" s="482"/>
      <c r="E156" s="482"/>
      <c r="F156" s="482"/>
      <c r="G156" s="482"/>
      <c r="H156" s="482"/>
      <c r="I156" s="482"/>
      <c r="J156" s="482"/>
      <c r="K156" s="482"/>
      <c r="L156" s="482"/>
    </row>
    <row r="157" spans="1:12">
      <c r="A157" s="482"/>
      <c r="B157" s="482"/>
      <c r="C157" s="482"/>
      <c r="D157" s="482"/>
      <c r="E157" s="482"/>
      <c r="F157" s="482"/>
      <c r="G157" s="482"/>
      <c r="H157" s="482"/>
      <c r="I157" s="482"/>
      <c r="J157" s="482"/>
      <c r="K157" s="482"/>
      <c r="L157" s="482"/>
    </row>
    <row r="158" spans="1:12">
      <c r="A158" s="482"/>
      <c r="B158" s="482"/>
      <c r="C158" s="482"/>
      <c r="D158" s="482"/>
      <c r="E158" s="482"/>
      <c r="F158" s="482"/>
      <c r="G158" s="482"/>
      <c r="H158" s="482"/>
      <c r="I158" s="482"/>
      <c r="J158" s="482"/>
      <c r="K158" s="482"/>
      <c r="L158" s="482"/>
    </row>
    <row r="159" spans="1:12">
      <c r="A159" s="482"/>
      <c r="B159" s="482"/>
      <c r="C159" s="482"/>
      <c r="D159" s="482"/>
      <c r="E159" s="482"/>
      <c r="F159" s="482"/>
      <c r="G159" s="482"/>
      <c r="H159" s="482"/>
      <c r="I159" s="482"/>
      <c r="J159" s="482"/>
      <c r="K159" s="482"/>
      <c r="L159" s="482"/>
    </row>
    <row r="160" spans="1:12">
      <c r="A160" s="482"/>
      <c r="B160" s="482"/>
      <c r="C160" s="482"/>
      <c r="D160" s="482"/>
      <c r="E160" s="482"/>
      <c r="F160" s="482"/>
      <c r="G160" s="482"/>
      <c r="H160" s="482"/>
      <c r="I160" s="482"/>
      <c r="J160" s="482"/>
      <c r="K160" s="482"/>
      <c r="L160" s="482"/>
    </row>
    <row r="161" spans="1:12">
      <c r="A161" s="482"/>
      <c r="B161" s="482"/>
      <c r="C161" s="482"/>
      <c r="D161" s="482"/>
      <c r="E161" s="482"/>
      <c r="F161" s="482"/>
      <c r="G161" s="482"/>
      <c r="H161" s="482"/>
      <c r="I161" s="482"/>
      <c r="J161" s="482"/>
      <c r="K161" s="482"/>
      <c r="L161" s="482"/>
    </row>
    <row r="162" spans="1:12">
      <c r="A162" s="482"/>
      <c r="B162" s="482"/>
      <c r="C162" s="482"/>
      <c r="D162" s="482"/>
      <c r="E162" s="482"/>
      <c r="F162" s="482"/>
      <c r="G162" s="482"/>
      <c r="H162" s="482"/>
      <c r="I162" s="482"/>
      <c r="J162" s="482"/>
      <c r="K162" s="482"/>
      <c r="L162" s="482"/>
    </row>
    <row r="163" spans="1:12">
      <c r="A163" s="482"/>
      <c r="B163" s="482"/>
      <c r="C163" s="482"/>
      <c r="D163" s="482"/>
      <c r="E163" s="482"/>
      <c r="F163" s="482"/>
      <c r="G163" s="482"/>
      <c r="H163" s="482"/>
      <c r="I163" s="482"/>
      <c r="J163" s="482"/>
      <c r="K163" s="482"/>
      <c r="L163" s="482"/>
    </row>
    <row r="164" spans="1:12">
      <c r="A164" s="482"/>
      <c r="B164" s="482"/>
      <c r="C164" s="482"/>
      <c r="D164" s="482"/>
      <c r="E164" s="482"/>
      <c r="F164" s="482"/>
      <c r="G164" s="482"/>
      <c r="H164" s="482"/>
      <c r="I164" s="482"/>
      <c r="J164" s="482"/>
      <c r="K164" s="482"/>
      <c r="L164" s="482"/>
    </row>
    <row r="165" spans="1:12">
      <c r="A165" s="482"/>
      <c r="B165" s="482"/>
      <c r="C165" s="482"/>
      <c r="D165" s="482"/>
      <c r="E165" s="482"/>
      <c r="F165" s="482"/>
      <c r="G165" s="482"/>
      <c r="H165" s="482"/>
      <c r="I165" s="482"/>
      <c r="J165" s="482"/>
      <c r="K165" s="482"/>
      <c r="L165" s="482"/>
    </row>
    <row r="166" spans="1:12">
      <c r="A166" s="482"/>
      <c r="B166" s="482"/>
      <c r="C166" s="482"/>
      <c r="D166" s="482"/>
      <c r="E166" s="482"/>
      <c r="F166" s="482"/>
      <c r="G166" s="482"/>
      <c r="H166" s="482"/>
      <c r="I166" s="482"/>
      <c r="J166" s="482"/>
      <c r="K166" s="482"/>
      <c r="L166" s="482"/>
    </row>
    <row r="167" spans="1:12">
      <c r="A167" s="482"/>
      <c r="B167" s="482"/>
      <c r="C167" s="482"/>
      <c r="D167" s="482"/>
      <c r="E167" s="482"/>
      <c r="F167" s="482"/>
      <c r="G167" s="482"/>
      <c r="H167" s="482"/>
      <c r="I167" s="482"/>
      <c r="J167" s="482"/>
      <c r="K167" s="482"/>
      <c r="L167" s="482"/>
    </row>
    <row r="168" spans="1:12">
      <c r="A168" s="482"/>
      <c r="B168" s="482"/>
      <c r="C168" s="482"/>
      <c r="D168" s="482"/>
      <c r="E168" s="482"/>
      <c r="F168" s="482"/>
      <c r="G168" s="482"/>
      <c r="H168" s="482"/>
      <c r="I168" s="482"/>
      <c r="J168" s="482"/>
      <c r="K168" s="482"/>
      <c r="L168" s="482"/>
    </row>
    <row r="169" spans="1:12">
      <c r="A169" s="482"/>
      <c r="B169" s="482"/>
      <c r="C169" s="482"/>
      <c r="D169" s="482"/>
      <c r="E169" s="482"/>
      <c r="F169" s="482"/>
      <c r="G169" s="482"/>
      <c r="H169" s="482"/>
      <c r="I169" s="482"/>
      <c r="J169" s="482"/>
      <c r="K169" s="482"/>
      <c r="L169" s="482"/>
    </row>
    <row r="170" spans="1:12">
      <c r="A170" s="482"/>
      <c r="B170" s="482"/>
      <c r="C170" s="482"/>
      <c r="D170" s="482"/>
      <c r="E170" s="482"/>
      <c r="F170" s="482"/>
      <c r="G170" s="482"/>
      <c r="H170" s="482"/>
      <c r="I170" s="482"/>
      <c r="J170" s="482"/>
      <c r="K170" s="482"/>
      <c r="L170" s="482"/>
    </row>
    <row r="171" spans="1:12">
      <c r="A171" s="482"/>
      <c r="B171" s="482"/>
      <c r="C171" s="482"/>
      <c r="D171" s="482"/>
      <c r="E171" s="482"/>
      <c r="F171" s="482"/>
      <c r="G171" s="482"/>
      <c r="H171" s="482"/>
      <c r="I171" s="482"/>
      <c r="J171" s="482"/>
      <c r="K171" s="482"/>
      <c r="L171" s="482"/>
    </row>
    <row r="172" spans="1:12">
      <c r="A172" s="482"/>
      <c r="B172" s="482"/>
      <c r="C172" s="482"/>
      <c r="D172" s="482"/>
      <c r="E172" s="482"/>
      <c r="F172" s="482"/>
      <c r="G172" s="482"/>
      <c r="H172" s="482"/>
      <c r="I172" s="482"/>
      <c r="J172" s="482"/>
      <c r="K172" s="482"/>
      <c r="L172" s="482"/>
    </row>
    <row r="173" spans="1:12">
      <c r="A173" s="482"/>
      <c r="B173" s="482"/>
      <c r="C173" s="482"/>
      <c r="D173" s="482"/>
      <c r="E173" s="482"/>
      <c r="F173" s="482"/>
      <c r="G173" s="482"/>
      <c r="H173" s="482"/>
      <c r="I173" s="482"/>
      <c r="J173" s="482"/>
      <c r="K173" s="482"/>
      <c r="L173" s="482"/>
    </row>
    <row r="174" spans="1:12">
      <c r="A174" s="482"/>
      <c r="B174" s="482"/>
      <c r="C174" s="482"/>
      <c r="D174" s="482"/>
      <c r="E174" s="482"/>
      <c r="F174" s="482"/>
      <c r="G174" s="482"/>
      <c r="H174" s="482"/>
      <c r="I174" s="482"/>
      <c r="J174" s="482"/>
      <c r="K174" s="482"/>
      <c r="L174" s="482"/>
    </row>
    <row r="175" spans="1:12">
      <c r="A175" s="482"/>
      <c r="B175" s="482"/>
      <c r="C175" s="482"/>
      <c r="D175" s="482"/>
      <c r="E175" s="482"/>
      <c r="F175" s="482"/>
      <c r="G175" s="482"/>
      <c r="H175" s="482"/>
      <c r="I175" s="482"/>
      <c r="J175" s="482"/>
      <c r="K175" s="482"/>
      <c r="L175" s="482"/>
    </row>
    <row r="176" spans="1:12">
      <c r="A176" s="482"/>
      <c r="B176" s="482"/>
      <c r="C176" s="482"/>
      <c r="D176" s="482"/>
      <c r="E176" s="482"/>
      <c r="F176" s="482"/>
      <c r="G176" s="482"/>
      <c r="H176" s="482"/>
      <c r="I176" s="482"/>
      <c r="J176" s="482"/>
      <c r="K176" s="482"/>
      <c r="L176" s="482"/>
    </row>
    <row r="177" spans="1:12">
      <c r="A177" s="482"/>
      <c r="B177" s="482"/>
      <c r="C177" s="482"/>
      <c r="D177" s="482"/>
      <c r="E177" s="482"/>
      <c r="F177" s="482"/>
      <c r="G177" s="482"/>
      <c r="H177" s="482"/>
      <c r="I177" s="482"/>
      <c r="J177" s="482"/>
      <c r="K177" s="482"/>
      <c r="L177" s="482"/>
    </row>
    <row r="178" spans="1:12">
      <c r="A178" s="482"/>
      <c r="B178" s="482"/>
      <c r="C178" s="482"/>
      <c r="D178" s="482"/>
      <c r="E178" s="482"/>
      <c r="F178" s="482"/>
      <c r="G178" s="482"/>
      <c r="H178" s="482"/>
      <c r="I178" s="482"/>
      <c r="J178" s="482"/>
      <c r="K178" s="482"/>
      <c r="L178" s="482"/>
    </row>
    <row r="179" spans="1:12">
      <c r="A179" s="482"/>
      <c r="B179" s="482"/>
      <c r="C179" s="482"/>
      <c r="D179" s="482"/>
      <c r="E179" s="482"/>
      <c r="F179" s="482"/>
      <c r="G179" s="482"/>
      <c r="H179" s="482"/>
      <c r="I179" s="482"/>
      <c r="J179" s="482"/>
      <c r="K179" s="482"/>
      <c r="L179" s="482"/>
    </row>
    <row r="180" spans="1:12">
      <c r="A180" s="482"/>
      <c r="B180" s="482"/>
      <c r="C180" s="482"/>
      <c r="D180" s="482"/>
      <c r="E180" s="482"/>
      <c r="F180" s="482"/>
      <c r="G180" s="482"/>
      <c r="H180" s="482"/>
      <c r="I180" s="482"/>
      <c r="J180" s="482"/>
      <c r="K180" s="482"/>
      <c r="L180" s="482"/>
    </row>
    <row r="181" spans="1:12">
      <c r="A181" s="482"/>
      <c r="B181" s="482"/>
      <c r="C181" s="482"/>
      <c r="D181" s="482"/>
      <c r="E181" s="482"/>
      <c r="F181" s="482"/>
      <c r="G181" s="482"/>
      <c r="H181" s="482"/>
      <c r="I181" s="482"/>
      <c r="J181" s="482"/>
      <c r="K181" s="482"/>
      <c r="L181" s="482"/>
    </row>
    <row r="182" spans="1:12">
      <c r="A182" s="482"/>
      <c r="B182" s="482"/>
      <c r="C182" s="482"/>
      <c r="D182" s="482"/>
      <c r="E182" s="482"/>
      <c r="F182" s="482"/>
      <c r="G182" s="482"/>
      <c r="H182" s="482"/>
      <c r="I182" s="482"/>
      <c r="J182" s="482"/>
      <c r="K182" s="482"/>
      <c r="L182" s="482"/>
    </row>
    <row r="183" spans="1:12">
      <c r="A183" s="482"/>
      <c r="B183" s="482"/>
      <c r="C183" s="482"/>
      <c r="D183" s="482"/>
      <c r="E183" s="482"/>
      <c r="F183" s="482"/>
      <c r="G183" s="482"/>
      <c r="H183" s="482"/>
      <c r="I183" s="482"/>
      <c r="J183" s="482"/>
      <c r="K183" s="482"/>
      <c r="L183" s="482"/>
    </row>
    <row r="184" spans="1:12">
      <c r="A184" s="482"/>
      <c r="B184" s="482"/>
      <c r="C184" s="482"/>
      <c r="D184" s="482"/>
      <c r="E184" s="482"/>
      <c r="F184" s="482"/>
      <c r="G184" s="482"/>
      <c r="H184" s="482"/>
      <c r="I184" s="482"/>
      <c r="J184" s="482"/>
      <c r="K184" s="482"/>
      <c r="L184" s="482"/>
    </row>
    <row r="185" spans="1:12">
      <c r="A185" s="482"/>
      <c r="B185" s="482"/>
      <c r="C185" s="482"/>
      <c r="D185" s="482"/>
      <c r="E185" s="482"/>
      <c r="F185" s="482"/>
      <c r="G185" s="482"/>
      <c r="H185" s="482"/>
      <c r="I185" s="482"/>
      <c r="J185" s="482"/>
      <c r="K185" s="482"/>
      <c r="L185" s="482"/>
    </row>
    <row r="186" spans="1:12">
      <c r="A186" s="482"/>
      <c r="B186" s="482"/>
      <c r="C186" s="482"/>
      <c r="D186" s="482"/>
      <c r="E186" s="482"/>
      <c r="F186" s="482"/>
      <c r="G186" s="482"/>
      <c r="H186" s="482"/>
      <c r="I186" s="482"/>
      <c r="J186" s="482"/>
      <c r="K186" s="482"/>
      <c r="L186" s="482"/>
    </row>
    <row r="187" spans="1:12">
      <c r="A187" s="482"/>
      <c r="B187" s="482"/>
      <c r="C187" s="482"/>
      <c r="D187" s="482"/>
      <c r="E187" s="482"/>
      <c r="F187" s="482"/>
      <c r="G187" s="482"/>
      <c r="H187" s="482"/>
      <c r="I187" s="482"/>
      <c r="J187" s="482"/>
      <c r="K187" s="482"/>
      <c r="L187" s="482"/>
    </row>
    <row r="188" spans="1:12">
      <c r="A188" s="482"/>
      <c r="B188" s="482"/>
      <c r="C188" s="482"/>
      <c r="D188" s="482"/>
      <c r="E188" s="482"/>
      <c r="F188" s="482"/>
      <c r="G188" s="482"/>
      <c r="H188" s="482"/>
      <c r="I188" s="482"/>
      <c r="J188" s="482"/>
      <c r="K188" s="482"/>
      <c r="L188" s="482"/>
    </row>
    <row r="189" spans="1:12">
      <c r="A189" s="482"/>
      <c r="B189" s="482"/>
      <c r="C189" s="482"/>
      <c r="D189" s="482"/>
      <c r="E189" s="482"/>
      <c r="F189" s="482"/>
      <c r="G189" s="482"/>
      <c r="H189" s="482"/>
      <c r="I189" s="482"/>
      <c r="J189" s="482"/>
      <c r="K189" s="482"/>
      <c r="L189" s="482"/>
    </row>
    <row r="190" spans="1:12">
      <c r="A190" s="482"/>
      <c r="B190" s="482"/>
      <c r="C190" s="482"/>
      <c r="D190" s="482"/>
      <c r="E190" s="482"/>
      <c r="F190" s="482"/>
      <c r="G190" s="482"/>
      <c r="H190" s="482"/>
      <c r="I190" s="482"/>
      <c r="J190" s="482"/>
      <c r="K190" s="482"/>
      <c r="L190" s="482"/>
    </row>
    <row r="191" spans="1:12">
      <c r="A191" s="482"/>
      <c r="B191" s="482"/>
      <c r="C191" s="482"/>
      <c r="D191" s="482"/>
      <c r="E191" s="482"/>
      <c r="F191" s="482"/>
      <c r="G191" s="482"/>
      <c r="H191" s="482"/>
      <c r="I191" s="482"/>
      <c r="J191" s="482"/>
      <c r="K191" s="482"/>
      <c r="L191" s="482"/>
    </row>
    <row r="192" spans="1:12">
      <c r="A192" s="482"/>
      <c r="B192" s="482"/>
      <c r="C192" s="482"/>
      <c r="D192" s="482"/>
      <c r="E192" s="482"/>
      <c r="F192" s="482"/>
      <c r="G192" s="482"/>
      <c r="H192" s="482"/>
      <c r="I192" s="482"/>
      <c r="J192" s="482"/>
      <c r="K192" s="482"/>
      <c r="L192" s="482"/>
    </row>
    <row r="193" spans="1:12">
      <c r="A193" s="482"/>
      <c r="B193" s="482"/>
      <c r="C193" s="482"/>
      <c r="D193" s="482"/>
      <c r="E193" s="482"/>
      <c r="F193" s="482"/>
      <c r="G193" s="482"/>
      <c r="H193" s="482"/>
      <c r="I193" s="482"/>
      <c r="J193" s="482"/>
      <c r="K193" s="482"/>
      <c r="L193" s="482"/>
    </row>
    <row r="194" spans="1:12">
      <c r="A194" s="482"/>
      <c r="B194" s="482"/>
      <c r="C194" s="482"/>
      <c r="D194" s="482"/>
      <c r="E194" s="482"/>
      <c r="F194" s="482"/>
      <c r="G194" s="482"/>
      <c r="H194" s="482"/>
      <c r="I194" s="482"/>
      <c r="J194" s="482"/>
      <c r="K194" s="482"/>
      <c r="L194" s="482"/>
    </row>
    <row r="195" spans="1:12">
      <c r="A195" s="482"/>
      <c r="B195" s="482"/>
      <c r="C195" s="482"/>
      <c r="D195" s="482"/>
      <c r="E195" s="482"/>
      <c r="F195" s="482"/>
      <c r="G195" s="482"/>
      <c r="H195" s="482"/>
      <c r="I195" s="482"/>
      <c r="J195" s="482"/>
      <c r="K195" s="482"/>
      <c r="L195" s="482"/>
    </row>
    <row r="196" spans="1:12">
      <c r="A196" s="482"/>
      <c r="B196" s="482"/>
      <c r="C196" s="482"/>
      <c r="D196" s="482"/>
      <c r="E196" s="482"/>
      <c r="F196" s="482"/>
      <c r="G196" s="482"/>
      <c r="H196" s="482"/>
      <c r="I196" s="482"/>
      <c r="J196" s="482"/>
      <c r="K196" s="482"/>
      <c r="L196" s="482"/>
    </row>
    <row r="197" spans="1:12">
      <c r="A197" s="482"/>
      <c r="B197" s="482"/>
      <c r="C197" s="482"/>
      <c r="D197" s="482"/>
      <c r="E197" s="482"/>
      <c r="F197" s="482"/>
      <c r="G197" s="482"/>
      <c r="H197" s="482"/>
      <c r="I197" s="482"/>
      <c r="J197" s="482"/>
      <c r="K197" s="482"/>
      <c r="L197" s="482"/>
    </row>
    <row r="198" spans="1:12">
      <c r="A198" s="482"/>
      <c r="B198" s="482"/>
      <c r="C198" s="482"/>
      <c r="D198" s="482"/>
      <c r="E198" s="482"/>
      <c r="F198" s="482"/>
      <c r="G198" s="482"/>
      <c r="H198" s="482"/>
      <c r="I198" s="482"/>
      <c r="J198" s="482"/>
      <c r="K198" s="482"/>
      <c r="L198" s="482"/>
    </row>
    <row r="199" spans="1:12">
      <c r="A199" s="482"/>
      <c r="B199" s="482"/>
      <c r="C199" s="482"/>
      <c r="D199" s="482"/>
      <c r="E199" s="482"/>
      <c r="F199" s="482"/>
      <c r="G199" s="482"/>
      <c r="H199" s="482"/>
      <c r="I199" s="482"/>
      <c r="J199" s="482"/>
      <c r="K199" s="482"/>
      <c r="L199" s="482"/>
    </row>
    <row r="200" spans="1:12">
      <c r="A200" s="482"/>
      <c r="B200" s="482"/>
      <c r="C200" s="482"/>
      <c r="D200" s="482"/>
      <c r="E200" s="482"/>
      <c r="F200" s="482"/>
      <c r="G200" s="482"/>
      <c r="H200" s="482"/>
      <c r="I200" s="482"/>
      <c r="J200" s="482"/>
      <c r="K200" s="482"/>
      <c r="L200" s="482"/>
    </row>
    <row r="201" spans="1:12">
      <c r="A201" s="482"/>
      <c r="B201" s="482"/>
      <c r="C201" s="482"/>
      <c r="D201" s="482"/>
      <c r="E201" s="482"/>
      <c r="F201" s="482"/>
      <c r="G201" s="482"/>
      <c r="H201" s="482"/>
      <c r="I201" s="482"/>
      <c r="J201" s="482"/>
      <c r="K201" s="482"/>
      <c r="L201" s="482"/>
    </row>
    <row r="202" spans="1:12">
      <c r="A202" s="482"/>
      <c r="B202" s="482"/>
      <c r="C202" s="482"/>
      <c r="D202" s="482"/>
      <c r="E202" s="482"/>
      <c r="F202" s="482"/>
      <c r="G202" s="482"/>
      <c r="H202" s="482"/>
      <c r="I202" s="482"/>
      <c r="J202" s="482"/>
      <c r="K202" s="482"/>
      <c r="L202" s="482"/>
    </row>
    <row r="203" spans="1:12">
      <c r="A203" s="482"/>
      <c r="B203" s="482"/>
      <c r="C203" s="482"/>
      <c r="D203" s="482"/>
      <c r="E203" s="482"/>
      <c r="F203" s="482"/>
      <c r="G203" s="482"/>
      <c r="H203" s="482"/>
      <c r="I203" s="482"/>
      <c r="J203" s="482"/>
      <c r="K203" s="482"/>
      <c r="L203" s="482"/>
    </row>
    <row r="204" spans="1:12">
      <c r="A204" s="482"/>
      <c r="B204" s="482"/>
      <c r="C204" s="482"/>
      <c r="D204" s="482"/>
      <c r="E204" s="482"/>
      <c r="F204" s="482"/>
      <c r="G204" s="482"/>
      <c r="H204" s="482"/>
      <c r="I204" s="482"/>
      <c r="J204" s="482"/>
      <c r="K204" s="482"/>
      <c r="L204" s="482"/>
    </row>
    <row r="205" spans="1:12">
      <c r="A205" s="482"/>
      <c r="B205" s="482"/>
      <c r="C205" s="482"/>
      <c r="D205" s="482"/>
      <c r="E205" s="482"/>
      <c r="F205" s="482"/>
      <c r="G205" s="482"/>
      <c r="H205" s="482"/>
      <c r="I205" s="482"/>
      <c r="J205" s="482"/>
      <c r="K205" s="482"/>
      <c r="L205" s="482"/>
    </row>
    <row r="206" spans="1:12">
      <c r="A206" s="482"/>
      <c r="B206" s="482"/>
      <c r="C206" s="482"/>
      <c r="D206" s="482"/>
      <c r="E206" s="482"/>
      <c r="F206" s="482"/>
      <c r="G206" s="482"/>
      <c r="H206" s="482"/>
      <c r="I206" s="482"/>
      <c r="J206" s="482"/>
      <c r="K206" s="482"/>
      <c r="L206" s="482"/>
    </row>
    <row r="207" spans="1:12">
      <c r="A207" s="482"/>
      <c r="B207" s="482"/>
      <c r="C207" s="482"/>
      <c r="D207" s="482"/>
      <c r="E207" s="482"/>
      <c r="F207" s="482"/>
      <c r="G207" s="482"/>
      <c r="H207" s="482"/>
      <c r="I207" s="482"/>
      <c r="J207" s="482"/>
      <c r="K207" s="482"/>
      <c r="L207" s="482"/>
    </row>
    <row r="208" spans="1:12">
      <c r="A208" s="482"/>
      <c r="B208" s="482"/>
      <c r="C208" s="482"/>
      <c r="D208" s="482"/>
      <c r="E208" s="482"/>
      <c r="F208" s="482"/>
      <c r="G208" s="482"/>
      <c r="H208" s="482"/>
      <c r="I208" s="482"/>
      <c r="J208" s="482"/>
      <c r="K208" s="482"/>
      <c r="L208" s="482"/>
    </row>
    <row r="209" spans="1:12">
      <c r="A209" s="482"/>
      <c r="B209" s="482"/>
      <c r="C209" s="482"/>
      <c r="D209" s="482"/>
      <c r="E209" s="482"/>
      <c r="F209" s="482"/>
      <c r="G209" s="482"/>
      <c r="H209" s="482"/>
      <c r="I209" s="482"/>
      <c r="J209" s="482"/>
      <c r="K209" s="482"/>
      <c r="L209" s="482"/>
    </row>
    <row r="210" spans="1:12">
      <c r="A210" s="482"/>
      <c r="B210" s="482"/>
      <c r="C210" s="482"/>
      <c r="D210" s="482"/>
      <c r="E210" s="482"/>
      <c r="F210" s="482"/>
      <c r="G210" s="482"/>
      <c r="H210" s="482"/>
      <c r="I210" s="482"/>
      <c r="J210" s="482"/>
      <c r="K210" s="482"/>
      <c r="L210" s="482"/>
    </row>
    <row r="211" spans="1:12">
      <c r="A211" s="482"/>
      <c r="B211" s="482"/>
      <c r="C211" s="482"/>
      <c r="D211" s="482"/>
      <c r="E211" s="482"/>
      <c r="F211" s="482"/>
      <c r="G211" s="482"/>
      <c r="H211" s="482"/>
      <c r="I211" s="482"/>
      <c r="J211" s="482"/>
      <c r="K211" s="482"/>
      <c r="L211" s="482"/>
    </row>
    <row r="212" spans="1:12">
      <c r="A212" s="482"/>
      <c r="B212" s="482"/>
      <c r="C212" s="482"/>
      <c r="D212" s="482"/>
      <c r="E212" s="482"/>
      <c r="F212" s="482"/>
      <c r="G212" s="482"/>
      <c r="H212" s="482"/>
      <c r="I212" s="482"/>
      <c r="J212" s="482"/>
      <c r="K212" s="482"/>
      <c r="L212" s="482"/>
    </row>
    <row r="213" spans="1:12">
      <c r="A213" s="482"/>
      <c r="B213" s="482"/>
      <c r="C213" s="482"/>
      <c r="D213" s="482"/>
      <c r="E213" s="482"/>
      <c r="F213" s="482"/>
      <c r="G213" s="482"/>
      <c r="H213" s="482"/>
      <c r="I213" s="482"/>
      <c r="J213" s="482"/>
      <c r="K213" s="482"/>
      <c r="L213" s="482"/>
    </row>
    <row r="214" spans="1:12">
      <c r="A214" s="482"/>
      <c r="B214" s="482"/>
      <c r="C214" s="482"/>
      <c r="D214" s="482"/>
      <c r="E214" s="482"/>
      <c r="F214" s="482"/>
      <c r="G214" s="482"/>
      <c r="H214" s="482"/>
      <c r="I214" s="482"/>
      <c r="J214" s="482"/>
      <c r="K214" s="482"/>
      <c r="L214" s="482"/>
    </row>
    <row r="215" spans="1:12">
      <c r="A215" s="482"/>
      <c r="B215" s="482"/>
      <c r="C215" s="482"/>
      <c r="D215" s="482"/>
      <c r="E215" s="482"/>
      <c r="F215" s="482"/>
      <c r="G215" s="482"/>
      <c r="H215" s="482"/>
      <c r="I215" s="482"/>
      <c r="J215" s="482"/>
      <c r="K215" s="482"/>
      <c r="L215" s="482"/>
    </row>
    <row r="216" spans="1:12">
      <c r="A216" s="482"/>
      <c r="B216" s="482"/>
      <c r="C216" s="482"/>
      <c r="D216" s="482"/>
      <c r="E216" s="482"/>
      <c r="F216" s="482"/>
      <c r="G216" s="482"/>
      <c r="H216" s="482"/>
      <c r="I216" s="482"/>
      <c r="J216" s="482"/>
      <c r="K216" s="482"/>
      <c r="L216" s="482"/>
    </row>
    <row r="217" spans="1:12">
      <c r="A217" s="482"/>
      <c r="B217" s="482"/>
      <c r="C217" s="482"/>
      <c r="D217" s="482"/>
      <c r="E217" s="482"/>
      <c r="F217" s="482"/>
      <c r="G217" s="482"/>
      <c r="H217" s="482"/>
      <c r="I217" s="482"/>
      <c r="J217" s="482"/>
      <c r="K217" s="482"/>
      <c r="L217" s="482"/>
    </row>
    <row r="218" spans="1:12">
      <c r="A218" s="482"/>
      <c r="B218" s="482"/>
      <c r="C218" s="482"/>
      <c r="D218" s="482"/>
      <c r="E218" s="482"/>
      <c r="F218" s="482"/>
      <c r="G218" s="482"/>
      <c r="H218" s="482"/>
      <c r="I218" s="482"/>
      <c r="J218" s="482"/>
      <c r="K218" s="482"/>
      <c r="L218" s="482"/>
    </row>
    <row r="219" spans="1:12">
      <c r="A219" s="482"/>
      <c r="B219" s="482"/>
      <c r="C219" s="482"/>
      <c r="D219" s="482"/>
      <c r="E219" s="482"/>
      <c r="F219" s="482"/>
      <c r="G219" s="482"/>
      <c r="H219" s="482"/>
      <c r="I219" s="482"/>
      <c r="J219" s="482"/>
      <c r="K219" s="482"/>
      <c r="L219" s="482"/>
    </row>
    <row r="220" spans="1:12">
      <c r="A220" s="482"/>
      <c r="B220" s="482"/>
      <c r="C220" s="482"/>
      <c r="D220" s="482"/>
      <c r="E220" s="482"/>
      <c r="F220" s="482"/>
      <c r="G220" s="482"/>
      <c r="H220" s="482"/>
      <c r="I220" s="482"/>
      <c r="J220" s="482"/>
      <c r="K220" s="482"/>
      <c r="L220" s="482"/>
    </row>
    <row r="221" spans="1:12">
      <c r="A221" s="482"/>
      <c r="B221" s="482"/>
      <c r="C221" s="482"/>
      <c r="D221" s="482"/>
      <c r="E221" s="482"/>
      <c r="F221" s="482"/>
      <c r="G221" s="482"/>
      <c r="H221" s="482"/>
      <c r="I221" s="482"/>
      <c r="J221" s="482"/>
      <c r="K221" s="482"/>
      <c r="L221" s="482"/>
    </row>
    <row r="222" spans="1:12">
      <c r="A222" s="482"/>
      <c r="B222" s="482"/>
      <c r="C222" s="482"/>
      <c r="D222" s="482"/>
      <c r="E222" s="482"/>
      <c r="F222" s="482"/>
      <c r="G222" s="482"/>
      <c r="H222" s="482"/>
      <c r="I222" s="482"/>
      <c r="J222" s="482"/>
      <c r="K222" s="482"/>
      <c r="L222" s="482"/>
    </row>
    <row r="223" spans="1:12">
      <c r="A223" s="482"/>
      <c r="B223" s="482"/>
      <c r="C223" s="482"/>
      <c r="D223" s="482"/>
      <c r="E223" s="482"/>
      <c r="F223" s="482"/>
      <c r="G223" s="482"/>
      <c r="H223" s="482"/>
      <c r="I223" s="482"/>
      <c r="J223" s="482"/>
      <c r="K223" s="482"/>
      <c r="L223" s="482"/>
    </row>
    <row r="224" spans="1:12">
      <c r="A224" s="482"/>
      <c r="B224" s="482"/>
      <c r="C224" s="482"/>
      <c r="D224" s="482"/>
      <c r="E224" s="482"/>
      <c r="F224" s="482"/>
      <c r="G224" s="482"/>
      <c r="H224" s="482"/>
      <c r="I224" s="482"/>
      <c r="J224" s="482"/>
      <c r="K224" s="482"/>
      <c r="L224" s="482"/>
    </row>
    <row r="225" spans="1:12">
      <c r="A225" s="482"/>
      <c r="B225" s="482"/>
      <c r="C225" s="482"/>
      <c r="D225" s="482"/>
      <c r="E225" s="482"/>
      <c r="F225" s="482"/>
      <c r="G225" s="482"/>
      <c r="H225" s="482"/>
      <c r="I225" s="482"/>
      <c r="J225" s="482"/>
      <c r="K225" s="482"/>
      <c r="L225" s="482"/>
    </row>
    <row r="226" spans="1:12">
      <c r="A226" s="482"/>
      <c r="B226" s="482"/>
      <c r="C226" s="482"/>
      <c r="D226" s="482"/>
      <c r="E226" s="482"/>
      <c r="F226" s="482"/>
      <c r="G226" s="482"/>
      <c r="H226" s="482"/>
      <c r="I226" s="482"/>
      <c r="J226" s="482"/>
      <c r="K226" s="482"/>
      <c r="L226" s="482"/>
    </row>
    <row r="227" spans="1:12">
      <c r="A227" s="482"/>
      <c r="B227" s="482"/>
      <c r="C227" s="482"/>
      <c r="D227" s="482"/>
      <c r="E227" s="482"/>
      <c r="F227" s="482"/>
      <c r="G227" s="482"/>
      <c r="H227" s="482"/>
      <c r="I227" s="482"/>
      <c r="J227" s="482"/>
      <c r="K227" s="482"/>
      <c r="L227" s="482"/>
    </row>
    <row r="228" spans="1:12">
      <c r="A228" s="482"/>
      <c r="B228" s="482"/>
      <c r="C228" s="482"/>
      <c r="D228" s="482"/>
      <c r="E228" s="482"/>
      <c r="F228" s="482"/>
      <c r="G228" s="482"/>
      <c r="H228" s="482"/>
      <c r="I228" s="482"/>
      <c r="J228" s="482"/>
      <c r="K228" s="482"/>
      <c r="L228" s="482"/>
    </row>
    <row r="229" spans="1:12">
      <c r="A229" s="482"/>
      <c r="B229" s="482"/>
      <c r="C229" s="482"/>
      <c r="D229" s="482"/>
      <c r="E229" s="482"/>
      <c r="F229" s="482"/>
      <c r="G229" s="482"/>
      <c r="H229" s="482"/>
      <c r="I229" s="482"/>
      <c r="J229" s="482"/>
      <c r="K229" s="482"/>
      <c r="L229" s="482"/>
    </row>
    <row r="230" spans="1:12">
      <c r="A230" s="482"/>
      <c r="B230" s="482"/>
      <c r="C230" s="482"/>
      <c r="D230" s="482"/>
      <c r="E230" s="482"/>
      <c r="F230" s="482"/>
      <c r="G230" s="482"/>
      <c r="H230" s="482"/>
      <c r="I230" s="482"/>
      <c r="J230" s="482"/>
      <c r="K230" s="482"/>
      <c r="L230" s="482"/>
    </row>
    <row r="231" spans="1:12">
      <c r="A231" s="482"/>
      <c r="B231" s="482"/>
      <c r="C231" s="482"/>
      <c r="D231" s="482"/>
      <c r="E231" s="482"/>
      <c r="F231" s="482"/>
      <c r="G231" s="482"/>
      <c r="H231" s="482"/>
      <c r="I231" s="482"/>
      <c r="J231" s="482"/>
      <c r="K231" s="482"/>
      <c r="L231" s="482"/>
    </row>
    <row r="232" spans="1:12">
      <c r="A232" s="482"/>
      <c r="B232" s="482"/>
      <c r="C232" s="482"/>
      <c r="D232" s="482"/>
      <c r="E232" s="482"/>
      <c r="F232" s="482"/>
      <c r="G232" s="482"/>
      <c r="H232" s="482"/>
      <c r="I232" s="482"/>
      <c r="J232" s="482"/>
      <c r="K232" s="482"/>
      <c r="L232" s="482"/>
    </row>
    <row r="233" spans="1:12">
      <c r="A233" s="482"/>
      <c r="B233" s="482"/>
      <c r="C233" s="482"/>
      <c r="D233" s="482"/>
      <c r="E233" s="482"/>
      <c r="F233" s="482"/>
      <c r="G233" s="482"/>
      <c r="H233" s="482"/>
      <c r="I233" s="482"/>
      <c r="J233" s="482"/>
      <c r="K233" s="482"/>
      <c r="L233" s="482"/>
    </row>
    <row r="234" spans="1:12">
      <c r="A234" s="482"/>
      <c r="B234" s="482"/>
      <c r="C234" s="482"/>
      <c r="D234" s="482"/>
      <c r="E234" s="482"/>
      <c r="F234" s="482"/>
      <c r="G234" s="482"/>
      <c r="H234" s="482"/>
      <c r="I234" s="482"/>
      <c r="J234" s="482"/>
      <c r="K234" s="482"/>
      <c r="L234" s="482"/>
    </row>
    <row r="235" spans="1:12">
      <c r="A235" s="482"/>
      <c r="B235" s="482"/>
      <c r="C235" s="482"/>
      <c r="D235" s="482"/>
      <c r="E235" s="482"/>
      <c r="F235" s="482"/>
      <c r="G235" s="482"/>
      <c r="H235" s="482"/>
      <c r="I235" s="482"/>
      <c r="J235" s="482"/>
      <c r="K235" s="482"/>
      <c r="L235" s="482"/>
    </row>
    <row r="236" spans="1:12">
      <c r="A236" s="482"/>
      <c r="B236" s="482"/>
      <c r="C236" s="482"/>
      <c r="D236" s="482"/>
      <c r="E236" s="482"/>
      <c r="F236" s="482"/>
      <c r="G236" s="482"/>
      <c r="H236" s="482"/>
      <c r="I236" s="482"/>
      <c r="J236" s="482"/>
      <c r="K236" s="482"/>
      <c r="L236" s="482"/>
    </row>
    <row r="237" spans="1:12">
      <c r="A237" s="482"/>
      <c r="B237" s="482"/>
      <c r="C237" s="482"/>
      <c r="D237" s="482"/>
      <c r="E237" s="482"/>
      <c r="F237" s="482"/>
      <c r="G237" s="482"/>
      <c r="H237" s="482"/>
      <c r="I237" s="482"/>
      <c r="J237" s="482"/>
      <c r="K237" s="482"/>
      <c r="L237" s="482"/>
    </row>
    <row r="238" spans="1:12">
      <c r="A238" s="482"/>
      <c r="B238" s="482"/>
      <c r="C238" s="482"/>
      <c r="D238" s="482"/>
      <c r="E238" s="482"/>
      <c r="F238" s="482"/>
      <c r="G238" s="482"/>
      <c r="H238" s="482"/>
      <c r="I238" s="482"/>
      <c r="J238" s="482"/>
      <c r="K238" s="482"/>
      <c r="L238" s="482"/>
    </row>
    <row r="239" spans="1:12">
      <c r="A239" s="482"/>
      <c r="B239" s="482"/>
      <c r="C239" s="482"/>
      <c r="D239" s="482"/>
      <c r="E239" s="482"/>
      <c r="F239" s="482"/>
      <c r="G239" s="482"/>
      <c r="H239" s="482"/>
      <c r="I239" s="482"/>
      <c r="J239" s="482"/>
      <c r="K239" s="482"/>
      <c r="L239" s="482"/>
    </row>
    <row r="240" spans="1:12">
      <c r="A240" s="482"/>
      <c r="B240" s="482"/>
      <c r="C240" s="482"/>
      <c r="D240" s="482"/>
      <c r="E240" s="482"/>
      <c r="F240" s="482"/>
      <c r="G240" s="482"/>
      <c r="H240" s="482"/>
      <c r="I240" s="482"/>
      <c r="J240" s="482"/>
      <c r="K240" s="482"/>
      <c r="L240" s="482"/>
    </row>
    <row r="241" spans="1:12">
      <c r="A241" s="482"/>
      <c r="B241" s="482"/>
      <c r="C241" s="482"/>
      <c r="D241" s="482"/>
      <c r="E241" s="482"/>
      <c r="F241" s="482"/>
      <c r="G241" s="482"/>
      <c r="H241" s="482"/>
      <c r="I241" s="482"/>
      <c r="J241" s="482"/>
      <c r="K241" s="482"/>
      <c r="L241" s="482"/>
    </row>
    <row r="242" spans="1:12">
      <c r="A242" s="482"/>
      <c r="B242" s="482"/>
      <c r="C242" s="482"/>
      <c r="D242" s="482"/>
      <c r="E242" s="482"/>
      <c r="F242" s="482"/>
      <c r="G242" s="482"/>
      <c r="H242" s="482"/>
      <c r="I242" s="482"/>
      <c r="J242" s="482"/>
      <c r="K242" s="482"/>
      <c r="L242" s="482"/>
    </row>
    <row r="243" spans="1:12">
      <c r="A243" s="482"/>
      <c r="B243" s="482"/>
      <c r="C243" s="482"/>
      <c r="D243" s="482"/>
      <c r="E243" s="482"/>
      <c r="F243" s="482"/>
      <c r="G243" s="482"/>
      <c r="H243" s="482"/>
      <c r="I243" s="482"/>
      <c r="J243" s="482"/>
      <c r="K243" s="482"/>
      <c r="L243" s="482"/>
    </row>
    <row r="244" spans="1:12">
      <c r="A244" s="482"/>
      <c r="B244" s="482"/>
      <c r="C244" s="482"/>
      <c r="D244" s="482"/>
      <c r="E244" s="482"/>
      <c r="F244" s="482"/>
      <c r="G244" s="482"/>
      <c r="H244" s="482"/>
      <c r="I244" s="482"/>
      <c r="J244" s="482"/>
      <c r="K244" s="482"/>
      <c r="L244" s="482"/>
    </row>
    <row r="245" spans="1:12">
      <c r="A245" s="482"/>
      <c r="B245" s="482"/>
      <c r="C245" s="482"/>
      <c r="D245" s="482"/>
      <c r="E245" s="482"/>
      <c r="F245" s="482"/>
      <c r="G245" s="482"/>
      <c r="H245" s="482"/>
      <c r="I245" s="482"/>
      <c r="J245" s="482"/>
      <c r="K245" s="482"/>
      <c r="L245" s="482"/>
    </row>
    <row r="246" spans="1:12">
      <c r="A246" s="482"/>
      <c r="B246" s="482"/>
      <c r="C246" s="482"/>
      <c r="D246" s="482"/>
      <c r="E246" s="482"/>
      <c r="F246" s="482"/>
      <c r="G246" s="482"/>
      <c r="H246" s="482"/>
      <c r="I246" s="482"/>
      <c r="J246" s="482"/>
      <c r="K246" s="482"/>
      <c r="L246" s="482"/>
    </row>
    <row r="247" spans="1:12">
      <c r="A247" s="482"/>
      <c r="B247" s="482"/>
      <c r="C247" s="482"/>
      <c r="D247" s="482"/>
      <c r="E247" s="482"/>
      <c r="F247" s="482"/>
      <c r="G247" s="482"/>
      <c r="H247" s="482"/>
      <c r="I247" s="482"/>
      <c r="J247" s="482"/>
      <c r="K247" s="482"/>
      <c r="L247" s="482"/>
    </row>
    <row r="248" spans="1:12">
      <c r="A248" s="482"/>
      <c r="B248" s="482"/>
      <c r="C248" s="482"/>
      <c r="D248" s="482"/>
      <c r="E248" s="482"/>
      <c r="F248" s="482"/>
      <c r="G248" s="482"/>
      <c r="H248" s="482"/>
      <c r="I248" s="482"/>
      <c r="J248" s="482"/>
      <c r="K248" s="482"/>
      <c r="L248" s="482"/>
    </row>
    <row r="249" spans="1:12">
      <c r="A249" s="482"/>
      <c r="B249" s="482"/>
      <c r="C249" s="482"/>
      <c r="D249" s="482"/>
      <c r="E249" s="482"/>
      <c r="F249" s="482"/>
      <c r="G249" s="482"/>
      <c r="H249" s="482"/>
      <c r="I249" s="482"/>
      <c r="J249" s="482"/>
      <c r="K249" s="482"/>
      <c r="L249" s="482"/>
    </row>
    <row r="250" spans="1:12">
      <c r="A250" s="482"/>
      <c r="B250" s="482"/>
      <c r="C250" s="482"/>
      <c r="D250" s="482"/>
      <c r="E250" s="482"/>
      <c r="F250" s="482"/>
      <c r="G250" s="482"/>
      <c r="H250" s="482"/>
      <c r="I250" s="482"/>
      <c r="J250" s="482"/>
      <c r="K250" s="482"/>
      <c r="L250" s="482"/>
    </row>
    <row r="251" spans="1:12">
      <c r="A251" s="482"/>
      <c r="B251" s="482"/>
      <c r="C251" s="482"/>
      <c r="D251" s="482"/>
      <c r="E251" s="482"/>
      <c r="F251" s="482"/>
      <c r="G251" s="482"/>
      <c r="H251" s="482"/>
      <c r="I251" s="482"/>
      <c r="J251" s="482"/>
      <c r="K251" s="482"/>
      <c r="L251" s="482"/>
    </row>
    <row r="252" spans="1:12">
      <c r="A252" s="482"/>
      <c r="B252" s="482"/>
      <c r="C252" s="482"/>
      <c r="D252" s="482"/>
      <c r="E252" s="482"/>
      <c r="F252" s="482"/>
      <c r="G252" s="482"/>
      <c r="H252" s="482"/>
      <c r="I252" s="482"/>
      <c r="J252" s="482"/>
      <c r="K252" s="482"/>
      <c r="L252" s="482"/>
    </row>
    <row r="253" spans="1:12">
      <c r="A253" s="482"/>
      <c r="B253" s="482"/>
      <c r="C253" s="482"/>
      <c r="D253" s="482"/>
      <c r="E253" s="482"/>
      <c r="F253" s="482"/>
      <c r="G253" s="482"/>
      <c r="H253" s="482"/>
      <c r="I253" s="482"/>
      <c r="J253" s="482"/>
      <c r="K253" s="482"/>
      <c r="L253" s="482"/>
    </row>
    <row r="254" spans="1:12">
      <c r="A254" s="482"/>
      <c r="B254" s="482"/>
      <c r="C254" s="482"/>
      <c r="D254" s="482"/>
      <c r="E254" s="482"/>
      <c r="F254" s="482"/>
      <c r="G254" s="482"/>
      <c r="H254" s="482"/>
      <c r="I254" s="482"/>
      <c r="J254" s="482"/>
      <c r="K254" s="482"/>
      <c r="L254" s="482"/>
    </row>
    <row r="255" spans="1:12">
      <c r="A255" s="482"/>
      <c r="B255" s="482"/>
      <c r="C255" s="482"/>
      <c r="D255" s="482"/>
      <c r="E255" s="482"/>
      <c r="F255" s="482"/>
      <c r="G255" s="482"/>
      <c r="H255" s="482"/>
      <c r="I255" s="482"/>
      <c r="J255" s="482"/>
      <c r="K255" s="482"/>
      <c r="L255" s="482"/>
    </row>
    <row r="256" spans="1:12">
      <c r="A256" s="482"/>
      <c r="B256" s="482"/>
      <c r="C256" s="482"/>
      <c r="D256" s="482"/>
      <c r="E256" s="482"/>
      <c r="F256" s="482"/>
      <c r="G256" s="482"/>
      <c r="H256" s="482"/>
      <c r="I256" s="482"/>
      <c r="J256" s="482"/>
      <c r="K256" s="482"/>
      <c r="L256" s="482"/>
    </row>
    <row r="257" spans="1:12">
      <c r="A257" s="482"/>
      <c r="B257" s="482"/>
      <c r="C257" s="482"/>
      <c r="D257" s="482"/>
      <c r="E257" s="482"/>
      <c r="F257" s="482"/>
      <c r="G257" s="482"/>
      <c r="H257" s="482"/>
      <c r="I257" s="482"/>
      <c r="J257" s="482"/>
      <c r="K257" s="482"/>
      <c r="L257" s="482"/>
    </row>
    <row r="258" spans="1:12">
      <c r="A258" s="482"/>
      <c r="B258" s="482"/>
      <c r="C258" s="482"/>
      <c r="D258" s="482"/>
      <c r="E258" s="482"/>
      <c r="F258" s="482"/>
      <c r="G258" s="482"/>
      <c r="H258" s="482"/>
      <c r="I258" s="482"/>
      <c r="J258" s="482"/>
      <c r="K258" s="482"/>
      <c r="L258" s="482"/>
    </row>
    <row r="259" spans="1:12">
      <c r="A259" s="482"/>
      <c r="B259" s="482"/>
      <c r="C259" s="482"/>
      <c r="D259" s="482"/>
      <c r="E259" s="482"/>
      <c r="F259" s="482"/>
      <c r="G259" s="482"/>
      <c r="H259" s="482"/>
      <c r="I259" s="482"/>
      <c r="J259" s="482"/>
      <c r="K259" s="482"/>
      <c r="L259" s="482"/>
    </row>
    <row r="260" spans="1:12">
      <c r="A260" s="482"/>
      <c r="B260" s="482"/>
      <c r="C260" s="482"/>
      <c r="D260" s="482"/>
      <c r="E260" s="482"/>
      <c r="F260" s="482"/>
      <c r="G260" s="482"/>
      <c r="H260" s="482"/>
      <c r="I260" s="482"/>
      <c r="J260" s="482"/>
      <c r="K260" s="482"/>
      <c r="L260" s="482"/>
    </row>
    <row r="261" spans="1:12">
      <c r="A261" s="482"/>
      <c r="B261" s="482"/>
      <c r="C261" s="482"/>
      <c r="D261" s="482"/>
      <c r="E261" s="482"/>
      <c r="F261" s="482"/>
      <c r="G261" s="482"/>
      <c r="H261" s="482"/>
      <c r="I261" s="482"/>
      <c r="J261" s="482"/>
      <c r="K261" s="482"/>
      <c r="L261" s="482"/>
    </row>
    <row r="262" spans="1:12">
      <c r="A262" s="482"/>
      <c r="B262" s="482"/>
      <c r="C262" s="482"/>
      <c r="D262" s="482"/>
      <c r="E262" s="482"/>
      <c r="F262" s="482"/>
      <c r="G262" s="482"/>
      <c r="H262" s="482"/>
      <c r="I262" s="482"/>
      <c r="J262" s="482"/>
      <c r="K262" s="482"/>
      <c r="L262" s="482"/>
    </row>
    <row r="263" spans="1:12">
      <c r="A263" s="482"/>
      <c r="B263" s="482"/>
      <c r="C263" s="482"/>
      <c r="D263" s="482"/>
      <c r="E263" s="482"/>
      <c r="F263" s="482"/>
      <c r="G263" s="482"/>
      <c r="H263" s="482"/>
      <c r="I263" s="482"/>
      <c r="J263" s="482"/>
      <c r="K263" s="482"/>
      <c r="L263" s="482"/>
    </row>
    <row r="264" spans="1:12">
      <c r="A264" s="482"/>
      <c r="B264" s="482"/>
      <c r="C264" s="482"/>
      <c r="D264" s="482"/>
      <c r="E264" s="482"/>
      <c r="F264" s="482"/>
      <c r="G264" s="482"/>
      <c r="H264" s="482"/>
      <c r="I264" s="482"/>
      <c r="J264" s="482"/>
      <c r="K264" s="482"/>
      <c r="L264" s="482"/>
    </row>
    <row r="265" spans="1:12">
      <c r="A265" s="482"/>
      <c r="B265" s="482"/>
      <c r="C265" s="482"/>
      <c r="D265" s="482"/>
      <c r="E265" s="482"/>
      <c r="F265" s="482"/>
      <c r="G265" s="482"/>
      <c r="H265" s="482"/>
      <c r="I265" s="482"/>
      <c r="J265" s="482"/>
      <c r="K265" s="482"/>
      <c r="L265" s="482"/>
    </row>
    <row r="266" spans="1:12">
      <c r="A266" s="482"/>
      <c r="B266" s="482"/>
      <c r="C266" s="482"/>
      <c r="D266" s="482"/>
      <c r="E266" s="482"/>
      <c r="F266" s="482"/>
      <c r="G266" s="482"/>
      <c r="H266" s="482"/>
      <c r="I266" s="482"/>
      <c r="J266" s="482"/>
      <c r="K266" s="482"/>
      <c r="L266" s="482"/>
    </row>
    <row r="267" spans="1:12">
      <c r="A267" s="482"/>
      <c r="B267" s="482"/>
      <c r="C267" s="482"/>
      <c r="D267" s="482"/>
      <c r="E267" s="482"/>
      <c r="F267" s="482"/>
      <c r="G267" s="482"/>
      <c r="H267" s="482"/>
      <c r="I267" s="482"/>
      <c r="J267" s="482"/>
      <c r="K267" s="482"/>
      <c r="L267" s="482"/>
    </row>
    <row r="268" spans="1:12">
      <c r="A268" s="482"/>
      <c r="B268" s="482"/>
      <c r="C268" s="482"/>
      <c r="D268" s="482"/>
      <c r="E268" s="482"/>
      <c r="F268" s="482"/>
      <c r="G268" s="482"/>
      <c r="H268" s="482"/>
      <c r="I268" s="482"/>
      <c r="J268" s="482"/>
      <c r="K268" s="482"/>
      <c r="L268" s="482"/>
    </row>
    <row r="269" spans="1:12">
      <c r="A269" s="482"/>
      <c r="B269" s="482"/>
      <c r="C269" s="482"/>
      <c r="D269" s="482"/>
      <c r="E269" s="482"/>
      <c r="F269" s="482"/>
      <c r="G269" s="482"/>
      <c r="H269" s="482"/>
      <c r="I269" s="482"/>
      <c r="J269" s="482"/>
      <c r="K269" s="482"/>
      <c r="L269" s="482"/>
    </row>
    <row r="270" spans="1:12">
      <c r="A270" s="482"/>
      <c r="B270" s="482"/>
      <c r="C270" s="482"/>
      <c r="D270" s="482"/>
      <c r="E270" s="482"/>
      <c r="F270" s="482"/>
      <c r="G270" s="482"/>
      <c r="H270" s="482"/>
      <c r="I270" s="482"/>
      <c r="J270" s="482"/>
      <c r="K270" s="482"/>
      <c r="L270" s="482"/>
    </row>
    <row r="271" spans="1:12">
      <c r="A271" s="482"/>
      <c r="B271" s="482"/>
      <c r="C271" s="482"/>
      <c r="D271" s="482"/>
      <c r="E271" s="482"/>
      <c r="F271" s="482"/>
      <c r="G271" s="482"/>
      <c r="H271" s="482"/>
      <c r="I271" s="482"/>
      <c r="J271" s="482"/>
      <c r="K271" s="482"/>
      <c r="L271" s="482"/>
    </row>
    <row r="272" spans="1:12">
      <c r="A272" s="482"/>
      <c r="B272" s="482"/>
      <c r="C272" s="482"/>
      <c r="D272" s="482"/>
      <c r="E272" s="482"/>
      <c r="F272" s="482"/>
      <c r="G272" s="482"/>
      <c r="H272" s="482"/>
      <c r="I272" s="482"/>
      <c r="J272" s="482"/>
      <c r="K272" s="482"/>
      <c r="L272" s="482"/>
    </row>
    <row r="273" spans="1:12">
      <c r="A273" s="482"/>
      <c r="B273" s="482"/>
      <c r="C273" s="482"/>
      <c r="D273" s="482"/>
      <c r="E273" s="482"/>
      <c r="F273" s="482"/>
      <c r="G273" s="482"/>
      <c r="H273" s="482"/>
      <c r="I273" s="482"/>
      <c r="J273" s="482"/>
      <c r="K273" s="482"/>
      <c r="L273" s="482"/>
    </row>
    <row r="274" spans="1:12">
      <c r="A274" s="482"/>
      <c r="B274" s="482"/>
      <c r="C274" s="482"/>
      <c r="D274" s="482"/>
      <c r="E274" s="482"/>
      <c r="F274" s="482"/>
      <c r="G274" s="482"/>
      <c r="H274" s="482"/>
      <c r="I274" s="482"/>
      <c r="J274" s="482"/>
      <c r="K274" s="482"/>
      <c r="L274" s="482"/>
    </row>
    <row r="275" spans="1:12">
      <c r="A275" s="482"/>
      <c r="B275" s="482"/>
      <c r="C275" s="482"/>
      <c r="D275" s="482"/>
      <c r="E275" s="482"/>
      <c r="F275" s="482"/>
      <c r="G275" s="482"/>
      <c r="H275" s="482"/>
      <c r="I275" s="482"/>
      <c r="J275" s="482"/>
      <c r="K275" s="482"/>
      <c r="L275" s="482"/>
    </row>
    <row r="276" spans="1:12">
      <c r="A276" s="482"/>
      <c r="B276" s="482"/>
      <c r="C276" s="482"/>
      <c r="D276" s="482"/>
      <c r="E276" s="482"/>
      <c r="F276" s="482"/>
      <c r="G276" s="482"/>
      <c r="H276" s="482"/>
      <c r="I276" s="482"/>
      <c r="J276" s="482"/>
      <c r="K276" s="482"/>
      <c r="L276" s="482"/>
    </row>
    <row r="277" spans="1:12">
      <c r="A277" s="482"/>
      <c r="B277" s="482"/>
      <c r="C277" s="482"/>
      <c r="D277" s="482"/>
      <c r="E277" s="482"/>
      <c r="F277" s="482"/>
      <c r="G277" s="482"/>
      <c r="H277" s="482"/>
      <c r="I277" s="482"/>
      <c r="J277" s="482"/>
      <c r="K277" s="482"/>
      <c r="L277" s="482"/>
    </row>
    <row r="278" spans="1:12">
      <c r="A278" s="482"/>
      <c r="B278" s="482"/>
      <c r="C278" s="482"/>
      <c r="D278" s="482"/>
      <c r="E278" s="482"/>
      <c r="F278" s="482"/>
      <c r="G278" s="482"/>
      <c r="H278" s="482"/>
      <c r="I278" s="482"/>
      <c r="J278" s="482"/>
      <c r="K278" s="482"/>
      <c r="L278" s="482"/>
    </row>
    <row r="279" spans="1:12">
      <c r="A279" s="482"/>
      <c r="B279" s="482"/>
      <c r="C279" s="482"/>
      <c r="D279" s="482"/>
      <c r="E279" s="482"/>
      <c r="F279" s="482"/>
      <c r="G279" s="482"/>
      <c r="H279" s="482"/>
      <c r="I279" s="482"/>
      <c r="J279" s="482"/>
      <c r="K279" s="482"/>
      <c r="L279" s="482"/>
    </row>
    <row r="280" spans="1:12">
      <c r="A280" s="482"/>
      <c r="B280" s="482"/>
      <c r="C280" s="482"/>
      <c r="D280" s="482"/>
      <c r="E280" s="482"/>
      <c r="F280" s="482"/>
      <c r="G280" s="482"/>
      <c r="H280" s="482"/>
      <c r="I280" s="482"/>
      <c r="J280" s="482"/>
      <c r="K280" s="482"/>
      <c r="L280" s="482"/>
    </row>
    <row r="281" spans="1:12">
      <c r="A281" s="482"/>
      <c r="B281" s="482"/>
      <c r="C281" s="482"/>
      <c r="D281" s="482"/>
      <c r="E281" s="482"/>
      <c r="F281" s="482"/>
      <c r="G281" s="482"/>
      <c r="H281" s="482"/>
      <c r="I281" s="482"/>
      <c r="J281" s="482"/>
      <c r="K281" s="482"/>
      <c r="L281" s="482"/>
    </row>
    <row r="282" spans="1:12">
      <c r="A282" s="482"/>
      <c r="B282" s="482"/>
      <c r="C282" s="482"/>
      <c r="D282" s="482"/>
      <c r="E282" s="482"/>
      <c r="F282" s="482"/>
      <c r="G282" s="482"/>
      <c r="H282" s="482"/>
      <c r="I282" s="482"/>
      <c r="J282" s="482"/>
      <c r="K282" s="482"/>
      <c r="L282" s="482"/>
    </row>
    <row r="283" spans="1:12">
      <c r="A283" s="482"/>
      <c r="B283" s="482"/>
      <c r="C283" s="482"/>
      <c r="D283" s="482"/>
      <c r="E283" s="482"/>
      <c r="F283" s="482"/>
      <c r="G283" s="482"/>
      <c r="H283" s="482"/>
      <c r="I283" s="482"/>
      <c r="J283" s="482"/>
      <c r="K283" s="482"/>
      <c r="L283" s="482"/>
    </row>
    <row r="284" spans="1:12">
      <c r="A284" s="482"/>
      <c r="B284" s="482"/>
      <c r="C284" s="482"/>
      <c r="D284" s="482"/>
      <c r="E284" s="482"/>
      <c r="F284" s="482"/>
      <c r="G284" s="482"/>
      <c r="H284" s="482"/>
      <c r="I284" s="482"/>
      <c r="J284" s="482"/>
      <c r="K284" s="482"/>
      <c r="L284" s="482"/>
    </row>
    <row r="285" spans="1:12">
      <c r="A285" s="482"/>
      <c r="B285" s="482"/>
      <c r="C285" s="482"/>
      <c r="D285" s="482"/>
      <c r="E285" s="482"/>
      <c r="F285" s="482"/>
      <c r="G285" s="482"/>
      <c r="H285" s="482"/>
      <c r="I285" s="482"/>
      <c r="J285" s="482"/>
      <c r="K285" s="482"/>
      <c r="L285" s="482"/>
    </row>
    <row r="286" spans="1:12">
      <c r="A286" s="482"/>
      <c r="B286" s="482"/>
      <c r="C286" s="482"/>
      <c r="D286" s="482"/>
      <c r="E286" s="482"/>
      <c r="F286" s="482"/>
      <c r="G286" s="482"/>
      <c r="H286" s="482"/>
      <c r="I286" s="482"/>
      <c r="J286" s="482"/>
      <c r="K286" s="482"/>
      <c r="L286" s="482"/>
    </row>
    <row r="287" spans="1:12">
      <c r="A287" s="482"/>
      <c r="B287" s="482"/>
      <c r="C287" s="482"/>
      <c r="D287" s="482"/>
      <c r="E287" s="482"/>
      <c r="F287" s="482"/>
      <c r="G287" s="482"/>
      <c r="H287" s="482"/>
      <c r="I287" s="482"/>
      <c r="J287" s="482"/>
      <c r="K287" s="482"/>
      <c r="L287" s="482"/>
    </row>
    <row r="288" spans="1:12">
      <c r="A288" s="482"/>
      <c r="B288" s="482"/>
      <c r="C288" s="482"/>
      <c r="D288" s="482"/>
      <c r="E288" s="482"/>
      <c r="F288" s="482"/>
      <c r="G288" s="482"/>
      <c r="H288" s="482"/>
      <c r="I288" s="482"/>
      <c r="J288" s="482"/>
      <c r="K288" s="482"/>
      <c r="L288" s="482"/>
    </row>
    <row r="289" spans="1:12">
      <c r="A289" s="482"/>
      <c r="B289" s="482"/>
      <c r="C289" s="482"/>
      <c r="D289" s="482"/>
      <c r="E289" s="482"/>
      <c r="F289" s="482"/>
      <c r="G289" s="482"/>
      <c r="H289" s="482"/>
      <c r="I289" s="482"/>
      <c r="J289" s="482"/>
      <c r="K289" s="482"/>
      <c r="L289" s="482"/>
    </row>
    <row r="290" spans="1:12">
      <c r="A290" s="482"/>
      <c r="B290" s="482"/>
      <c r="C290" s="482"/>
      <c r="D290" s="482"/>
      <c r="E290" s="482"/>
      <c r="F290" s="482"/>
      <c r="G290" s="482"/>
      <c r="H290" s="482"/>
      <c r="I290" s="482"/>
      <c r="J290" s="482"/>
      <c r="K290" s="482"/>
      <c r="L290" s="482"/>
    </row>
    <row r="291" spans="1:12">
      <c r="A291" s="482"/>
      <c r="B291" s="482"/>
      <c r="C291" s="482"/>
      <c r="D291" s="482"/>
      <c r="E291" s="482"/>
      <c r="F291" s="482"/>
      <c r="G291" s="482"/>
      <c r="H291" s="482"/>
      <c r="I291" s="482"/>
      <c r="J291" s="482"/>
      <c r="K291" s="482"/>
      <c r="L291" s="482"/>
    </row>
    <row r="292" spans="1:12">
      <c r="A292" s="482"/>
      <c r="B292" s="482"/>
      <c r="C292" s="482"/>
      <c r="D292" s="482"/>
      <c r="E292" s="482"/>
      <c r="F292" s="482"/>
      <c r="G292" s="482"/>
      <c r="H292" s="482"/>
      <c r="I292" s="482"/>
      <c r="J292" s="482"/>
      <c r="K292" s="482"/>
      <c r="L292" s="482"/>
    </row>
    <row r="293" spans="1:12">
      <c r="A293" s="482"/>
      <c r="B293" s="482"/>
      <c r="C293" s="482"/>
      <c r="D293" s="482"/>
      <c r="E293" s="482"/>
      <c r="F293" s="482"/>
      <c r="G293" s="482"/>
      <c r="H293" s="482"/>
      <c r="I293" s="482"/>
      <c r="J293" s="482"/>
      <c r="K293" s="482"/>
      <c r="L293" s="482"/>
    </row>
    <row r="294" spans="1:12">
      <c r="A294" s="482"/>
      <c r="B294" s="482"/>
      <c r="C294" s="482"/>
      <c r="D294" s="482"/>
      <c r="E294" s="482"/>
      <c r="F294" s="482"/>
      <c r="G294" s="482"/>
      <c r="H294" s="482"/>
      <c r="I294" s="482"/>
      <c r="J294" s="482"/>
      <c r="K294" s="482"/>
      <c r="L294" s="482"/>
    </row>
    <row r="295" spans="1:12">
      <c r="A295" s="482"/>
      <c r="B295" s="482"/>
      <c r="C295" s="482"/>
      <c r="D295" s="482"/>
      <c r="E295" s="482"/>
      <c r="F295" s="482"/>
      <c r="G295" s="482"/>
      <c r="H295" s="482"/>
      <c r="I295" s="482"/>
      <c r="J295" s="482"/>
      <c r="K295" s="482"/>
      <c r="L295" s="482"/>
    </row>
    <row r="296" spans="1:12">
      <c r="A296" s="482"/>
      <c r="B296" s="482"/>
      <c r="C296" s="482"/>
      <c r="D296" s="482"/>
      <c r="E296" s="482"/>
      <c r="F296" s="482"/>
      <c r="G296" s="482"/>
      <c r="H296" s="482"/>
      <c r="I296" s="482"/>
      <c r="J296" s="482"/>
      <c r="K296" s="482"/>
      <c r="L296" s="482"/>
    </row>
    <row r="297" spans="1:12">
      <c r="A297" s="482"/>
      <c r="B297" s="482"/>
      <c r="C297" s="482"/>
      <c r="D297" s="482"/>
      <c r="E297" s="482"/>
      <c r="F297" s="482"/>
      <c r="G297" s="482"/>
      <c r="H297" s="482"/>
      <c r="I297" s="482"/>
      <c r="J297" s="482"/>
      <c r="K297" s="482"/>
      <c r="L297" s="482"/>
    </row>
    <row r="298" spans="1:12">
      <c r="A298" s="482"/>
      <c r="B298" s="482"/>
      <c r="C298" s="482"/>
      <c r="D298" s="482"/>
      <c r="E298" s="482"/>
      <c r="F298" s="482"/>
      <c r="G298" s="482"/>
      <c r="H298" s="482"/>
      <c r="I298" s="482"/>
      <c r="J298" s="482"/>
      <c r="K298" s="482"/>
      <c r="L298" s="482"/>
    </row>
    <row r="299" spans="1:12">
      <c r="A299" s="482"/>
      <c r="B299" s="482"/>
      <c r="C299" s="482"/>
      <c r="D299" s="482"/>
      <c r="E299" s="482"/>
      <c r="F299" s="482"/>
      <c r="G299" s="482"/>
      <c r="H299" s="482"/>
      <c r="I299" s="482"/>
      <c r="J299" s="482"/>
      <c r="K299" s="482"/>
      <c r="L299" s="482"/>
    </row>
    <row r="300" spans="1:12">
      <c r="A300" s="482"/>
      <c r="B300" s="482"/>
      <c r="C300" s="482"/>
      <c r="D300" s="482"/>
      <c r="E300" s="482"/>
      <c r="F300" s="482"/>
      <c r="G300" s="482"/>
      <c r="H300" s="482"/>
      <c r="I300" s="482"/>
      <c r="J300" s="482"/>
      <c r="K300" s="482"/>
      <c r="L300" s="482"/>
    </row>
    <row r="301" spans="1:12">
      <c r="A301" s="482"/>
      <c r="B301" s="482"/>
      <c r="C301" s="482"/>
      <c r="D301" s="482"/>
      <c r="E301" s="482"/>
      <c r="F301" s="482"/>
      <c r="G301" s="482"/>
      <c r="H301" s="482"/>
      <c r="I301" s="482"/>
      <c r="J301" s="482"/>
      <c r="K301" s="482"/>
      <c r="L301" s="482"/>
    </row>
    <row r="302" spans="1:12">
      <c r="A302" s="482"/>
      <c r="B302" s="482"/>
      <c r="C302" s="482"/>
      <c r="D302" s="482"/>
      <c r="E302" s="482"/>
      <c r="F302" s="482"/>
      <c r="G302" s="482"/>
      <c r="H302" s="482"/>
      <c r="I302" s="482"/>
      <c r="J302" s="482"/>
      <c r="K302" s="482"/>
      <c r="L302" s="482"/>
    </row>
    <row r="303" spans="1:12">
      <c r="A303" s="482"/>
      <c r="B303" s="482"/>
      <c r="C303" s="482"/>
      <c r="D303" s="482"/>
      <c r="E303" s="482"/>
      <c r="F303" s="482"/>
      <c r="G303" s="482"/>
      <c r="H303" s="482"/>
      <c r="I303" s="482"/>
      <c r="J303" s="482"/>
      <c r="K303" s="482"/>
      <c r="L303" s="482"/>
    </row>
    <row r="304" spans="1:12">
      <c r="A304" s="482"/>
      <c r="B304" s="482"/>
      <c r="C304" s="482"/>
      <c r="D304" s="482"/>
      <c r="E304" s="482"/>
      <c r="F304" s="482"/>
      <c r="G304" s="482"/>
      <c r="H304" s="482"/>
      <c r="I304" s="482"/>
      <c r="J304" s="482"/>
      <c r="K304" s="482"/>
      <c r="L304" s="482"/>
    </row>
    <row r="305" spans="1:12">
      <c r="A305" s="482"/>
      <c r="B305" s="482"/>
      <c r="C305" s="482"/>
      <c r="D305" s="482"/>
      <c r="E305" s="482"/>
      <c r="F305" s="482"/>
      <c r="G305" s="482"/>
      <c r="H305" s="482"/>
      <c r="I305" s="482"/>
      <c r="J305" s="482"/>
      <c r="K305" s="482"/>
      <c r="L305" s="482"/>
    </row>
    <row r="306" spans="1:12">
      <c r="A306" s="482"/>
      <c r="B306" s="482"/>
      <c r="C306" s="482"/>
      <c r="D306" s="482"/>
      <c r="E306" s="482"/>
      <c r="F306" s="482"/>
      <c r="G306" s="482"/>
      <c r="H306" s="482"/>
      <c r="I306" s="482"/>
      <c r="J306" s="482"/>
      <c r="K306" s="482"/>
      <c r="L306" s="482"/>
    </row>
    <row r="307" spans="1:12">
      <c r="A307" s="482"/>
      <c r="B307" s="482"/>
      <c r="C307" s="482"/>
      <c r="D307" s="482"/>
      <c r="E307" s="482"/>
      <c r="F307" s="482"/>
      <c r="G307" s="482"/>
      <c r="H307" s="482"/>
      <c r="I307" s="482"/>
      <c r="J307" s="482"/>
      <c r="K307" s="482"/>
      <c r="L307" s="482"/>
    </row>
    <row r="308" spans="1:12">
      <c r="A308" s="482"/>
      <c r="B308" s="482"/>
      <c r="C308" s="482"/>
      <c r="D308" s="482"/>
      <c r="E308" s="482"/>
      <c r="F308" s="482"/>
      <c r="G308" s="482"/>
      <c r="H308" s="482"/>
      <c r="I308" s="482"/>
      <c r="J308" s="482"/>
      <c r="K308" s="482"/>
      <c r="L308" s="482"/>
    </row>
    <row r="309" spans="1:12">
      <c r="A309" s="482"/>
      <c r="B309" s="482"/>
      <c r="C309" s="482"/>
      <c r="D309" s="482"/>
      <c r="E309" s="482"/>
      <c r="F309" s="482"/>
      <c r="G309" s="482"/>
      <c r="H309" s="482"/>
      <c r="I309" s="482"/>
      <c r="J309" s="482"/>
      <c r="K309" s="482"/>
      <c r="L309" s="482"/>
    </row>
    <row r="310" spans="1:12">
      <c r="A310" s="482"/>
      <c r="B310" s="482"/>
      <c r="C310" s="482"/>
      <c r="D310" s="482"/>
      <c r="E310" s="482"/>
      <c r="F310" s="482"/>
      <c r="G310" s="482"/>
      <c r="H310" s="482"/>
      <c r="I310" s="482"/>
      <c r="J310" s="482"/>
      <c r="K310" s="482"/>
      <c r="L310" s="482"/>
    </row>
    <row r="311" spans="1:12">
      <c r="A311" s="482"/>
      <c r="B311" s="482"/>
      <c r="C311" s="482"/>
      <c r="D311" s="482"/>
      <c r="E311" s="482"/>
      <c r="F311" s="482"/>
      <c r="G311" s="482"/>
      <c r="H311" s="482"/>
      <c r="I311" s="482"/>
      <c r="J311" s="482"/>
      <c r="K311" s="482"/>
      <c r="L311" s="482"/>
    </row>
    <row r="312" spans="1:12">
      <c r="A312" s="482"/>
      <c r="B312" s="482"/>
      <c r="C312" s="482"/>
      <c r="D312" s="482"/>
      <c r="E312" s="482"/>
      <c r="F312" s="482"/>
      <c r="G312" s="482"/>
      <c r="H312" s="482"/>
      <c r="I312" s="482"/>
      <c r="J312" s="482"/>
      <c r="K312" s="482"/>
      <c r="L312" s="482"/>
    </row>
    <row r="313" spans="1:12">
      <c r="A313" s="482"/>
      <c r="B313" s="482"/>
      <c r="C313" s="482"/>
      <c r="D313" s="482"/>
      <c r="E313" s="482"/>
      <c r="F313" s="482"/>
      <c r="G313" s="482"/>
      <c r="H313" s="482"/>
      <c r="I313" s="482"/>
      <c r="J313" s="482"/>
      <c r="K313" s="482"/>
      <c r="L313" s="482"/>
    </row>
    <row r="314" spans="1:12">
      <c r="A314" s="482"/>
      <c r="B314" s="482"/>
      <c r="C314" s="482"/>
      <c r="D314" s="482"/>
      <c r="E314" s="482"/>
      <c r="F314" s="482"/>
      <c r="G314" s="482"/>
      <c r="H314" s="482"/>
      <c r="I314" s="482"/>
      <c r="J314" s="482"/>
      <c r="K314" s="482"/>
      <c r="L314" s="482"/>
    </row>
    <row r="315" spans="1:12">
      <c r="A315" s="482"/>
      <c r="B315" s="482"/>
      <c r="C315" s="482"/>
      <c r="D315" s="482"/>
      <c r="E315" s="482"/>
      <c r="F315" s="482"/>
      <c r="G315" s="482"/>
      <c r="H315" s="482"/>
      <c r="I315" s="482"/>
      <c r="J315" s="482"/>
      <c r="K315" s="482"/>
      <c r="L315" s="482"/>
    </row>
    <row r="316" spans="1:12">
      <c r="A316" s="482"/>
      <c r="B316" s="482"/>
      <c r="C316" s="482"/>
      <c r="D316" s="482"/>
      <c r="E316" s="482"/>
      <c r="F316" s="482"/>
      <c r="G316" s="482"/>
      <c r="H316" s="482"/>
      <c r="I316" s="482"/>
      <c r="J316" s="482"/>
      <c r="K316" s="482"/>
      <c r="L316" s="482"/>
    </row>
    <row r="317" spans="1:12">
      <c r="A317" s="482"/>
      <c r="B317" s="482"/>
      <c r="C317" s="482"/>
      <c r="D317" s="482"/>
      <c r="E317" s="482"/>
      <c r="F317" s="482"/>
      <c r="G317" s="482"/>
      <c r="H317" s="482"/>
      <c r="I317" s="482"/>
      <c r="J317" s="482"/>
      <c r="K317" s="482"/>
      <c r="L317" s="482"/>
    </row>
    <row r="318" spans="1:12">
      <c r="A318" s="482"/>
      <c r="B318" s="482"/>
      <c r="C318" s="482"/>
      <c r="D318" s="482"/>
      <c r="E318" s="482"/>
      <c r="F318" s="482"/>
      <c r="G318" s="482"/>
      <c r="H318" s="482"/>
      <c r="I318" s="482"/>
      <c r="J318" s="482"/>
      <c r="K318" s="482"/>
      <c r="L318" s="482"/>
    </row>
    <row r="319" spans="1:12">
      <c r="A319" s="482"/>
      <c r="B319" s="482"/>
      <c r="C319" s="482"/>
      <c r="D319" s="482"/>
      <c r="E319" s="482"/>
      <c r="F319" s="482"/>
      <c r="G319" s="482"/>
      <c r="H319" s="482"/>
      <c r="I319" s="482"/>
      <c r="J319" s="482"/>
      <c r="K319" s="482"/>
      <c r="L319" s="482"/>
    </row>
    <row r="320" spans="1:12">
      <c r="A320" s="482"/>
      <c r="B320" s="482"/>
      <c r="C320" s="482"/>
      <c r="D320" s="482"/>
      <c r="E320" s="482"/>
      <c r="F320" s="482"/>
      <c r="G320" s="482"/>
      <c r="H320" s="482"/>
      <c r="I320" s="482"/>
      <c r="J320" s="482"/>
      <c r="K320" s="482"/>
      <c r="L320" s="482"/>
    </row>
    <row r="321" spans="1:12">
      <c r="A321" s="482"/>
      <c r="B321" s="482"/>
      <c r="C321" s="482"/>
      <c r="D321" s="482"/>
      <c r="E321" s="482"/>
      <c r="F321" s="482"/>
      <c r="G321" s="482"/>
      <c r="H321" s="482"/>
      <c r="I321" s="482"/>
      <c r="J321" s="482"/>
      <c r="K321" s="482"/>
      <c r="L321" s="482"/>
    </row>
    <row r="322" spans="1:12">
      <c r="A322" s="482"/>
      <c r="B322" s="482"/>
      <c r="C322" s="482"/>
      <c r="D322" s="482"/>
      <c r="E322" s="482"/>
      <c r="F322" s="482"/>
      <c r="G322" s="482"/>
      <c r="H322" s="482"/>
      <c r="I322" s="482"/>
      <c r="J322" s="482"/>
      <c r="K322" s="482"/>
      <c r="L322" s="482"/>
    </row>
    <row r="323" spans="1:12">
      <c r="A323" s="482"/>
      <c r="B323" s="482"/>
      <c r="C323" s="482"/>
      <c r="D323" s="482"/>
      <c r="E323" s="482"/>
      <c r="F323" s="482"/>
      <c r="G323" s="482"/>
      <c r="H323" s="482"/>
      <c r="I323" s="482"/>
      <c r="J323" s="482"/>
      <c r="K323" s="482"/>
      <c r="L323" s="482"/>
    </row>
    <row r="324" spans="1:12">
      <c r="A324" s="482"/>
      <c r="B324" s="482"/>
      <c r="C324" s="482"/>
      <c r="D324" s="482"/>
      <c r="E324" s="482"/>
      <c r="F324" s="482"/>
      <c r="G324" s="482"/>
      <c r="H324" s="482"/>
      <c r="I324" s="482"/>
      <c r="J324" s="482"/>
      <c r="K324" s="482"/>
      <c r="L324" s="482"/>
    </row>
    <row r="325" spans="1:12">
      <c r="A325" s="482"/>
      <c r="B325" s="482"/>
      <c r="C325" s="482"/>
      <c r="D325" s="482"/>
      <c r="E325" s="482"/>
      <c r="F325" s="482"/>
      <c r="G325" s="482"/>
      <c r="H325" s="482"/>
      <c r="I325" s="482"/>
      <c r="J325" s="482"/>
      <c r="K325" s="482"/>
      <c r="L325" s="482"/>
    </row>
    <row r="326" spans="1:12">
      <c r="A326" s="482"/>
      <c r="B326" s="482"/>
      <c r="C326" s="482"/>
      <c r="D326" s="482"/>
      <c r="E326" s="482"/>
      <c r="F326" s="482"/>
      <c r="G326" s="482"/>
      <c r="H326" s="482"/>
      <c r="I326" s="482"/>
      <c r="J326" s="482"/>
      <c r="K326" s="482"/>
      <c r="L326" s="482"/>
    </row>
    <row r="327" spans="1:12">
      <c r="A327" s="482"/>
      <c r="B327" s="482"/>
      <c r="C327" s="482"/>
      <c r="D327" s="482"/>
      <c r="E327" s="482"/>
      <c r="F327" s="482"/>
      <c r="G327" s="482"/>
      <c r="H327" s="482"/>
      <c r="I327" s="482"/>
      <c r="J327" s="482"/>
      <c r="K327" s="482"/>
      <c r="L327" s="482"/>
    </row>
    <row r="328" spans="1:12">
      <c r="A328" s="482"/>
      <c r="B328" s="482"/>
      <c r="C328" s="482"/>
      <c r="D328" s="482"/>
      <c r="E328" s="482"/>
      <c r="F328" s="482"/>
      <c r="G328" s="482"/>
      <c r="H328" s="482"/>
      <c r="I328" s="482"/>
      <c r="J328" s="482"/>
      <c r="K328" s="482"/>
      <c r="L328" s="482"/>
    </row>
    <row r="329" spans="1:12">
      <c r="A329" s="482"/>
      <c r="B329" s="482"/>
      <c r="C329" s="482"/>
      <c r="D329" s="482"/>
      <c r="E329" s="482"/>
      <c r="F329" s="482"/>
      <c r="G329" s="482"/>
      <c r="H329" s="482"/>
      <c r="I329" s="482"/>
      <c r="J329" s="482"/>
      <c r="K329" s="482"/>
      <c r="L329" s="482"/>
    </row>
    <row r="330" spans="1:12">
      <c r="A330" s="482"/>
      <c r="B330" s="482"/>
      <c r="C330" s="482"/>
      <c r="D330" s="482"/>
      <c r="E330" s="482"/>
      <c r="F330" s="482"/>
      <c r="G330" s="482"/>
      <c r="H330" s="482"/>
      <c r="I330" s="482"/>
      <c r="J330" s="482"/>
      <c r="K330" s="482"/>
      <c r="L330" s="482"/>
    </row>
    <row r="331" spans="1:12">
      <c r="A331" s="482"/>
      <c r="B331" s="482"/>
      <c r="C331" s="482"/>
      <c r="D331" s="482"/>
      <c r="E331" s="482"/>
      <c r="F331" s="482"/>
      <c r="G331" s="482"/>
      <c r="H331" s="482"/>
      <c r="I331" s="482"/>
      <c r="J331" s="482"/>
      <c r="K331" s="482"/>
      <c r="L331" s="482"/>
    </row>
    <row r="332" spans="1:12">
      <c r="A332" s="482"/>
      <c r="B332" s="482"/>
      <c r="C332" s="482"/>
      <c r="D332" s="482"/>
      <c r="E332" s="482"/>
      <c r="F332" s="482"/>
      <c r="G332" s="482"/>
      <c r="H332" s="482"/>
      <c r="I332" s="482"/>
      <c r="J332" s="482"/>
      <c r="K332" s="482"/>
      <c r="L332" s="482"/>
    </row>
    <row r="333" spans="1:12">
      <c r="A333" s="482"/>
      <c r="B333" s="482"/>
      <c r="C333" s="482"/>
      <c r="D333" s="482"/>
      <c r="E333" s="482"/>
      <c r="F333" s="482"/>
      <c r="G333" s="482"/>
      <c r="H333" s="482"/>
      <c r="I333" s="482"/>
      <c r="J333" s="482"/>
      <c r="K333" s="482"/>
      <c r="L333" s="482"/>
    </row>
    <row r="334" spans="1:12">
      <c r="A334" s="482"/>
      <c r="B334" s="482"/>
      <c r="C334" s="482"/>
      <c r="D334" s="482"/>
      <c r="E334" s="482"/>
      <c r="F334" s="482"/>
      <c r="G334" s="482"/>
      <c r="H334" s="482"/>
      <c r="I334" s="482"/>
      <c r="J334" s="482"/>
      <c r="K334" s="482"/>
      <c r="L334" s="482"/>
    </row>
    <row r="335" spans="1:12">
      <c r="A335" s="482"/>
      <c r="B335" s="482"/>
      <c r="C335" s="482"/>
      <c r="D335" s="482"/>
      <c r="E335" s="482"/>
      <c r="F335" s="482"/>
      <c r="G335" s="482"/>
      <c r="H335" s="482"/>
      <c r="I335" s="482"/>
      <c r="J335" s="482"/>
      <c r="K335" s="482"/>
      <c r="L335" s="482"/>
    </row>
    <row r="336" spans="1:12">
      <c r="A336" s="482"/>
      <c r="B336" s="482"/>
      <c r="C336" s="482"/>
      <c r="D336" s="482"/>
      <c r="E336" s="482"/>
      <c r="F336" s="482"/>
      <c r="G336" s="482"/>
      <c r="H336" s="482"/>
      <c r="I336" s="482"/>
      <c r="J336" s="482"/>
      <c r="K336" s="482"/>
      <c r="L336" s="482"/>
    </row>
    <row r="337" spans="1:12">
      <c r="A337" s="482"/>
      <c r="B337" s="482"/>
      <c r="C337" s="482"/>
      <c r="D337" s="482"/>
      <c r="E337" s="482"/>
      <c r="F337" s="482"/>
      <c r="G337" s="482"/>
      <c r="H337" s="482"/>
      <c r="I337" s="482"/>
      <c r="J337" s="482"/>
      <c r="K337" s="482"/>
      <c r="L337" s="482"/>
    </row>
    <row r="338" spans="1:12">
      <c r="A338" s="482"/>
      <c r="B338" s="482"/>
      <c r="C338" s="482"/>
      <c r="D338" s="482"/>
      <c r="E338" s="482"/>
      <c r="F338" s="482"/>
      <c r="G338" s="482"/>
      <c r="H338" s="482"/>
      <c r="I338" s="482"/>
      <c r="J338" s="482"/>
      <c r="K338" s="482"/>
      <c r="L338" s="482"/>
    </row>
    <row r="339" spans="1:12">
      <c r="A339" s="482"/>
      <c r="B339" s="482"/>
      <c r="C339" s="482"/>
      <c r="D339" s="482"/>
      <c r="E339" s="482"/>
      <c r="F339" s="482"/>
      <c r="G339" s="482"/>
      <c r="H339" s="482"/>
      <c r="I339" s="482"/>
      <c r="J339" s="482"/>
      <c r="K339" s="482"/>
      <c r="L339" s="482"/>
    </row>
    <row r="340" spans="1:12">
      <c r="A340" s="482"/>
      <c r="B340" s="482"/>
      <c r="C340" s="482"/>
      <c r="D340" s="482"/>
      <c r="E340" s="482"/>
      <c r="F340" s="482"/>
      <c r="G340" s="482"/>
      <c r="H340" s="482"/>
      <c r="I340" s="482"/>
      <c r="J340" s="482"/>
      <c r="K340" s="482"/>
      <c r="L340" s="482"/>
    </row>
    <row r="341" spans="1:12">
      <c r="A341" s="482"/>
      <c r="B341" s="482"/>
      <c r="C341" s="482"/>
      <c r="D341" s="482"/>
      <c r="E341" s="482"/>
      <c r="F341" s="482"/>
      <c r="G341" s="482"/>
      <c r="H341" s="482"/>
      <c r="I341" s="482"/>
      <c r="J341" s="482"/>
      <c r="K341" s="482"/>
      <c r="L341" s="482"/>
    </row>
    <row r="342" spans="1:12">
      <c r="A342" s="482"/>
      <c r="B342" s="482"/>
      <c r="C342" s="482"/>
      <c r="D342" s="482"/>
      <c r="E342" s="482"/>
      <c r="F342" s="482"/>
      <c r="G342" s="482"/>
      <c r="H342" s="482"/>
      <c r="I342" s="482"/>
      <c r="J342" s="482"/>
      <c r="K342" s="482"/>
      <c r="L342" s="482"/>
    </row>
    <row r="343" spans="1:12">
      <c r="A343" s="482"/>
      <c r="B343" s="482"/>
      <c r="C343" s="482"/>
      <c r="D343" s="482"/>
      <c r="E343" s="482"/>
      <c r="F343" s="482"/>
      <c r="G343" s="482"/>
      <c r="H343" s="482"/>
      <c r="I343" s="482"/>
      <c r="J343" s="482"/>
      <c r="K343" s="482"/>
      <c r="L343" s="482"/>
    </row>
    <row r="344" spans="1:12">
      <c r="A344" s="482"/>
      <c r="B344" s="482"/>
      <c r="C344" s="482"/>
      <c r="D344" s="482"/>
      <c r="E344" s="482"/>
      <c r="F344" s="482"/>
      <c r="G344" s="482"/>
      <c r="H344" s="482"/>
      <c r="I344" s="482"/>
      <c r="J344" s="482"/>
      <c r="K344" s="482"/>
      <c r="L344" s="482"/>
    </row>
    <row r="345" spans="1:12">
      <c r="A345" s="482"/>
      <c r="B345" s="482"/>
      <c r="C345" s="482"/>
      <c r="D345" s="482"/>
      <c r="E345" s="482"/>
      <c r="F345" s="482"/>
      <c r="G345" s="482"/>
      <c r="H345" s="482"/>
      <c r="I345" s="482"/>
      <c r="J345" s="482"/>
      <c r="K345" s="482"/>
      <c r="L345" s="482"/>
    </row>
    <row r="346" spans="1:12">
      <c r="A346" s="482"/>
      <c r="B346" s="482"/>
      <c r="C346" s="482"/>
      <c r="D346" s="482"/>
      <c r="E346" s="482"/>
      <c r="F346" s="482"/>
      <c r="G346" s="482"/>
      <c r="H346" s="482"/>
      <c r="I346" s="482"/>
      <c r="J346" s="482"/>
      <c r="K346" s="482"/>
      <c r="L346" s="482"/>
    </row>
    <row r="347" spans="1:12">
      <c r="A347" s="482"/>
      <c r="B347" s="482"/>
      <c r="C347" s="482"/>
      <c r="D347" s="482"/>
      <c r="E347" s="482"/>
      <c r="F347" s="482"/>
      <c r="G347" s="482"/>
      <c r="H347" s="482"/>
      <c r="I347" s="482"/>
      <c r="J347" s="482"/>
      <c r="K347" s="482"/>
      <c r="L347" s="482"/>
    </row>
    <row r="348" spans="1:12">
      <c r="A348" s="482"/>
      <c r="B348" s="482"/>
      <c r="C348" s="482"/>
      <c r="D348" s="482"/>
      <c r="E348" s="482"/>
      <c r="F348" s="482"/>
      <c r="G348" s="482"/>
      <c r="H348" s="482"/>
      <c r="I348" s="482"/>
      <c r="J348" s="482"/>
      <c r="K348" s="482"/>
      <c r="L348" s="482"/>
    </row>
    <row r="349" spans="1:12">
      <c r="A349" s="482"/>
      <c r="B349" s="482"/>
      <c r="C349" s="482"/>
      <c r="D349" s="482"/>
      <c r="E349" s="482"/>
      <c r="F349" s="482"/>
      <c r="G349" s="482"/>
      <c r="H349" s="482"/>
      <c r="I349" s="482"/>
      <c r="J349" s="482"/>
      <c r="K349" s="482"/>
      <c r="L349" s="482"/>
    </row>
    <row r="350" spans="1:12">
      <c r="A350" s="482"/>
      <c r="B350" s="482"/>
      <c r="C350" s="482"/>
      <c r="D350" s="482"/>
      <c r="E350" s="482"/>
      <c r="F350" s="482"/>
      <c r="G350" s="482"/>
      <c r="H350" s="482"/>
      <c r="I350" s="482"/>
      <c r="J350" s="482"/>
      <c r="K350" s="482"/>
      <c r="L350" s="482"/>
    </row>
    <row r="351" spans="1:12">
      <c r="A351" s="482"/>
      <c r="B351" s="482"/>
      <c r="C351" s="482"/>
      <c r="D351" s="482"/>
      <c r="E351" s="482"/>
      <c r="F351" s="482"/>
      <c r="G351" s="482"/>
      <c r="H351" s="482"/>
      <c r="I351" s="482"/>
      <c r="J351" s="482"/>
      <c r="K351" s="482"/>
      <c r="L351" s="482"/>
    </row>
    <row r="352" spans="1:12">
      <c r="A352" s="482"/>
      <c r="B352" s="482"/>
      <c r="C352" s="482"/>
      <c r="D352" s="482"/>
      <c r="E352" s="482"/>
      <c r="F352" s="482"/>
      <c r="G352" s="482"/>
      <c r="H352" s="482"/>
      <c r="I352" s="482"/>
      <c r="J352" s="482"/>
      <c r="K352" s="482"/>
      <c r="L352" s="482"/>
    </row>
    <row r="353" spans="1:12">
      <c r="A353" s="482"/>
      <c r="B353" s="482"/>
      <c r="C353" s="482"/>
      <c r="D353" s="482"/>
      <c r="E353" s="482"/>
      <c r="F353" s="482"/>
      <c r="G353" s="482"/>
      <c r="H353" s="482"/>
      <c r="I353" s="482"/>
      <c r="J353" s="482"/>
      <c r="K353" s="482"/>
      <c r="L353" s="482"/>
    </row>
    <row r="354" spans="1:12">
      <c r="A354" s="482"/>
      <c r="B354" s="482"/>
      <c r="C354" s="482"/>
      <c r="D354" s="482"/>
      <c r="E354" s="482"/>
      <c r="F354" s="482"/>
      <c r="G354" s="482"/>
      <c r="H354" s="482"/>
      <c r="I354" s="482"/>
      <c r="J354" s="482"/>
      <c r="K354" s="482"/>
      <c r="L354" s="482"/>
    </row>
  </sheetData>
  <sheetProtection sheet="1" objects="1" scenarios="1"/>
  <mergeCells count="55">
    <mergeCell ref="C25:D25"/>
    <mergeCell ref="F23:G23"/>
    <mergeCell ref="B6:K6"/>
    <mergeCell ref="B7:K7"/>
    <mergeCell ref="B8:K8"/>
    <mergeCell ref="B10:K10"/>
    <mergeCell ref="B12:K12"/>
    <mergeCell ref="G50:H50"/>
    <mergeCell ref="B130:K130"/>
    <mergeCell ref="C133:D133"/>
    <mergeCell ref="H133:I133"/>
    <mergeCell ref="C134:D134"/>
    <mergeCell ref="C120:D120"/>
    <mergeCell ref="C123:D123"/>
    <mergeCell ref="B57:K57"/>
    <mergeCell ref="I51:K51"/>
    <mergeCell ref="B52:K52"/>
    <mergeCell ref="B53:K53"/>
    <mergeCell ref="B55:K55"/>
    <mergeCell ref="C94:D94"/>
    <mergeCell ref="C83:D83"/>
    <mergeCell ref="B85:K85"/>
    <mergeCell ref="B86:K86"/>
    <mergeCell ref="B30:K30"/>
    <mergeCell ref="B31:K31"/>
    <mergeCell ref="B33:K33"/>
    <mergeCell ref="C41:D41"/>
    <mergeCell ref="B48:C48"/>
    <mergeCell ref="B35:K35"/>
    <mergeCell ref="B88:K88"/>
    <mergeCell ref="B58:K58"/>
    <mergeCell ref="C74:D74"/>
    <mergeCell ref="C77:D77"/>
    <mergeCell ref="C80:D80"/>
    <mergeCell ref="B90:K90"/>
    <mergeCell ref="B128:K128"/>
    <mergeCell ref="C97:D97"/>
    <mergeCell ref="B105:K105"/>
    <mergeCell ref="B106:K106"/>
    <mergeCell ref="B108:K108"/>
    <mergeCell ref="C100:D100"/>
    <mergeCell ref="C103:D103"/>
    <mergeCell ref="B110:K110"/>
    <mergeCell ref="C114:D114"/>
    <mergeCell ref="C117:D117"/>
    <mergeCell ref="B125:K125"/>
    <mergeCell ref="B126:K126"/>
    <mergeCell ref="C148:D148"/>
    <mergeCell ref="J148:K148"/>
    <mergeCell ref="H134:I134"/>
    <mergeCell ref="C136:D136"/>
    <mergeCell ref="C137:D137"/>
    <mergeCell ref="B144:K144"/>
    <mergeCell ref="C147:D147"/>
    <mergeCell ref="J147:K147"/>
  </mergeCells>
  <pageMargins left="0.7" right="0.7" top="0.75" bottom="0.75" header="0.3" footer="0.3"/>
  <pageSetup scale="69" orientation="portrait" blackAndWhite="1" r:id="rId1"/>
  <rowBreaks count="2" manualBreakCount="2">
    <brk id="32" min="1" max="10" man="1"/>
    <brk id="89" min="1" max="10" man="1"/>
  </rowBreaks>
</worksheet>
</file>

<file path=xl/worksheets/sheet43.xml><?xml version="1.0" encoding="utf-8"?>
<worksheet xmlns="http://schemas.openxmlformats.org/spreadsheetml/2006/main" xmlns:r="http://schemas.openxmlformats.org/officeDocument/2006/relationships">
  <dimension ref="A1:A40"/>
  <sheetViews>
    <sheetView workbookViewId="0">
      <selection activeCell="C20" sqref="C20"/>
    </sheetView>
  </sheetViews>
  <sheetFormatPr defaultRowHeight="15"/>
  <cols>
    <col min="1" max="1" width="71.21875" customWidth="1"/>
  </cols>
  <sheetData>
    <row r="1" spans="1:1" ht="16.5">
      <c r="A1" s="511" t="s">
        <v>675</v>
      </c>
    </row>
    <row r="3" spans="1:1" ht="31.5">
      <c r="A3" s="2" t="s">
        <v>676</v>
      </c>
    </row>
    <row r="4" spans="1:1" ht="15.75">
      <c r="A4" s="519" t="s">
        <v>677</v>
      </c>
    </row>
    <row r="7" spans="1:1" ht="31.5">
      <c r="A7" s="2" t="s">
        <v>678</v>
      </c>
    </row>
    <row r="8" spans="1:1" ht="15.75">
      <c r="A8" s="519" t="s">
        <v>679</v>
      </c>
    </row>
    <row r="11" spans="1:1" ht="15.75">
      <c r="A11" s="1" t="s">
        <v>680</v>
      </c>
    </row>
    <row r="12" spans="1:1" ht="15.75">
      <c r="A12" s="519" t="s">
        <v>681</v>
      </c>
    </row>
    <row r="15" spans="1:1" ht="15.75">
      <c r="A15" s="1" t="s">
        <v>682</v>
      </c>
    </row>
    <row r="16" spans="1:1" ht="15.75">
      <c r="A16" s="519" t="s">
        <v>683</v>
      </c>
    </row>
    <row r="19" spans="1:1" ht="15.75">
      <c r="A19" s="1" t="s">
        <v>684</v>
      </c>
    </row>
    <row r="20" spans="1:1" ht="15.75">
      <c r="A20" s="519" t="s">
        <v>685</v>
      </c>
    </row>
    <row r="23" spans="1:1" ht="15.75">
      <c r="A23" s="1" t="s">
        <v>686</v>
      </c>
    </row>
    <row r="24" spans="1:1" ht="15.75">
      <c r="A24" s="519" t="s">
        <v>687</v>
      </c>
    </row>
    <row r="27" spans="1:1" ht="15.75">
      <c r="A27" s="1" t="s">
        <v>688</v>
      </c>
    </row>
    <row r="28" spans="1:1" ht="15.75">
      <c r="A28" s="519" t="s">
        <v>689</v>
      </c>
    </row>
    <row r="31" spans="1:1" ht="15.75">
      <c r="A31" s="1" t="s">
        <v>690</v>
      </c>
    </row>
    <row r="32" spans="1:1" ht="15.75">
      <c r="A32" s="519" t="s">
        <v>691</v>
      </c>
    </row>
    <row r="35" spans="1:1" ht="15.75">
      <c r="A35" s="1" t="s">
        <v>692</v>
      </c>
    </row>
    <row r="36" spans="1:1" ht="15.75">
      <c r="A36" s="519" t="s">
        <v>693</v>
      </c>
    </row>
    <row r="39" spans="1:1" ht="15.75">
      <c r="A39" s="1" t="s">
        <v>694</v>
      </c>
    </row>
    <row r="40" spans="1:1" ht="15.75">
      <c r="A40" s="519" t="s">
        <v>695</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A216"/>
  <sheetViews>
    <sheetView workbookViewId="0">
      <selection activeCell="G23" sqref="G23"/>
    </sheetView>
  </sheetViews>
  <sheetFormatPr defaultColWidth="8.88671875" defaultRowHeight="15.75"/>
  <cols>
    <col min="1" max="1" width="83.44140625" style="1" customWidth="1"/>
    <col min="2" max="16384" width="8.88671875" style="1"/>
  </cols>
  <sheetData>
    <row r="1" spans="1:1">
      <c r="A1" s="555" t="s">
        <v>982</v>
      </c>
    </row>
    <row r="2" spans="1:1">
      <c r="A2" s="68" t="s">
        <v>983</v>
      </c>
    </row>
    <row r="4" spans="1:1">
      <c r="A4" s="555" t="s">
        <v>979</v>
      </c>
    </row>
    <row r="5" spans="1:1">
      <c r="A5" s="68" t="s">
        <v>980</v>
      </c>
    </row>
    <row r="7" spans="1:1">
      <c r="A7" s="555" t="s">
        <v>977</v>
      </c>
    </row>
    <row r="8" spans="1:1">
      <c r="A8" s="766" t="s">
        <v>978</v>
      </c>
    </row>
    <row r="10" spans="1:1">
      <c r="A10" s="555" t="s">
        <v>974</v>
      </c>
    </row>
    <row r="11" spans="1:1">
      <c r="A11" s="68" t="s">
        <v>975</v>
      </c>
    </row>
    <row r="13" spans="1:1">
      <c r="A13" s="555" t="s">
        <v>972</v>
      </c>
    </row>
    <row r="14" spans="1:1">
      <c r="A14" s="778" t="s">
        <v>973</v>
      </c>
    </row>
    <row r="16" spans="1:1">
      <c r="A16" s="555" t="s">
        <v>969</v>
      </c>
    </row>
    <row r="17" spans="1:1">
      <c r="A17" s="1" t="s">
        <v>970</v>
      </c>
    </row>
    <row r="19" spans="1:1">
      <c r="A19" s="555" t="s">
        <v>895</v>
      </c>
    </row>
    <row r="20" spans="1:1">
      <c r="A20" s="766" t="s">
        <v>896</v>
      </c>
    </row>
    <row r="21" spans="1:1">
      <c r="A21" s="68" t="s">
        <v>897</v>
      </c>
    </row>
    <row r="22" spans="1:1">
      <c r="A22" s="68" t="s">
        <v>898</v>
      </c>
    </row>
    <row r="23" spans="1:1">
      <c r="A23" s="68" t="s">
        <v>899</v>
      </c>
    </row>
    <row r="24" spans="1:1">
      <c r="A24" s="68" t="s">
        <v>900</v>
      </c>
    </row>
    <row r="25" spans="1:1">
      <c r="A25" s="68" t="s">
        <v>901</v>
      </c>
    </row>
    <row r="26" spans="1:1">
      <c r="A26" s="68" t="s">
        <v>902</v>
      </c>
    </row>
    <row r="27" spans="1:1">
      <c r="A27" s="68" t="s">
        <v>903</v>
      </c>
    </row>
    <row r="28" spans="1:1">
      <c r="A28" s="68" t="s">
        <v>904</v>
      </c>
    </row>
    <row r="29" spans="1:1">
      <c r="A29" s="68" t="s">
        <v>905</v>
      </c>
    </row>
    <row r="30" spans="1:1">
      <c r="A30" s="68" t="s">
        <v>906</v>
      </c>
    </row>
    <row r="31" spans="1:1">
      <c r="A31" s="68" t="s">
        <v>907</v>
      </c>
    </row>
    <row r="32" spans="1:1">
      <c r="A32" s="68" t="s">
        <v>908</v>
      </c>
    </row>
    <row r="33" spans="1:1">
      <c r="A33" s="68" t="s">
        <v>909</v>
      </c>
    </row>
    <row r="34" spans="1:1">
      <c r="A34" s="68" t="s">
        <v>910</v>
      </c>
    </row>
    <row r="35" spans="1:1">
      <c r="A35" s="68" t="s">
        <v>911</v>
      </c>
    </row>
    <row r="36" spans="1:1" ht="47.25">
      <c r="A36" s="70" t="s">
        <v>912</v>
      </c>
    </row>
    <row r="37" spans="1:1">
      <c r="A37" s="69" t="s">
        <v>913</v>
      </c>
    </row>
    <row r="38" spans="1:1" ht="31.5">
      <c r="A38" s="70" t="s">
        <v>914</v>
      </c>
    </row>
    <row r="39" spans="1:1">
      <c r="A39" s="68" t="s">
        <v>915</v>
      </c>
    </row>
    <row r="40" spans="1:1">
      <c r="A40" s="68" t="s">
        <v>916</v>
      </c>
    </row>
    <row r="41" spans="1:1">
      <c r="A41" s="68" t="s">
        <v>917</v>
      </c>
    </row>
    <row r="42" spans="1:1">
      <c r="A42" s="68" t="s">
        <v>918</v>
      </c>
    </row>
    <row r="43" spans="1:1">
      <c r="A43" s="68" t="s">
        <v>919</v>
      </c>
    </row>
    <row r="44" spans="1:1">
      <c r="A44" s="68" t="s">
        <v>920</v>
      </c>
    </row>
    <row r="45" spans="1:1">
      <c r="A45" s="68" t="s">
        <v>921</v>
      </c>
    </row>
    <row r="46" spans="1:1">
      <c r="A46" s="68" t="s">
        <v>922</v>
      </c>
    </row>
    <row r="47" spans="1:1">
      <c r="A47" s="68" t="s">
        <v>923</v>
      </c>
    </row>
    <row r="48" spans="1:1">
      <c r="A48" s="68" t="s">
        <v>924</v>
      </c>
    </row>
    <row r="49" spans="1:1">
      <c r="A49" s="68" t="s">
        <v>925</v>
      </c>
    </row>
    <row r="50" spans="1:1">
      <c r="A50" s="68" t="s">
        <v>926</v>
      </c>
    </row>
    <row r="51" spans="1:1">
      <c r="A51" s="68" t="s">
        <v>927</v>
      </c>
    </row>
    <row r="52" spans="1:1">
      <c r="A52" s="68" t="s">
        <v>928</v>
      </c>
    </row>
    <row r="53" spans="1:1">
      <c r="A53" s="68" t="s">
        <v>929</v>
      </c>
    </row>
    <row r="54" spans="1:1">
      <c r="A54" s="68" t="s">
        <v>930</v>
      </c>
    </row>
    <row r="56" spans="1:1">
      <c r="A56" s="555" t="s">
        <v>804</v>
      </c>
    </row>
    <row r="57" spans="1:1">
      <c r="A57" s="556" t="s">
        <v>805</v>
      </c>
    </row>
    <row r="59" spans="1:1">
      <c r="A59" s="555" t="s">
        <v>802</v>
      </c>
    </row>
    <row r="60" spans="1:1">
      <c r="A60" s="1" t="s">
        <v>803</v>
      </c>
    </row>
    <row r="62" spans="1:1">
      <c r="A62" s="555" t="s">
        <v>760</v>
      </c>
    </row>
    <row r="63" spans="1:1">
      <c r="A63" s="556" t="s">
        <v>757</v>
      </c>
    </row>
    <row r="64" spans="1:1">
      <c r="A64" s="556" t="s">
        <v>758</v>
      </c>
    </row>
    <row r="65" spans="1:1" ht="31.5">
      <c r="A65" s="550" t="s">
        <v>759</v>
      </c>
    </row>
    <row r="66" spans="1:1">
      <c r="A66" s="556" t="s">
        <v>762</v>
      </c>
    </row>
    <row r="67" spans="1:1">
      <c r="A67" s="556" t="s">
        <v>763</v>
      </c>
    </row>
    <row r="68" spans="1:1">
      <c r="A68" s="556" t="s">
        <v>764</v>
      </c>
    </row>
    <row r="69" spans="1:1">
      <c r="A69" s="556" t="s">
        <v>765</v>
      </c>
    </row>
    <row r="70" spans="1:1">
      <c r="A70" s="556" t="s">
        <v>766</v>
      </c>
    </row>
    <row r="71" spans="1:1">
      <c r="A71" s="556" t="s">
        <v>767</v>
      </c>
    </row>
    <row r="72" spans="1:1">
      <c r="A72" s="556" t="s">
        <v>768</v>
      </c>
    </row>
    <row r="73" spans="1:1">
      <c r="A73" s="556" t="s">
        <v>769</v>
      </c>
    </row>
    <row r="74" spans="1:1">
      <c r="A74" s="556" t="s">
        <v>770</v>
      </c>
    </row>
    <row r="75" spans="1:1">
      <c r="A75" s="556" t="s">
        <v>771</v>
      </c>
    </row>
    <row r="76" spans="1:1">
      <c r="A76" s="556" t="s">
        <v>772</v>
      </c>
    </row>
    <row r="77" spans="1:1">
      <c r="A77" s="556" t="s">
        <v>773</v>
      </c>
    </row>
    <row r="78" spans="1:1">
      <c r="A78" s="556" t="s">
        <v>774</v>
      </c>
    </row>
    <row r="79" spans="1:1">
      <c r="A79" s="556" t="s">
        <v>775</v>
      </c>
    </row>
    <row r="80" spans="1:1">
      <c r="A80" s="556" t="s">
        <v>776</v>
      </c>
    </row>
    <row r="81" spans="1:1">
      <c r="A81" s="556" t="s">
        <v>777</v>
      </c>
    </row>
    <row r="82" spans="1:1">
      <c r="A82" s="556" t="s">
        <v>778</v>
      </c>
    </row>
    <row r="83" spans="1:1">
      <c r="A83" s="556" t="s">
        <v>779</v>
      </c>
    </row>
    <row r="84" spans="1:1">
      <c r="A84" s="556" t="s">
        <v>780</v>
      </c>
    </row>
    <row r="85" spans="1:1">
      <c r="A85" s="556" t="s">
        <v>781</v>
      </c>
    </row>
    <row r="86" spans="1:1">
      <c r="A86" s="556" t="s">
        <v>782</v>
      </c>
    </row>
    <row r="87" spans="1:1">
      <c r="A87" s="556" t="s">
        <v>783</v>
      </c>
    </row>
    <row r="88" spans="1:1">
      <c r="A88" s="556" t="s">
        <v>784</v>
      </c>
    </row>
    <row r="89" spans="1:1">
      <c r="A89" s="556" t="s">
        <v>785</v>
      </c>
    </row>
    <row r="90" spans="1:1">
      <c r="A90" s="556" t="s">
        <v>786</v>
      </c>
    </row>
    <row r="91" spans="1:1">
      <c r="A91" s="556" t="s">
        <v>787</v>
      </c>
    </row>
    <row r="92" spans="1:1">
      <c r="A92" s="556" t="s">
        <v>788</v>
      </c>
    </row>
    <row r="93" spans="1:1">
      <c r="A93" s="556" t="s">
        <v>789</v>
      </c>
    </row>
    <row r="94" spans="1:1">
      <c r="A94" s="556" t="s">
        <v>790</v>
      </c>
    </row>
    <row r="95" spans="1:1">
      <c r="A95" s="557" t="s">
        <v>791</v>
      </c>
    </row>
    <row r="96" spans="1:1">
      <c r="A96" s="557" t="s">
        <v>792</v>
      </c>
    </row>
    <row r="98" spans="1:1">
      <c r="A98" s="422" t="s">
        <v>655</v>
      </c>
    </row>
    <row r="99" spans="1:1">
      <c r="A99" s="1" t="s">
        <v>656</v>
      </c>
    </row>
    <row r="100" spans="1:1">
      <c r="A100" s="1" t="s">
        <v>657</v>
      </c>
    </row>
    <row r="102" spans="1:1">
      <c r="A102" s="422" t="s">
        <v>651</v>
      </c>
    </row>
    <row r="103" spans="1:1">
      <c r="A103" s="68" t="s">
        <v>652</v>
      </c>
    </row>
    <row r="104" spans="1:1">
      <c r="A104" s="68" t="s">
        <v>653</v>
      </c>
    </row>
    <row r="105" spans="1:1">
      <c r="A105" s="68" t="s">
        <v>654</v>
      </c>
    </row>
    <row r="107" spans="1:1">
      <c r="A107" s="422" t="s">
        <v>640</v>
      </c>
    </row>
    <row r="108" spans="1:1">
      <c r="A108" s="68" t="s">
        <v>650</v>
      </c>
    </row>
    <row r="110" spans="1:1">
      <c r="A110" s="422" t="s">
        <v>624</v>
      </c>
    </row>
    <row r="111" spans="1:1">
      <c r="A111" s="421" t="s">
        <v>625</v>
      </c>
    </row>
    <row r="112" spans="1:1">
      <c r="A112" s="421" t="s">
        <v>626</v>
      </c>
    </row>
    <row r="113" spans="1:1">
      <c r="A113" s="421" t="s">
        <v>627</v>
      </c>
    </row>
    <row r="114" spans="1:1">
      <c r="A114" s="68" t="s">
        <v>638</v>
      </c>
    </row>
    <row r="116" spans="1:1">
      <c r="A116" s="64" t="s">
        <v>398</v>
      </c>
    </row>
    <row r="117" spans="1:1">
      <c r="A117" s="402" t="s">
        <v>399</v>
      </c>
    </row>
    <row r="118" spans="1:1" ht="21.75" customHeight="1">
      <c r="A118" s="400" t="s">
        <v>400</v>
      </c>
    </row>
    <row r="119" spans="1:1">
      <c r="A119" s="400" t="s">
        <v>401</v>
      </c>
    </row>
    <row r="120" spans="1:1" ht="31.5">
      <c r="A120" s="401" t="s">
        <v>402</v>
      </c>
    </row>
    <row r="121" spans="1:1">
      <c r="A121" s="400" t="s">
        <v>403</v>
      </c>
    </row>
    <row r="122" spans="1:1">
      <c r="A122" s="400" t="s">
        <v>404</v>
      </c>
    </row>
    <row r="123" spans="1:1">
      <c r="A123" s="400" t="s">
        <v>405</v>
      </c>
    </row>
    <row r="124" spans="1:1">
      <c r="A124" s="400" t="s">
        <v>406</v>
      </c>
    </row>
    <row r="125" spans="1:1">
      <c r="A125" s="403" t="s">
        <v>407</v>
      </c>
    </row>
    <row r="126" spans="1:1">
      <c r="A126" s="404" t="s">
        <v>408</v>
      </c>
    </row>
    <row r="128" spans="1:1">
      <c r="A128" s="64" t="s">
        <v>345</v>
      </c>
    </row>
    <row r="129" spans="1:1" ht="31.5">
      <c r="A129" s="2" t="s">
        <v>346</v>
      </c>
    </row>
    <row r="131" spans="1:1">
      <c r="A131" s="64" t="s">
        <v>342</v>
      </c>
    </row>
    <row r="132" spans="1:1">
      <c r="A132" s="1" t="s">
        <v>343</v>
      </c>
    </row>
    <row r="133" spans="1:1">
      <c r="A133" s="1" t="s">
        <v>344</v>
      </c>
    </row>
    <row r="135" spans="1:1">
      <c r="A135" s="64" t="s">
        <v>238</v>
      </c>
    </row>
    <row r="136" spans="1:1">
      <c r="A136" s="1" t="s">
        <v>220</v>
      </c>
    </row>
    <row r="137" spans="1:1">
      <c r="A137" s="1" t="s">
        <v>221</v>
      </c>
    </row>
    <row r="138" spans="1:1">
      <c r="A138" s="1" t="s">
        <v>222</v>
      </c>
    </row>
    <row r="139" spans="1:1">
      <c r="A139" s="1" t="s">
        <v>223</v>
      </c>
    </row>
    <row r="140" spans="1:1">
      <c r="A140" s="1" t="s">
        <v>224</v>
      </c>
    </row>
    <row r="141" spans="1:1">
      <c r="A141" s="1" t="s">
        <v>225</v>
      </c>
    </row>
    <row r="142" spans="1:1" ht="31.5">
      <c r="A142" s="2" t="s">
        <v>226</v>
      </c>
    </row>
    <row r="143" spans="1:1" ht="31.5">
      <c r="A143" s="2" t="s">
        <v>227</v>
      </c>
    </row>
    <row r="144" spans="1:1">
      <c r="A144" s="2" t="s">
        <v>228</v>
      </c>
    </row>
    <row r="145" spans="1:1">
      <c r="A145" s="2" t="s">
        <v>229</v>
      </c>
    </row>
    <row r="146" spans="1:1" ht="31.5">
      <c r="A146" s="2" t="s">
        <v>230</v>
      </c>
    </row>
    <row r="147" spans="1:1">
      <c r="A147" s="1" t="s">
        <v>231</v>
      </c>
    </row>
    <row r="148" spans="1:1" ht="31.5">
      <c r="A148" s="2" t="s">
        <v>232</v>
      </c>
    </row>
    <row r="149" spans="1:1">
      <c r="A149" s="1" t="s">
        <v>233</v>
      </c>
    </row>
    <row r="150" spans="1:1">
      <c r="A150" s="1" t="s">
        <v>234</v>
      </c>
    </row>
    <row r="151" spans="1:1">
      <c r="A151" s="1" t="s">
        <v>235</v>
      </c>
    </row>
    <row r="152" spans="1:1" ht="31.5">
      <c r="A152" s="2" t="s">
        <v>236</v>
      </c>
    </row>
    <row r="153" spans="1:1">
      <c r="A153" s="1" t="s">
        <v>237</v>
      </c>
    </row>
    <row r="156" spans="1:1">
      <c r="A156" s="64" t="s">
        <v>215</v>
      </c>
    </row>
    <row r="157" spans="1:1">
      <c r="A157" s="1" t="s">
        <v>216</v>
      </c>
    </row>
    <row r="159" spans="1:1">
      <c r="A159" s="64" t="s">
        <v>241</v>
      </c>
    </row>
    <row r="160" spans="1:1">
      <c r="A160" s="1" t="s">
        <v>242</v>
      </c>
    </row>
    <row r="161" spans="1:1">
      <c r="A161" s="1" t="s">
        <v>243</v>
      </c>
    </row>
    <row r="162" spans="1:1">
      <c r="A162" s="1" t="s">
        <v>244</v>
      </c>
    </row>
    <row r="163" spans="1:1">
      <c r="A163" s="1" t="s">
        <v>245</v>
      </c>
    </row>
    <row r="165" spans="1:1">
      <c r="A165" s="64" t="s">
        <v>213</v>
      </c>
    </row>
    <row r="166" spans="1:1">
      <c r="A166" s="1" t="s">
        <v>214</v>
      </c>
    </row>
    <row r="168" spans="1:1">
      <c r="A168" s="64" t="s">
        <v>206</v>
      </c>
    </row>
    <row r="169" spans="1:1">
      <c r="A169" s="1" t="s">
        <v>207</v>
      </c>
    </row>
    <row r="170" spans="1:1">
      <c r="A170" s="1" t="s">
        <v>208</v>
      </c>
    </row>
    <row r="171" spans="1:1" ht="31.5">
      <c r="A171" s="2" t="s">
        <v>209</v>
      </c>
    </row>
    <row r="172" spans="1:1">
      <c r="A172" s="1" t="s">
        <v>210</v>
      </c>
    </row>
    <row r="173" spans="1:1">
      <c r="A173" s="1" t="s">
        <v>211</v>
      </c>
    </row>
    <row r="174" spans="1:1">
      <c r="A174" s="1" t="s">
        <v>212</v>
      </c>
    </row>
    <row r="175" spans="1:1" ht="18" customHeight="1"/>
    <row r="176" spans="1:1" ht="48.75" customHeight="1"/>
    <row r="177" spans="1:1">
      <c r="A177" s="64" t="s">
        <v>125</v>
      </c>
    </row>
    <row r="178" spans="1:1" ht="47.25">
      <c r="A178" s="2" t="s">
        <v>152</v>
      </c>
    </row>
    <row r="179" spans="1:1">
      <c r="A179" s="1" t="s">
        <v>126</v>
      </c>
    </row>
    <row r="180" spans="1:1">
      <c r="A180" s="1" t="s">
        <v>127</v>
      </c>
    </row>
    <row r="181" spans="1:1">
      <c r="A181" s="1" t="s">
        <v>153</v>
      </c>
    </row>
    <row r="182" spans="1:1">
      <c r="A182" s="1" t="s">
        <v>128</v>
      </c>
    </row>
    <row r="183" spans="1:1">
      <c r="A183" s="1" t="s">
        <v>129</v>
      </c>
    </row>
    <row r="184" spans="1:1">
      <c r="A184" s="1" t="s">
        <v>248</v>
      </c>
    </row>
    <row r="185" spans="1:1">
      <c r="A185" s="1" t="s">
        <v>130</v>
      </c>
    </row>
    <row r="186" spans="1:1">
      <c r="A186" s="1" t="s">
        <v>131</v>
      </c>
    </row>
    <row r="187" spans="1:1" ht="31.5">
      <c r="A187" s="2" t="s">
        <v>132</v>
      </c>
    </row>
    <row r="188" spans="1:1" ht="31.5">
      <c r="A188" s="2" t="s">
        <v>249</v>
      </c>
    </row>
    <row r="189" spans="1:1">
      <c r="A189" s="1" t="s">
        <v>133</v>
      </c>
    </row>
    <row r="190" spans="1:1">
      <c r="A190" s="1" t="s">
        <v>134</v>
      </c>
    </row>
    <row r="191" spans="1:1">
      <c r="A191" s="1" t="s">
        <v>154</v>
      </c>
    </row>
    <row r="192" spans="1:1">
      <c r="A192" s="1" t="s">
        <v>135</v>
      </c>
    </row>
    <row r="193" spans="1:1">
      <c r="A193" s="1" t="s">
        <v>155</v>
      </c>
    </row>
    <row r="194" spans="1:1" ht="31.5">
      <c r="A194" s="2" t="s">
        <v>156</v>
      </c>
    </row>
    <row r="195" spans="1:1">
      <c r="A195" s="1" t="s">
        <v>143</v>
      </c>
    </row>
    <row r="196" spans="1:1">
      <c r="A196" s="1" t="s">
        <v>144</v>
      </c>
    </row>
    <row r="197" spans="1:1" ht="31.5">
      <c r="A197" s="2" t="s">
        <v>145</v>
      </c>
    </row>
    <row r="198" spans="1:1">
      <c r="A198" s="1" t="s">
        <v>192</v>
      </c>
    </row>
    <row r="199" spans="1:1">
      <c r="A199" s="1" t="s">
        <v>193</v>
      </c>
    </row>
    <row r="200" spans="1:1">
      <c r="A200" s="1" t="s">
        <v>195</v>
      </c>
    </row>
    <row r="201" spans="1:1">
      <c r="A201" s="1" t="s">
        <v>196</v>
      </c>
    </row>
    <row r="202" spans="1:1">
      <c r="A202" s="1" t="s">
        <v>197</v>
      </c>
    </row>
    <row r="203" spans="1:1">
      <c r="A203" s="1" t="s">
        <v>198</v>
      </c>
    </row>
    <row r="204" spans="1:1">
      <c r="A204" s="1" t="s">
        <v>199</v>
      </c>
    </row>
    <row r="205" spans="1:1">
      <c r="A205" s="1" t="s">
        <v>200</v>
      </c>
    </row>
    <row r="206" spans="1:1">
      <c r="A206" s="1" t="s">
        <v>201</v>
      </c>
    </row>
    <row r="207" spans="1:1">
      <c r="A207" s="1" t="s">
        <v>202</v>
      </c>
    </row>
    <row r="208" spans="1:1">
      <c r="A208" s="1" t="s">
        <v>203</v>
      </c>
    </row>
    <row r="209" spans="1:1">
      <c r="A209" s="1" t="s">
        <v>204</v>
      </c>
    </row>
    <row r="210" spans="1:1">
      <c r="A210" s="1" t="s">
        <v>250</v>
      </c>
    </row>
    <row r="211" spans="1:1">
      <c r="A211" s="1" t="s">
        <v>251</v>
      </c>
    </row>
    <row r="212" spans="1:1">
      <c r="A212" s="1" t="s">
        <v>252</v>
      </c>
    </row>
    <row r="213" spans="1:1">
      <c r="A213" s="1" t="s">
        <v>253</v>
      </c>
    </row>
    <row r="214" spans="1:1">
      <c r="A214" s="1" t="s">
        <v>187</v>
      </c>
    </row>
    <row r="215" spans="1:1">
      <c r="A215" s="1" t="s">
        <v>205</v>
      </c>
    </row>
    <row r="216" spans="1:1">
      <c r="A216" s="1" t="s">
        <v>190</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H96"/>
  <sheetViews>
    <sheetView tabSelected="1" workbookViewId="0">
      <selection activeCell="D64" sqref="D64:D65"/>
    </sheetView>
  </sheetViews>
  <sheetFormatPr defaultColWidth="8.88671875" defaultRowHeight="15.75"/>
  <cols>
    <col min="1" max="1" width="3.109375" style="144" customWidth="1"/>
    <col min="2" max="2" width="24.33203125" style="80" customWidth="1"/>
    <col min="3" max="3" width="10.77734375" style="80" customWidth="1"/>
    <col min="4" max="4" width="5.77734375" style="80" customWidth="1"/>
    <col min="5" max="5" width="10.44140625" style="80" customWidth="1"/>
    <col min="6" max="7" width="11.77734375" style="80" customWidth="1"/>
    <col min="8" max="8" width="8.88671875" style="80" customWidth="1"/>
    <col min="9" max="16384" width="8.88671875" style="144"/>
  </cols>
  <sheetData>
    <row r="1" spans="1:8">
      <c r="B1" s="84"/>
      <c r="C1" s="84"/>
      <c r="D1" s="83" t="s">
        <v>1</v>
      </c>
      <c r="E1" s="83"/>
      <c r="F1" s="84"/>
      <c r="G1" s="84"/>
      <c r="H1" s="68">
        <f>inputPrYr!C10</f>
        <v>2014</v>
      </c>
    </row>
    <row r="2" spans="1:8" ht="15">
      <c r="B2" s="838" t="s">
        <v>1252</v>
      </c>
      <c r="C2" s="836"/>
      <c r="D2" s="836"/>
      <c r="E2" s="836"/>
      <c r="F2" s="836"/>
      <c r="G2" s="836"/>
      <c r="H2" s="836"/>
    </row>
    <row r="3" spans="1:8" ht="15">
      <c r="B3" s="883" t="s">
        <v>1246</v>
      </c>
      <c r="C3" s="884"/>
      <c r="D3" s="884"/>
      <c r="E3" s="884"/>
      <c r="F3" s="884"/>
      <c r="G3" s="884"/>
      <c r="H3" s="884"/>
    </row>
    <row r="4" spans="1:8" s="835" customFormat="1" ht="15">
      <c r="A4" s="834"/>
      <c r="B4" s="883" t="s">
        <v>1247</v>
      </c>
      <c r="C4" s="883"/>
      <c r="D4" s="883"/>
      <c r="E4" s="883"/>
      <c r="F4" s="883"/>
      <c r="G4" s="883"/>
      <c r="H4" s="883"/>
    </row>
    <row r="5" spans="1:8" s="835" customFormat="1" ht="15">
      <c r="A5" s="840" t="s">
        <v>1250</v>
      </c>
      <c r="B5" s="839"/>
      <c r="C5" s="837"/>
      <c r="D5" s="837"/>
      <c r="E5" s="837"/>
      <c r="F5" s="837"/>
      <c r="G5" s="837"/>
      <c r="H5" s="837"/>
    </row>
    <row r="6" spans="1:8">
      <c r="B6" s="84"/>
      <c r="C6" s="84"/>
      <c r="D6" s="84"/>
      <c r="E6" s="84"/>
      <c r="F6" s="199" t="str">
        <f>CONCATENATE("",H1," Adopted Budget")</f>
        <v>2014 Adopted Budget</v>
      </c>
      <c r="G6" s="200"/>
      <c r="H6" s="201"/>
    </row>
    <row r="7" spans="1:8" ht="21" customHeight="1">
      <c r="B7" s="84"/>
      <c r="C7" s="84"/>
      <c r="D7" s="202"/>
      <c r="E7" s="291"/>
      <c r="F7" s="203" t="s">
        <v>260</v>
      </c>
      <c r="G7" s="204" t="str">
        <f>CONCATENATE("Amount of ",H1-1,"")</f>
        <v>Amount of 2013</v>
      </c>
      <c r="H7" s="204" t="s">
        <v>261</v>
      </c>
    </row>
    <row r="8" spans="1:8">
      <c r="B8" s="91"/>
      <c r="C8" s="84"/>
      <c r="D8" s="204" t="s">
        <v>262</v>
      </c>
      <c r="E8" s="204" t="s">
        <v>1055</v>
      </c>
      <c r="F8" s="205" t="s">
        <v>660</v>
      </c>
      <c r="G8" s="206" t="s">
        <v>98</v>
      </c>
      <c r="H8" s="205" t="s">
        <v>263</v>
      </c>
    </row>
    <row r="9" spans="1:8">
      <c r="B9" s="207" t="s">
        <v>264</v>
      </c>
      <c r="C9" s="99"/>
      <c r="D9" s="208" t="s">
        <v>265</v>
      </c>
      <c r="E9" s="208" t="s">
        <v>1056</v>
      </c>
      <c r="F9" s="208" t="s">
        <v>661</v>
      </c>
      <c r="G9" s="209" t="s">
        <v>99</v>
      </c>
      <c r="H9" s="208" t="s">
        <v>266</v>
      </c>
    </row>
    <row r="10" spans="1:8">
      <c r="B10" s="167" t="str">
        <f>CONCATENATE("Computation to Determine Limit for ",H1,"")</f>
        <v>Computation to Determine Limit for 2014</v>
      </c>
      <c r="C10" s="132"/>
      <c r="D10" s="210">
        <v>2</v>
      </c>
      <c r="E10" s="204"/>
      <c r="F10" s="211"/>
      <c r="G10" s="211"/>
      <c r="H10" s="211"/>
    </row>
    <row r="11" spans="1:8">
      <c r="B11" s="167" t="s">
        <v>967</v>
      </c>
      <c r="C11" s="99"/>
      <c r="D11" s="208">
        <v>3</v>
      </c>
      <c r="E11" s="205"/>
      <c r="F11" s="205"/>
      <c r="G11" s="205"/>
      <c r="H11" s="205"/>
    </row>
    <row r="12" spans="1:8">
      <c r="B12" s="167" t="s">
        <v>62</v>
      </c>
      <c r="C12" s="99"/>
      <c r="D12" s="208">
        <v>4</v>
      </c>
      <c r="E12" s="205"/>
      <c r="F12" s="205"/>
      <c r="G12" s="205"/>
      <c r="H12" s="205"/>
    </row>
    <row r="13" spans="1:8">
      <c r="B13" s="167" t="s">
        <v>267</v>
      </c>
      <c r="C13" s="132"/>
      <c r="D13" s="210">
        <v>5</v>
      </c>
      <c r="E13" s="205"/>
      <c r="F13" s="212"/>
      <c r="G13" s="212"/>
      <c r="H13" s="212"/>
    </row>
    <row r="14" spans="1:8">
      <c r="B14" s="167" t="s">
        <v>268</v>
      </c>
      <c r="C14" s="132"/>
      <c r="D14" s="210">
        <v>6</v>
      </c>
      <c r="E14" s="205"/>
      <c r="F14" s="212"/>
      <c r="G14" s="212"/>
      <c r="H14" s="212"/>
    </row>
    <row r="15" spans="1:8">
      <c r="B15" s="347" t="str">
        <f>IF(inputPrYr!D24="","","Computation to Determine State Library Grant")</f>
        <v>Computation to Determine State Library Grant</v>
      </c>
      <c r="C15" s="132"/>
      <c r="D15" s="220">
        <f>IF(inputPrYr!D24="","",'Library Grant '!F40)</f>
        <v>7</v>
      </c>
      <c r="E15" s="803"/>
      <c r="F15" s="212"/>
      <c r="G15" s="212"/>
      <c r="H15" s="212"/>
    </row>
    <row r="16" spans="1:8">
      <c r="B16" s="213" t="s">
        <v>269</v>
      </c>
      <c r="C16" s="214" t="s">
        <v>270</v>
      </c>
      <c r="D16" s="215"/>
      <c r="E16" s="258"/>
      <c r="F16" s="216"/>
      <c r="G16" s="216"/>
      <c r="H16" s="216"/>
    </row>
    <row r="17" spans="2:8">
      <c r="B17" s="104" t="s">
        <v>257</v>
      </c>
      <c r="C17" s="217" t="str">
        <f>IF(inputPrYr!C22&gt;0,(inputPrYr!C22),"  ")</f>
        <v>12-101a</v>
      </c>
      <c r="D17" s="210">
        <f>general!D44</f>
        <v>8</v>
      </c>
      <c r="E17" s="210"/>
      <c r="F17" s="371">
        <f>IF(general!$E$79&lt;&gt;0,general!$E$79,"  ")</f>
        <v>7466219</v>
      </c>
      <c r="G17" s="751">
        <f>IF(general!$E$86&lt;&gt;0,general!$E$86,0)</f>
        <v>1493170.3899999997</v>
      </c>
      <c r="H17" s="752" t="str">
        <f>IF($C$57=0,"",ROUND(G17/$C$57*1000,3))</f>
        <v/>
      </c>
    </row>
    <row r="18" spans="2:8">
      <c r="B18" s="124" t="str">
        <f>IF(inputPrYr!$B23&gt;"  ",(inputPrYr!$B23),"  ")</f>
        <v>Debt Service</v>
      </c>
      <c r="C18" s="217" t="str">
        <f>IF(inputPrYr!C23&gt;0,(inputPrYr!C23),"  ")</f>
        <v>10-113</v>
      </c>
      <c r="D18" s="210">
        <f>DebtSvs!C53</f>
        <v>9</v>
      </c>
      <c r="E18" s="210"/>
      <c r="F18" s="371">
        <f>IF(DebtSvs!$E$42&lt;&gt;0,DebtSvs!$E$42,"  ")</f>
        <v>3293392</v>
      </c>
      <c r="G18" s="751">
        <f>IF(DebtSvs!$E$49&lt;&gt;0,DebtSvs!$E$49,0)</f>
        <v>372538</v>
      </c>
      <c r="H18" s="752" t="str">
        <f>IF($C$57=0,"",ROUND(G18/$C$57*1000,3))</f>
        <v/>
      </c>
    </row>
    <row r="19" spans="2:8">
      <c r="B19" s="124" t="str">
        <f>IF(inputPrYr!$B24&gt;"  ",(inputPrYr!$B24),"  ")</f>
        <v>Library</v>
      </c>
      <c r="C19" s="217" t="str">
        <f>IF(inputPrYr!C24&gt;0,(inputPrYr!C24),"  ")</f>
        <v>12-1220</v>
      </c>
      <c r="D19" s="210">
        <f>Library!C44</f>
        <v>10</v>
      </c>
      <c r="E19" s="820">
        <f>IF(Library!$D$35&lt;&gt;0,Library!$D$35,"  ")</f>
        <v>363331</v>
      </c>
      <c r="F19" s="371">
        <f>IF(Library!$E$35&lt;&gt;0,Library!$E$35,"  ")</f>
        <v>372748</v>
      </c>
      <c r="G19" s="371">
        <f>IF(Library!$E$42&lt;&gt;0,Library!$E$42,"  ")</f>
        <v>338116</v>
      </c>
      <c r="H19" s="752" t="str">
        <f>IF($C$57=0,"",ROUND(G19/$C$57*1000,3))</f>
        <v/>
      </c>
    </row>
    <row r="20" spans="2:8">
      <c r="B20" s="218" t="str">
        <f>IF(inputPrYr!$B29&gt;"  ",(inputPrYr!$B29),"  ")</f>
        <v>Spec. Rev. Aquatic Park Facility Sales Tax</v>
      </c>
      <c r="C20" s="219"/>
      <c r="D20" s="220">
        <f>'Aquatic Sales Co Infra'!C69</f>
        <v>11</v>
      </c>
      <c r="E20" s="220"/>
      <c r="F20" s="371">
        <f>IF('Aquatic Sales Co Infra'!$E$30&gt;0,'Aquatic Sales Co Infra'!$E$30,"  ")</f>
        <v>926065</v>
      </c>
      <c r="G20" s="371"/>
      <c r="H20" s="753"/>
    </row>
    <row r="21" spans="2:8">
      <c r="B21" s="218" t="str">
        <f>IF(inputPrYr!$B30&gt;"  ",(inputPrYr!$B30),"  ")</f>
        <v>Spec. Rev. County Infrastructure</v>
      </c>
      <c r="C21" s="221"/>
      <c r="D21" s="220">
        <f>'Aquatic Sales Co Infra'!C69</f>
        <v>11</v>
      </c>
      <c r="E21" s="220"/>
      <c r="F21" s="371">
        <f>IF('Aquatic Sales Co Infra'!$E$63&gt;0,'Aquatic Sales Co Infra'!$E$63,"  ")</f>
        <v>1315</v>
      </c>
      <c r="G21" s="371"/>
      <c r="H21" s="753"/>
    </row>
    <row r="22" spans="2:8">
      <c r="B22" s="218" t="str">
        <f>IF(inputPrYr!$B31&gt;"  ",(inputPrYr!$B31),"  ")</f>
        <v>Spec. Rev. Convention &amp; Tourism</v>
      </c>
      <c r="C22" s="222"/>
      <c r="D22" s="220">
        <f>'Con Tour Drug Alcohol'!C69</f>
        <v>12</v>
      </c>
      <c r="E22" s="220"/>
      <c r="F22" s="371">
        <f>IF('Con Tour Drug Alcohol'!$E$30&gt;0,'Con Tour Drug Alcohol'!$E$30,"  ")</f>
        <v>103366</v>
      </c>
      <c r="G22" s="371"/>
      <c r="H22" s="753"/>
    </row>
    <row r="23" spans="2:8">
      <c r="B23" s="218" t="str">
        <f>IF(inputPrYr!$B32&gt;"  ",(inputPrYr!$B32),"  ")</f>
        <v>Spec. Rev. Drug &amp; Alcohol</v>
      </c>
      <c r="C23" s="222"/>
      <c r="D23" s="220">
        <f>'Con Tour Drug Alcohol'!C69</f>
        <v>12</v>
      </c>
      <c r="E23" s="220"/>
      <c r="F23" s="371">
        <f>IF('Con Tour Drug Alcohol'!$E$63&gt;0,'Con Tour Drug Alcohol'!$E$63,"  ")</f>
        <v>81250</v>
      </c>
      <c r="G23" s="371"/>
      <c r="H23" s="753"/>
    </row>
    <row r="24" spans="2:8">
      <c r="B24" s="218" t="str">
        <f>IF(inputPrYr!$B33&gt;"  ",(inputPrYr!$B33),"  ")</f>
        <v>Spec. Rev. Economic Development</v>
      </c>
      <c r="C24" s="222"/>
      <c r="D24" s="220">
        <f>'ED EMS Capital'!C69</f>
        <v>13</v>
      </c>
      <c r="E24" s="220"/>
      <c r="F24" s="371">
        <f>IF('ED EMS Capital'!$E$30&gt;0,'ED EMS Capital'!$E$30,"  ")</f>
        <v>12574</v>
      </c>
      <c r="G24" s="371"/>
      <c r="H24" s="753"/>
    </row>
    <row r="25" spans="2:8">
      <c r="B25" s="218" t="str">
        <f>IF(inputPrYr!$B34&gt;"  ",(inputPrYr!$B34),"  ")</f>
        <v>Spec. Rev. Emergency Services Capital</v>
      </c>
      <c r="C25" s="222"/>
      <c r="D25" s="220">
        <f>'ED EMS Capital'!C69</f>
        <v>13</v>
      </c>
      <c r="E25" s="220"/>
      <c r="F25" s="371">
        <f>IF('ED EMS Capital'!$E$63&gt;0,'ED EMS Capital'!$E$63,"  ")</f>
        <v>703342</v>
      </c>
      <c r="G25" s="371"/>
      <c r="H25" s="753"/>
    </row>
    <row r="26" spans="2:8">
      <c r="B26" s="218" t="str">
        <f>IF(inputPrYr!$B35&gt;"  ",(inputPrYr!$B35),"  ")</f>
        <v>Spec. Rev. Emergency Medical Services</v>
      </c>
      <c r="C26" s="222"/>
      <c r="D26" s="220">
        <f>'EMS Library Sales'!C69</f>
        <v>14</v>
      </c>
      <c r="E26" s="220"/>
      <c r="F26" s="371">
        <f>'EMS Library Sales'!E30</f>
        <v>576020</v>
      </c>
      <c r="G26" s="371"/>
      <c r="H26" s="753"/>
    </row>
    <row r="27" spans="2:8">
      <c r="B27" s="218" t="str">
        <f>IF(inputPrYr!$B36&gt;"  ",(inputPrYr!$B36),"  ")</f>
        <v>Spec. Rev. Library Sales Tax</v>
      </c>
      <c r="C27" s="222"/>
      <c r="D27" s="220">
        <f>'EMS Library Sales'!C69</f>
        <v>14</v>
      </c>
      <c r="E27" s="220"/>
      <c r="F27" s="371">
        <f>'EMS Library Sales'!E63</f>
        <v>437940</v>
      </c>
      <c r="G27" s="371"/>
      <c r="H27" s="753"/>
    </row>
    <row r="28" spans="2:8">
      <c r="B28" s="218" t="str">
        <f>IF(inputPrYr!$B37&gt;"  ",(inputPrYr!$B37),"  ")</f>
        <v>Spec. Rev. Park Dedication</v>
      </c>
      <c r="C28" s="219"/>
      <c r="D28" s="220">
        <f>IF('Park Ded Rec Programs'!C63&gt;0,'Park Ded Rec Programs'!C63,"  ")</f>
        <v>15</v>
      </c>
      <c r="E28" s="220"/>
      <c r="F28" s="371">
        <f>'Park Ded Rec Programs'!E24</f>
        <v>0</v>
      </c>
      <c r="G28" s="371"/>
      <c r="H28" s="753"/>
    </row>
    <row r="29" spans="2:8">
      <c r="B29" s="218" t="str">
        <f>IF(inputPrYr!$B38&gt;"  ",(inputPrYr!$B38),"  ")</f>
        <v>Spec. Rev. Recreation Programs</v>
      </c>
      <c r="C29" s="219"/>
      <c r="D29" s="220">
        <f>'Park Ded Rec Programs'!C63</f>
        <v>15</v>
      </c>
      <c r="E29" s="820">
        <f>'Park Ded Rec Programs'!D57</f>
        <v>143695</v>
      </c>
      <c r="F29" s="371">
        <f>'Park Ded Rec Programs'!E57</f>
        <v>137195</v>
      </c>
      <c r="G29" s="371"/>
      <c r="H29" s="753"/>
    </row>
    <row r="30" spans="2:8">
      <c r="B30" s="218" t="str">
        <f>IF(inputPrYr!$B39&gt;"  ",(inputPrYr!$B39),"  ")</f>
        <v>Spec. Rev. Risk Management</v>
      </c>
      <c r="C30" s="219"/>
      <c r="D30" s="220">
        <f>'Risk Mgmt Sen Ctr'!C69</f>
        <v>16</v>
      </c>
      <c r="E30" s="220"/>
      <c r="F30" s="371">
        <f>'Risk Mgmt Sen Ctr'!E30</f>
        <v>141934</v>
      </c>
      <c r="G30" s="371"/>
      <c r="H30" s="753"/>
    </row>
    <row r="31" spans="2:8">
      <c r="B31" s="218" t="str">
        <f>IF(inputPrYr!$B40&gt;"  ",(inputPrYr!$B40),"  ")</f>
        <v>Spec. Rev. Senior Center</v>
      </c>
      <c r="C31" s="219"/>
      <c r="D31" s="220">
        <f>'Risk Mgmt Sen Ctr'!C69</f>
        <v>16</v>
      </c>
      <c r="E31" s="220"/>
      <c r="F31" s="371">
        <f>'Risk Mgmt Sen Ctr'!E63</f>
        <v>48280</v>
      </c>
      <c r="G31" s="371"/>
      <c r="H31" s="753"/>
    </row>
    <row r="32" spans="2:8">
      <c r="B32" s="218" t="str">
        <f>IF(inputPrYr!$B41&gt;"  ",(inputPrYr!$B41),"  ")</f>
        <v>Spec. Rev. Sidewalk Escrow</v>
      </c>
      <c r="C32" s="219"/>
      <c r="D32" s="220">
        <f>'Sidewalk Soccer'!C63</f>
        <v>17</v>
      </c>
      <c r="E32" s="220"/>
      <c r="F32" s="371">
        <f>'Sidewalk Soccer'!E30</f>
        <v>34396</v>
      </c>
      <c r="G32" s="371"/>
      <c r="H32" s="753"/>
    </row>
    <row r="33" spans="2:8">
      <c r="B33" s="218" t="str">
        <f>IF(inputPrYr!$B42&gt;"  ",(inputPrYr!$B42),"  ")</f>
        <v>Spec. Rev. Soccer</v>
      </c>
      <c r="C33" s="219"/>
      <c r="D33" s="220">
        <f>'Sidewalk Soccer'!C63</f>
        <v>17</v>
      </c>
      <c r="E33" s="820">
        <f>'Sidewalk Soccer'!D57</f>
        <v>11810</v>
      </c>
      <c r="F33" s="371">
        <f>'Sidewalk Soccer'!E57</f>
        <v>11455</v>
      </c>
      <c r="G33" s="371"/>
      <c r="H33" s="753"/>
    </row>
    <row r="34" spans="2:8">
      <c r="B34" s="218" t="str">
        <f>IF(inputPrYr!$B43&gt;"  ",(inputPrYr!$B43),"  ")</f>
        <v>Spec. Rev. Special Parks &amp; Recreation</v>
      </c>
      <c r="C34" s="219"/>
      <c r="D34" s="220">
        <f>'Spec Parks Streets'!C57</f>
        <v>18</v>
      </c>
      <c r="E34" s="820">
        <f>'Spec Parks Streets'!D22</f>
        <v>105400</v>
      </c>
      <c r="F34" s="371">
        <f>'Spec Parks Streets'!E22</f>
        <v>60342</v>
      </c>
      <c r="G34" s="371"/>
      <c r="H34" s="753"/>
    </row>
    <row r="35" spans="2:8">
      <c r="B35" s="218" t="str">
        <f>IF(inputPrYr!$B44&gt;"  ",(inputPrYr!$B44),"  ")</f>
        <v>Spec. Rev. Street Projects</v>
      </c>
      <c r="C35" s="221"/>
      <c r="D35" s="220">
        <f>'Spec Parks Streets'!C57</f>
        <v>18</v>
      </c>
      <c r="E35" s="820">
        <f>'Spec Parks Streets'!D51</f>
        <v>578912</v>
      </c>
      <c r="F35" s="371">
        <f>'Spec Parks Streets'!E51</f>
        <v>539100</v>
      </c>
      <c r="G35" s="371"/>
      <c r="H35" s="753"/>
    </row>
    <row r="36" spans="2:8">
      <c r="B36" s="218" t="str">
        <f>IF(inputPrYr!$B45&gt;"  ",(inputPrYr!$B45),"  ")</f>
        <v>Spec. Rev. Summer Ball</v>
      </c>
      <c r="C36" s="222"/>
      <c r="D36" s="220">
        <f>'Ball Pool'!C64</f>
        <v>19</v>
      </c>
      <c r="E36" s="220"/>
      <c r="F36" s="371">
        <f>'Ball Pool'!E23</f>
        <v>46250</v>
      </c>
      <c r="G36" s="371"/>
      <c r="H36" s="753"/>
    </row>
    <row r="37" spans="2:8">
      <c r="B37" s="218" t="str">
        <f>IF(inputPrYr!$B46&gt;"  ",(inputPrYr!$B46),"  ")</f>
        <v>Spec. Rev. Swimming Pool</v>
      </c>
      <c r="C37" s="222"/>
      <c r="D37" s="220">
        <f>'Ball Pool'!C64</f>
        <v>19</v>
      </c>
      <c r="E37" s="220"/>
      <c r="F37" s="371">
        <f>'Ball Pool'!E58</f>
        <v>261924</v>
      </c>
      <c r="G37" s="371"/>
      <c r="H37" s="753"/>
    </row>
    <row r="38" spans="2:8">
      <c r="B38" s="218" t="str">
        <f>IF(inputPrYr!$B47&gt;"  ",(inputPrYr!$B47),"  ")</f>
        <v>Spec. Rev. Tiblow Transit</v>
      </c>
      <c r="C38" s="222"/>
      <c r="D38" s="220">
        <f>'Tiblow TIF Develop'!C70</f>
        <v>20</v>
      </c>
      <c r="E38" s="220"/>
      <c r="F38" s="371">
        <f>'Tiblow TIF Develop'!E31</f>
        <v>90533</v>
      </c>
      <c r="G38" s="371"/>
      <c r="H38" s="753"/>
    </row>
    <row r="39" spans="2:8">
      <c r="B39" s="218" t="str">
        <f>IF(inputPrYr!$B48&gt;"  ",(inputPrYr!$B48),"  ")</f>
        <v>Spec. Rev. TIF Develop Funds</v>
      </c>
      <c r="C39" s="222"/>
      <c r="D39" s="220">
        <f>'Tiblow TIF Develop'!C70</f>
        <v>20</v>
      </c>
      <c r="E39" s="220"/>
      <c r="F39" s="371">
        <f>'Tiblow TIF Develop'!E64</f>
        <v>0</v>
      </c>
      <c r="G39" s="371"/>
      <c r="H39" s="753"/>
    </row>
    <row r="40" spans="2:8" s="790" customFormat="1">
      <c r="B40" s="218" t="str">
        <f>IF(inputPrYr!$B49&gt;"  ",(inputPrYr!$B49),"  ")</f>
        <v>Bonner Pointe TIF Increment</v>
      </c>
      <c r="C40" s="222"/>
      <c r="D40" s="220">
        <f>'TIF Increment CID Develop'!C69</f>
        <v>21</v>
      </c>
      <c r="E40" s="220"/>
      <c r="F40" s="371">
        <f>'TIF Increment CID Develop'!E30</f>
        <v>180000</v>
      </c>
      <c r="G40" s="371"/>
      <c r="H40" s="753"/>
    </row>
    <row r="41" spans="2:8" s="790" customFormat="1">
      <c r="B41" s="218" t="str">
        <f>IF(inputPrYr!$B50&gt;"  ",(inputPrYr!$B50),"  ")</f>
        <v>CID Development Fees</v>
      </c>
      <c r="C41" s="222"/>
      <c r="D41" s="220">
        <f>'TIF Increment CID Develop'!C69</f>
        <v>21</v>
      </c>
      <c r="E41" s="820">
        <f>'TIF Increment CID Develop'!D63</f>
        <v>11190</v>
      </c>
      <c r="F41" s="371">
        <f>'TIF Increment CID Develop'!E63</f>
        <v>0</v>
      </c>
      <c r="G41" s="371"/>
      <c r="H41" s="753"/>
    </row>
    <row r="42" spans="2:8" s="790" customFormat="1">
      <c r="B42" s="218" t="str">
        <f>IF(inputPrYr!$B51&gt;"  ",(inputPrYr!$B51),"  ")</f>
        <v>Bonner Springs Center CID</v>
      </c>
      <c r="C42" s="222"/>
      <c r="D42" s="220">
        <f>'Center CID Ctr City Contrib'!C69</f>
        <v>22</v>
      </c>
      <c r="E42" s="220"/>
      <c r="F42" s="371">
        <f>'Center CID Ctr City Contrib'!E30</f>
        <v>100000</v>
      </c>
      <c r="G42" s="371"/>
      <c r="H42" s="753"/>
    </row>
    <row r="43" spans="2:8" s="790" customFormat="1">
      <c r="B43" s="218" t="str">
        <f>IF(inputPrYr!$B52&gt;"  ",(inputPrYr!$B52),"  ")</f>
        <v>Bonner Springs Ctr City Contribution</v>
      </c>
      <c r="C43" s="222"/>
      <c r="D43" s="220">
        <f>'Center CID Ctr City Contrib'!C69</f>
        <v>22</v>
      </c>
      <c r="E43" s="220"/>
      <c r="F43" s="371">
        <f>'Center CID Ctr City Contrib'!E63</f>
        <v>33000</v>
      </c>
      <c r="G43" s="371"/>
      <c r="H43" s="753"/>
    </row>
    <row r="44" spans="2:8" s="790" customFormat="1">
      <c r="B44" s="218" t="str">
        <f>IF(inputPrYr!$B53&gt;"  ",(inputPrYr!$B53),"  ")</f>
        <v>Enterprise Fund - Solid Waste</v>
      </c>
      <c r="C44" s="222"/>
      <c r="D44" s="220">
        <f>'Solid Waste Storm'!C59</f>
        <v>23</v>
      </c>
      <c r="E44" s="220"/>
      <c r="F44" s="371">
        <f>IF('Solid Waste Storm'!$E$26&gt;0,'Solid Waste Storm'!$E$26,"  ")</f>
        <v>380110</v>
      </c>
      <c r="G44" s="371"/>
      <c r="H44" s="753"/>
    </row>
    <row r="45" spans="2:8" s="790" customFormat="1">
      <c r="B45" s="218" t="str">
        <f>IF(inputPrYr!$B54&gt;"  ",(inputPrYr!$B54),"  ")</f>
        <v>Enterprise Fund - Storm Water</v>
      </c>
      <c r="C45" s="222"/>
      <c r="D45" s="220">
        <f>'Solid Waste Storm'!C59</f>
        <v>23</v>
      </c>
      <c r="E45" s="220"/>
      <c r="F45" s="371">
        <f>IF('Solid Waste Storm'!$E$55&gt;0,'Solid Waste Storm'!$E$55,"  ")</f>
        <v>175378</v>
      </c>
      <c r="G45" s="371"/>
      <c r="H45" s="753"/>
    </row>
    <row r="46" spans="2:8" s="790" customFormat="1">
      <c r="B46" s="218" t="str">
        <f>IF(inputPrYr!$B55&gt;"  ",(inputPrYr!$B55),"  ")</f>
        <v>Enterprise Fund - Waste Water</v>
      </c>
      <c r="C46" s="222"/>
      <c r="D46" s="220">
        <f>'Waste Water'!C43</f>
        <v>24</v>
      </c>
      <c r="E46" s="220"/>
      <c r="F46" s="371">
        <f>IF('Waste Water'!$E$37&gt;0,'Waste Water'!$E$37,"  ")</f>
        <v>1658907</v>
      </c>
      <c r="G46" s="371"/>
      <c r="H46" s="753"/>
    </row>
    <row r="47" spans="2:8" s="790" customFormat="1">
      <c r="B47" s="218" t="str">
        <f>IF(inputPrYr!$B56&gt;"  ",(inputPrYr!$B56),"  ")</f>
        <v>Enterprise Fund - Water</v>
      </c>
      <c r="C47" s="222"/>
      <c r="D47" s="220">
        <f>Water!C41</f>
        <v>25</v>
      </c>
      <c r="E47" s="820">
        <f>IF(Water!$D$35&gt;0,Water!$D$35,"  ")</f>
        <v>1860601</v>
      </c>
      <c r="F47" s="371">
        <f>IF(Water!$E$35&gt;0,Water!$E$35,"  ")</f>
        <v>2325055</v>
      </c>
      <c r="G47" s="371"/>
      <c r="H47" s="753"/>
    </row>
    <row r="48" spans="2:8" s="790" customFormat="1" ht="16.5" thickBot="1">
      <c r="B48" s="218" t="str">
        <f>IF(inputPrYr!$B57&gt;"  ",(inputPrYr!$B57),"  ")</f>
        <v>Non Budgeted Funds</v>
      </c>
      <c r="C48" s="222"/>
      <c r="D48" s="220">
        <f>NonBudA!F33</f>
        <v>26</v>
      </c>
      <c r="E48" s="220"/>
      <c r="F48" s="371">
        <v>0</v>
      </c>
      <c r="G48" s="371"/>
      <c r="H48" s="753"/>
    </row>
    <row r="49" spans="2:8" ht="16.5" thickBot="1">
      <c r="B49" s="354" t="s">
        <v>761</v>
      </c>
      <c r="C49" s="125"/>
      <c r="D49" s="380" t="s">
        <v>272</v>
      </c>
      <c r="E49" s="804"/>
      <c r="F49" s="754">
        <f>SUM(F17:F48)</f>
        <v>20198090</v>
      </c>
      <c r="G49" s="754">
        <f>SUM(G17:G48)</f>
        <v>2203824.3899999997</v>
      </c>
      <c r="H49" s="755" t="str">
        <f>IF(SUM(H17:H48)=0,"",SUM(H17:H48))</f>
        <v/>
      </c>
    </row>
    <row r="50" spans="2:8" ht="16.5" thickTop="1">
      <c r="B50" s="223" t="s">
        <v>149</v>
      </c>
      <c r="C50" s="224"/>
      <c r="D50" s="225"/>
      <c r="E50" s="805"/>
      <c r="F50" s="562"/>
      <c r="G50" s="563" t="str">
        <f>IF(G49&gt;computation!J40,"Yes","No")</f>
        <v>Yes</v>
      </c>
      <c r="H50" s="445"/>
    </row>
    <row r="51" spans="2:8">
      <c r="B51" s="167" t="s">
        <v>148</v>
      </c>
      <c r="C51" s="132"/>
      <c r="D51" s="210">
        <f>summ!D63</f>
        <v>27</v>
      </c>
      <c r="E51" s="796"/>
      <c r="F51" s="84"/>
      <c r="G51" s="84"/>
      <c r="H51" s="84"/>
    </row>
    <row r="52" spans="2:8">
      <c r="B52" s="167" t="s">
        <v>181</v>
      </c>
      <c r="C52" s="132"/>
      <c r="D52" s="210" t="str">
        <f>IF(nhood!C40&gt;0,nhood!C40,"")</f>
        <v/>
      </c>
      <c r="E52" s="796"/>
      <c r="F52" s="84"/>
      <c r="G52" s="84"/>
      <c r="H52" s="84"/>
    </row>
    <row r="53" spans="2:8">
      <c r="B53" s="226" t="s">
        <v>165</v>
      </c>
      <c r="C53" s="885" t="s">
        <v>65</v>
      </c>
      <c r="D53" s="886"/>
      <c r="E53" s="806"/>
      <c r="F53" s="446"/>
      <c r="G53" s="113"/>
      <c r="H53" s="113"/>
    </row>
    <row r="54" spans="2:8">
      <c r="B54" s="227" t="str">
        <f>inputPrYr!D4</f>
        <v>Wyandotte County</v>
      </c>
      <c r="C54" s="881"/>
      <c r="D54" s="882"/>
      <c r="E54" s="807"/>
      <c r="F54" s="447"/>
      <c r="G54" s="113"/>
      <c r="H54" s="113"/>
    </row>
    <row r="55" spans="2:8">
      <c r="B55" s="104" t="str">
        <f>inputPrYr!D6</f>
        <v>Johnson</v>
      </c>
      <c r="C55" s="881"/>
      <c r="D55" s="882"/>
      <c r="E55" s="807"/>
      <c r="F55" s="447"/>
      <c r="G55" s="113"/>
      <c r="H55" s="113"/>
    </row>
    <row r="56" spans="2:8">
      <c r="B56" s="104" t="str">
        <f>inputPrYr!D7</f>
        <v>Leavenworth</v>
      </c>
      <c r="C56" s="881"/>
      <c r="D56" s="882"/>
      <c r="E56" s="807"/>
      <c r="F56" s="447"/>
      <c r="G56" s="113"/>
      <c r="H56" s="113"/>
    </row>
    <row r="57" spans="2:8">
      <c r="B57" s="227" t="s">
        <v>166</v>
      </c>
      <c r="C57" s="888">
        <f>SUM(C54:D56)</f>
        <v>0</v>
      </c>
      <c r="D57" s="889"/>
      <c r="E57" s="808"/>
      <c r="F57" s="676"/>
      <c r="G57" s="113"/>
      <c r="H57" s="113"/>
    </row>
    <row r="58" spans="2:8">
      <c r="B58" s="84" t="s">
        <v>273</v>
      </c>
      <c r="C58" s="890" t="str">
        <f>CONCATENATE("Nov 1, ",H1-1," Total Accessed Valuation")</f>
        <v>Nov 1, 2013 Total Accessed Valuation</v>
      </c>
      <c r="D58" s="891"/>
      <c r="E58" s="809"/>
      <c r="F58" s="113"/>
      <c r="G58" s="113"/>
      <c r="H58" s="113"/>
    </row>
    <row r="59" spans="2:8">
      <c r="B59" s="229" t="s">
        <v>1251</v>
      </c>
      <c r="C59" s="892"/>
      <c r="D59" s="893"/>
      <c r="E59" s="809"/>
      <c r="F59" s="677"/>
      <c r="G59" s="291"/>
      <c r="H59" s="291"/>
    </row>
    <row r="60" spans="2:8">
      <c r="B60" s="112" t="s">
        <v>77</v>
      </c>
      <c r="C60" s="228"/>
      <c r="D60" s="113"/>
      <c r="E60" s="113" t="s">
        <v>260</v>
      </c>
      <c r="F60" s="113" t="s">
        <v>1242</v>
      </c>
      <c r="G60" s="674"/>
      <c r="H60" s="674"/>
    </row>
    <row r="61" spans="2:8">
      <c r="B61" s="229" t="s">
        <v>1251</v>
      </c>
      <c r="C61" s="228"/>
      <c r="D61" s="113"/>
      <c r="E61" s="113" t="s">
        <v>260</v>
      </c>
      <c r="F61" s="113" t="s">
        <v>1243</v>
      </c>
      <c r="G61" s="674"/>
      <c r="H61" s="674"/>
    </row>
    <row r="62" spans="2:8">
      <c r="B62" s="675" t="s">
        <v>890</v>
      </c>
      <c r="C62" s="230"/>
      <c r="D62" s="113"/>
      <c r="E62" s="113" t="s">
        <v>1244</v>
      </c>
      <c r="F62" s="113" t="s">
        <v>1248</v>
      </c>
      <c r="G62" s="841"/>
      <c r="H62" s="113" t="s">
        <v>1249</v>
      </c>
    </row>
    <row r="63" spans="2:8">
      <c r="B63" s="229"/>
      <c r="C63" s="230"/>
      <c r="D63" s="113"/>
      <c r="E63" s="113"/>
      <c r="F63" s="113" t="s">
        <v>1245</v>
      </c>
      <c r="G63" s="113"/>
      <c r="H63" s="113"/>
    </row>
    <row r="64" spans="2:8">
      <c r="B64" s="565" t="s">
        <v>167</v>
      </c>
      <c r="C64" s="231">
        <f>H1-1</f>
        <v>2013</v>
      </c>
      <c r="D64" s="113"/>
      <c r="E64" s="113"/>
      <c r="F64" s="113"/>
      <c r="G64" s="679"/>
      <c r="H64" s="113"/>
    </row>
    <row r="65" spans="2:8">
      <c r="B65" s="680"/>
      <c r="C65" s="84"/>
      <c r="D65" s="113"/>
      <c r="E65" s="113"/>
      <c r="F65" s="113" t="s">
        <v>260</v>
      </c>
      <c r="G65" s="841"/>
      <c r="H65" s="113" t="s">
        <v>260</v>
      </c>
    </row>
    <row r="66" spans="2:8">
      <c r="B66" s="564"/>
      <c r="C66" s="84"/>
      <c r="D66" s="113"/>
      <c r="E66" s="113"/>
      <c r="F66" s="113" t="s">
        <v>260</v>
      </c>
      <c r="G66" s="113"/>
      <c r="H66" s="113"/>
    </row>
    <row r="67" spans="2:8">
      <c r="B67" s="102" t="s">
        <v>274</v>
      </c>
      <c r="C67" s="84"/>
      <c r="D67" s="678"/>
      <c r="E67" s="678"/>
      <c r="F67" s="887" t="s">
        <v>260</v>
      </c>
      <c r="G67" s="875"/>
      <c r="H67" s="875"/>
    </row>
    <row r="68" spans="2:8">
      <c r="B68" s="68"/>
    </row>
    <row r="74" spans="2:8" hidden="1">
      <c r="C74" s="80" t="e">
        <f>inputOth!#REF!</f>
        <v>#REF!</v>
      </c>
    </row>
    <row r="78" spans="2:8" ht="15">
      <c r="B78" s="144"/>
      <c r="C78" s="144"/>
      <c r="D78" s="144"/>
      <c r="E78" s="795"/>
      <c r="F78" s="144"/>
      <c r="G78" s="144"/>
      <c r="H78" s="144"/>
    </row>
    <row r="79" spans="2:8" ht="15">
      <c r="B79" s="144"/>
      <c r="C79" s="144"/>
      <c r="D79" s="144"/>
      <c r="E79" s="795"/>
      <c r="F79" s="144"/>
      <c r="G79" s="144"/>
      <c r="H79" s="144"/>
    </row>
    <row r="80" spans="2:8" ht="15">
      <c r="B80" s="144"/>
      <c r="C80" s="144"/>
      <c r="D80" s="144"/>
      <c r="E80" s="795"/>
      <c r="F80" s="144"/>
      <c r="G80" s="144"/>
      <c r="H80" s="144"/>
    </row>
    <row r="81" spans="2:8" ht="15">
      <c r="B81" s="144"/>
      <c r="C81" s="144"/>
      <c r="D81" s="144"/>
      <c r="E81" s="795"/>
      <c r="F81" s="144"/>
      <c r="G81" s="144"/>
      <c r="H81" s="144"/>
    </row>
    <row r="82" spans="2:8" ht="15">
      <c r="B82" s="144"/>
      <c r="C82" s="144"/>
      <c r="D82" s="144"/>
      <c r="E82" s="795"/>
      <c r="F82" s="144"/>
      <c r="G82" s="144"/>
      <c r="H82" s="144"/>
    </row>
    <row r="83" spans="2:8" ht="15">
      <c r="B83" s="144"/>
      <c r="C83" s="144"/>
      <c r="D83" s="144"/>
      <c r="E83" s="795"/>
      <c r="F83" s="144"/>
      <c r="G83" s="144"/>
      <c r="H83" s="144"/>
    </row>
    <row r="84" spans="2:8" ht="15">
      <c r="B84" s="144"/>
      <c r="C84" s="144"/>
      <c r="D84" s="144"/>
      <c r="E84" s="795"/>
      <c r="F84" s="144"/>
      <c r="G84" s="144"/>
      <c r="H84" s="144"/>
    </row>
    <row r="85" spans="2:8" ht="15">
      <c r="B85" s="144"/>
      <c r="C85" s="144"/>
      <c r="D85" s="144"/>
      <c r="E85" s="795"/>
      <c r="F85" s="144"/>
      <c r="G85" s="144"/>
      <c r="H85" s="144"/>
    </row>
    <row r="86" spans="2:8" ht="15">
      <c r="B86" s="144"/>
      <c r="C86" s="144"/>
      <c r="D86" s="144"/>
      <c r="E86" s="795"/>
      <c r="F86" s="144"/>
      <c r="G86" s="144"/>
      <c r="H86" s="144"/>
    </row>
    <row r="87" spans="2:8" ht="15">
      <c r="B87" s="144"/>
      <c r="C87" s="144"/>
      <c r="D87" s="144"/>
      <c r="E87" s="795"/>
      <c r="F87" s="144"/>
      <c r="G87" s="144"/>
      <c r="H87" s="144"/>
    </row>
    <row r="88" spans="2:8" ht="15">
      <c r="B88" s="144"/>
      <c r="C88" s="144"/>
      <c r="D88" s="144"/>
      <c r="E88" s="795"/>
      <c r="F88" s="144"/>
      <c r="G88" s="144"/>
      <c r="H88" s="144"/>
    </row>
    <row r="89" spans="2:8" ht="15">
      <c r="B89" s="144"/>
      <c r="C89" s="144"/>
      <c r="D89" s="144"/>
      <c r="E89" s="795"/>
      <c r="F89" s="144"/>
      <c r="G89" s="144"/>
      <c r="H89" s="144"/>
    </row>
    <row r="90" spans="2:8" ht="15">
      <c r="B90" s="144"/>
      <c r="C90" s="144"/>
      <c r="D90" s="144"/>
      <c r="E90" s="795"/>
      <c r="F90" s="144"/>
      <c r="G90" s="144"/>
      <c r="H90" s="144"/>
    </row>
    <row r="91" spans="2:8" ht="15">
      <c r="B91" s="144"/>
      <c r="C91" s="144"/>
      <c r="D91" s="144"/>
      <c r="E91" s="795"/>
      <c r="F91" s="144"/>
      <c r="G91" s="144"/>
      <c r="H91" s="144"/>
    </row>
    <row r="92" spans="2:8" ht="15">
      <c r="B92" s="144"/>
      <c r="C92" s="144"/>
      <c r="D92" s="144"/>
      <c r="E92" s="795"/>
      <c r="F92" s="144"/>
      <c r="G92" s="144"/>
      <c r="H92" s="144"/>
    </row>
    <row r="93" spans="2:8" ht="15">
      <c r="B93" s="144"/>
      <c r="C93" s="144"/>
      <c r="D93" s="144"/>
      <c r="E93" s="795"/>
      <c r="F93" s="144"/>
      <c r="G93" s="144"/>
      <c r="H93" s="144"/>
    </row>
    <row r="96" spans="2:8">
      <c r="B96" s="68"/>
      <c r="C96" s="68"/>
      <c r="D96" s="68"/>
      <c r="E96" s="68"/>
      <c r="F96" s="68"/>
      <c r="G96" s="68"/>
      <c r="H96" s="68"/>
    </row>
  </sheetData>
  <mergeCells count="9">
    <mergeCell ref="C54:D54"/>
    <mergeCell ref="B3:H3"/>
    <mergeCell ref="C53:D53"/>
    <mergeCell ref="B4:H4"/>
    <mergeCell ref="F67:H67"/>
    <mergeCell ref="C55:D55"/>
    <mergeCell ref="C56:D56"/>
    <mergeCell ref="C57:D57"/>
    <mergeCell ref="C58:D59"/>
  </mergeCells>
  <phoneticPr fontId="0" type="noConversion"/>
  <printOptions horizontalCentered="1" verticalCentered="1"/>
  <pageMargins left="0.25" right="0.25" top="0" bottom="0.25" header="0.25" footer="0.25"/>
  <pageSetup scale="68" orientation="portrait" blackAndWhite="1" horizontalDpi="120" verticalDpi="144"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A13" zoomScale="85" workbookViewId="0">
      <selection activeCell="L29" sqref="L29"/>
    </sheetView>
  </sheetViews>
  <sheetFormatPr defaultColWidth="8.88671875" defaultRowHeight="15.95" customHeight="1"/>
  <cols>
    <col min="1" max="2" width="3.33203125" style="68" customWidth="1"/>
    <col min="3" max="3" width="31.33203125" style="68" customWidth="1"/>
    <col min="4" max="4" width="2.33203125" style="68" customWidth="1"/>
    <col min="5" max="5" width="15.77734375" style="68" customWidth="1"/>
    <col min="6" max="6" width="2" style="68" customWidth="1"/>
    <col min="7" max="7" width="15.77734375" style="68" customWidth="1"/>
    <col min="8" max="8" width="1.88671875" style="68" customWidth="1"/>
    <col min="9" max="9" width="1.77734375" style="68" customWidth="1"/>
    <col min="10" max="10" width="15.77734375" style="68" customWidth="1"/>
    <col min="11" max="16384" width="8.88671875" style="68"/>
  </cols>
  <sheetData>
    <row r="1" spans="1:10" ht="15.95" customHeight="1">
      <c r="A1" s="146"/>
      <c r="B1" s="146"/>
      <c r="C1" s="145" t="str">
        <f>inputPrYr!D3</f>
        <v>City of Bonner Springs</v>
      </c>
      <c r="D1" s="146"/>
      <c r="E1" s="146"/>
      <c r="F1" s="146"/>
      <c r="G1" s="146"/>
      <c r="H1" s="146"/>
      <c r="I1" s="146"/>
      <c r="J1" s="146">
        <f>inputPrYr!C10</f>
        <v>2014</v>
      </c>
    </row>
    <row r="2" spans="1:10" ht="15.95" customHeight="1">
      <c r="A2" s="146"/>
      <c r="B2" s="146"/>
      <c r="C2" s="146"/>
      <c r="D2" s="146"/>
      <c r="E2" s="146"/>
      <c r="F2" s="146"/>
      <c r="G2" s="146"/>
      <c r="H2" s="146"/>
      <c r="I2" s="146"/>
      <c r="J2" s="146"/>
    </row>
    <row r="3" spans="1:10" ht="15.75">
      <c r="A3" s="895" t="str">
        <f>CONCATENATE("Computation to Determine Limit for ",J1,"")</f>
        <v>Computation to Determine Limit for 2014</v>
      </c>
      <c r="B3" s="896"/>
      <c r="C3" s="896"/>
      <c r="D3" s="896"/>
      <c r="E3" s="896"/>
      <c r="F3" s="896"/>
      <c r="G3" s="896"/>
      <c r="H3" s="896"/>
      <c r="I3" s="896"/>
      <c r="J3" s="896"/>
    </row>
    <row r="4" spans="1:10" ht="15.75">
      <c r="A4" s="146"/>
      <c r="B4" s="146"/>
      <c r="C4" s="146"/>
      <c r="D4" s="146"/>
      <c r="E4" s="896"/>
      <c r="F4" s="896"/>
      <c r="G4" s="896"/>
      <c r="H4" s="232"/>
      <c r="I4" s="146"/>
      <c r="J4" s="233" t="s">
        <v>14</v>
      </c>
    </row>
    <row r="5" spans="1:10" ht="15.75">
      <c r="A5" s="234" t="s">
        <v>15</v>
      </c>
      <c r="B5" s="146" t="str">
        <f>CONCATENATE("Total Tax Levy Amount in ",J1-1," Budget")</f>
        <v>Total Tax Levy Amount in 2013 Budget</v>
      </c>
      <c r="C5" s="146"/>
      <c r="D5" s="146"/>
      <c r="E5" s="235"/>
      <c r="F5" s="235"/>
      <c r="G5" s="235"/>
      <c r="H5" s="236" t="s">
        <v>16</v>
      </c>
      <c r="I5" s="235" t="s">
        <v>17</v>
      </c>
      <c r="J5" s="237">
        <f>inputPrYr!E26</f>
        <v>2025736</v>
      </c>
    </row>
    <row r="6" spans="1:10" ht="15.75">
      <c r="A6" s="234" t="s">
        <v>18</v>
      </c>
      <c r="B6" s="146" t="str">
        <f>CONCATENATE("Debt Service Levy in ",J1-1," Budget")</f>
        <v>Debt Service Levy in 2013 Budget</v>
      </c>
      <c r="C6" s="146"/>
      <c r="D6" s="146"/>
      <c r="E6" s="235"/>
      <c r="F6" s="235"/>
      <c r="G6" s="235"/>
      <c r="H6" s="236" t="s">
        <v>19</v>
      </c>
      <c r="I6" s="235" t="s">
        <v>17</v>
      </c>
      <c r="J6" s="238">
        <f>inputPrYr!E23</f>
        <v>471744</v>
      </c>
    </row>
    <row r="7" spans="1:10" ht="15.75">
      <c r="A7" s="234" t="s">
        <v>43</v>
      </c>
      <c r="B7" s="239" t="s">
        <v>40</v>
      </c>
      <c r="C7" s="146"/>
      <c r="D7" s="146"/>
      <c r="E7" s="235"/>
      <c r="F7" s="235"/>
      <c r="G7" s="235"/>
      <c r="H7" s="235"/>
      <c r="I7" s="235" t="s">
        <v>17</v>
      </c>
      <c r="J7" s="240">
        <f>J5-J6</f>
        <v>1553992</v>
      </c>
    </row>
    <row r="8" spans="1:10" ht="15.75">
      <c r="A8" s="146"/>
      <c r="B8" s="146"/>
      <c r="C8" s="146"/>
      <c r="D8" s="146"/>
      <c r="E8" s="235"/>
      <c r="F8" s="235"/>
      <c r="G8" s="235"/>
      <c r="H8" s="235"/>
      <c r="I8" s="235"/>
      <c r="J8" s="235"/>
    </row>
    <row r="9" spans="1:10" ht="15.75">
      <c r="A9" s="146"/>
      <c r="B9" s="239" t="str">
        <f>CONCATENATE("",J1-1," Valuation Information for Valuation Adjustments:")</f>
        <v>2013 Valuation Information for Valuation Adjustments:</v>
      </c>
      <c r="C9" s="146"/>
      <c r="D9" s="146"/>
      <c r="E9" s="235"/>
      <c r="F9" s="235"/>
      <c r="G9" s="235"/>
      <c r="H9" s="235"/>
      <c r="I9" s="235"/>
      <c r="J9" s="235"/>
    </row>
    <row r="10" spans="1:10" ht="15.75">
      <c r="A10" s="146"/>
      <c r="B10" s="146"/>
      <c r="C10" s="239"/>
      <c r="D10" s="146"/>
      <c r="E10" s="235"/>
      <c r="F10" s="235"/>
      <c r="G10" s="235"/>
      <c r="H10" s="235"/>
      <c r="I10" s="235"/>
      <c r="J10" s="235"/>
    </row>
    <row r="11" spans="1:10" ht="15.75">
      <c r="A11" s="234" t="s">
        <v>20</v>
      </c>
      <c r="B11" s="239" t="str">
        <f>CONCATENATE("New Improvements for ",J1-1,":")</f>
        <v>New Improvements for 2013:</v>
      </c>
      <c r="C11" s="146"/>
      <c r="D11" s="146"/>
      <c r="E11" s="236"/>
      <c r="F11" s="236" t="s">
        <v>16</v>
      </c>
      <c r="G11" s="170">
        <f>inputOth!C14</f>
        <v>555206</v>
      </c>
      <c r="H11" s="241"/>
      <c r="I11" s="235"/>
      <c r="J11" s="235"/>
    </row>
    <row r="12" spans="1:10" ht="15.75">
      <c r="A12" s="234"/>
      <c r="B12" s="242"/>
      <c r="C12" s="146"/>
      <c r="D12" s="146"/>
      <c r="E12" s="236"/>
      <c r="F12" s="236"/>
      <c r="G12" s="241"/>
      <c r="H12" s="241"/>
      <c r="I12" s="235"/>
      <c r="J12" s="235"/>
    </row>
    <row r="13" spans="1:10" ht="15.75">
      <c r="A13" s="234" t="s">
        <v>21</v>
      </c>
      <c r="B13" s="239" t="str">
        <f>CONCATENATE("Increase in Personal Property for ",J1-1,":")</f>
        <v>Increase in Personal Property for 2013:</v>
      </c>
      <c r="C13" s="146"/>
      <c r="D13" s="146"/>
      <c r="E13" s="236"/>
      <c r="F13" s="236"/>
      <c r="G13" s="241"/>
      <c r="H13" s="241"/>
      <c r="I13" s="235"/>
      <c r="J13" s="235"/>
    </row>
    <row r="14" spans="1:10" ht="15.75">
      <c r="A14" s="243"/>
      <c r="B14" s="146" t="s">
        <v>22</v>
      </c>
      <c r="C14" s="146" t="str">
        <f>CONCATENATE("Personal Property ",J1-1,"")</f>
        <v>Personal Property 2013</v>
      </c>
      <c r="D14" s="242" t="s">
        <v>16</v>
      </c>
      <c r="E14" s="170">
        <f>inputOth!D14</f>
        <v>2302746</v>
      </c>
      <c r="F14" s="236"/>
      <c r="G14" s="235"/>
      <c r="H14" s="235"/>
      <c r="I14" s="241"/>
      <c r="J14" s="235"/>
    </row>
    <row r="15" spans="1:10" ht="15.75">
      <c r="A15" s="242"/>
      <c r="B15" s="146" t="s">
        <v>23</v>
      </c>
      <c r="C15" s="146" t="str">
        <f>CONCATENATE("Personal Property ",J1-2,"")</f>
        <v>Personal Property 2012</v>
      </c>
      <c r="D15" s="242" t="s">
        <v>19</v>
      </c>
      <c r="E15" s="244">
        <f>inputOth!F14</f>
        <v>2453887</v>
      </c>
      <c r="F15" s="236"/>
      <c r="G15" s="241"/>
      <c r="H15" s="241"/>
      <c r="I15" s="235"/>
      <c r="J15" s="235"/>
    </row>
    <row r="16" spans="1:10" ht="15.75">
      <c r="A16" s="242"/>
      <c r="B16" s="146" t="s">
        <v>24</v>
      </c>
      <c r="C16" s="146" t="s">
        <v>42</v>
      </c>
      <c r="D16" s="146"/>
      <c r="E16" s="235"/>
      <c r="F16" s="235" t="s">
        <v>16</v>
      </c>
      <c r="G16" s="237">
        <f>IF(E14&gt;E15,E14-E15,0)</f>
        <v>0</v>
      </c>
      <c r="H16" s="241"/>
      <c r="I16" s="235"/>
      <c r="J16" s="235"/>
    </row>
    <row r="17" spans="1:10" ht="15.75">
      <c r="A17" s="242"/>
      <c r="B17" s="242"/>
      <c r="C17" s="146"/>
      <c r="D17" s="146"/>
      <c r="E17" s="235"/>
      <c r="F17" s="235"/>
      <c r="G17" s="241" t="s">
        <v>37</v>
      </c>
      <c r="H17" s="241"/>
      <c r="I17" s="235"/>
      <c r="J17" s="235"/>
    </row>
    <row r="18" spans="1:10" ht="15.75">
      <c r="A18" s="242" t="s">
        <v>25</v>
      </c>
      <c r="B18" s="239" t="str">
        <f>CONCATENATE("Valuation of annexed territory for ",J1-1,":")</f>
        <v>Valuation of annexed territory for 2013:</v>
      </c>
      <c r="C18" s="146"/>
      <c r="D18" s="146"/>
      <c r="E18" s="241"/>
      <c r="F18" s="235"/>
      <c r="G18" s="235"/>
      <c r="H18" s="235"/>
      <c r="I18" s="235"/>
      <c r="J18" s="235"/>
    </row>
    <row r="19" spans="1:10" ht="15.75">
      <c r="A19" s="242"/>
      <c r="B19" s="146" t="s">
        <v>26</v>
      </c>
      <c r="C19" s="146" t="s">
        <v>44</v>
      </c>
      <c r="D19" s="242" t="s">
        <v>16</v>
      </c>
      <c r="E19" s="170">
        <f>inputOth!B22</f>
        <v>0</v>
      </c>
      <c r="F19" s="235"/>
      <c r="G19" s="235"/>
      <c r="H19" s="235"/>
      <c r="I19" s="235"/>
      <c r="J19" s="235"/>
    </row>
    <row r="20" spans="1:10" ht="15.75">
      <c r="A20" s="242"/>
      <c r="B20" s="146" t="s">
        <v>27</v>
      </c>
      <c r="C20" s="146" t="s">
        <v>45</v>
      </c>
      <c r="D20" s="242" t="s">
        <v>16</v>
      </c>
      <c r="E20" s="170">
        <f>inputOth!C22</f>
        <v>0</v>
      </c>
      <c r="F20" s="235"/>
      <c r="G20" s="241"/>
      <c r="H20" s="241"/>
      <c r="I20" s="235"/>
      <c r="J20" s="235"/>
    </row>
    <row r="21" spans="1:10" ht="15.75">
      <c r="A21" s="242"/>
      <c r="B21" s="146" t="s">
        <v>28</v>
      </c>
      <c r="C21" s="146" t="s">
        <v>41</v>
      </c>
      <c r="D21" s="242" t="s">
        <v>19</v>
      </c>
      <c r="E21" s="170">
        <f>inputOth!D22</f>
        <v>0</v>
      </c>
      <c r="F21" s="235"/>
      <c r="G21" s="241"/>
      <c r="H21" s="241"/>
      <c r="I21" s="235"/>
      <c r="J21" s="235"/>
    </row>
    <row r="22" spans="1:10" ht="15.75">
      <c r="A22" s="242"/>
      <c r="B22" s="146" t="s">
        <v>29</v>
      </c>
      <c r="C22" s="146" t="s">
        <v>46</v>
      </c>
      <c r="D22" s="242"/>
      <c r="E22" s="241"/>
      <c r="F22" s="235" t="s">
        <v>16</v>
      </c>
      <c r="G22" s="237">
        <f>E19+E20-E21</f>
        <v>0</v>
      </c>
      <c r="H22" s="241"/>
      <c r="I22" s="235"/>
      <c r="J22" s="235"/>
    </row>
    <row r="23" spans="1:10" ht="15.75">
      <c r="A23" s="242"/>
      <c r="B23" s="242"/>
      <c r="C23" s="146"/>
      <c r="D23" s="242"/>
      <c r="E23" s="241"/>
      <c r="F23" s="235"/>
      <c r="G23" s="241"/>
      <c r="H23" s="241"/>
      <c r="I23" s="235"/>
      <c r="J23" s="235"/>
    </row>
    <row r="24" spans="1:10" ht="15.75">
      <c r="A24" s="242" t="s">
        <v>30</v>
      </c>
      <c r="B24" s="239" t="str">
        <f>CONCATENATE("Valuation of Property that has Changed in Use during ",J1-1,":")</f>
        <v>Valuation of Property that has Changed in Use during 2013:</v>
      </c>
      <c r="C24" s="146"/>
      <c r="D24" s="146"/>
      <c r="E24" s="235"/>
      <c r="F24" s="235"/>
      <c r="G24" s="136">
        <f>inputOth!E14</f>
        <v>717712</v>
      </c>
      <c r="H24" s="235"/>
      <c r="I24" s="235"/>
      <c r="J24" s="235"/>
    </row>
    <row r="25" spans="1:10" ht="15.75">
      <c r="A25" s="146" t="s">
        <v>260</v>
      </c>
      <c r="B25" s="146"/>
      <c r="C25" s="146"/>
      <c r="D25" s="242"/>
      <c r="E25" s="241"/>
      <c r="F25" s="235"/>
      <c r="G25" s="245"/>
      <c r="H25" s="241"/>
      <c r="I25" s="235"/>
      <c r="J25" s="235"/>
    </row>
    <row r="26" spans="1:10" ht="15.75">
      <c r="A26" s="242" t="s">
        <v>31</v>
      </c>
      <c r="B26" s="239" t="s">
        <v>47</v>
      </c>
      <c r="C26" s="146"/>
      <c r="D26" s="146"/>
      <c r="E26" s="235"/>
      <c r="F26" s="235"/>
      <c r="G26" s="237">
        <f>G11+G16+G22+G24</f>
        <v>1272918</v>
      </c>
      <c r="H26" s="241"/>
      <c r="I26" s="235"/>
      <c r="J26" s="235"/>
    </row>
    <row r="27" spans="1:10" ht="15.75">
      <c r="A27" s="242"/>
      <c r="B27" s="242"/>
      <c r="C27" s="239"/>
      <c r="D27" s="146"/>
      <c r="E27" s="235"/>
      <c r="F27" s="235"/>
      <c r="G27" s="241"/>
      <c r="H27" s="241"/>
      <c r="I27" s="235"/>
      <c r="J27" s="235"/>
    </row>
    <row r="28" spans="1:10" ht="15.75">
      <c r="A28" s="242" t="s">
        <v>32</v>
      </c>
      <c r="B28" s="146" t="str">
        <f>CONCATENATE("Total Estimated Valuation July 1,",J1-1,"")</f>
        <v>Total Estimated Valuation July 1,2013</v>
      </c>
      <c r="C28" s="146"/>
      <c r="D28" s="146"/>
      <c r="E28" s="237">
        <f>inputOth!B14</f>
        <v>65580249</v>
      </c>
      <c r="F28" s="235"/>
      <c r="G28" s="235"/>
      <c r="H28" s="235"/>
      <c r="I28" s="236"/>
      <c r="J28" s="235"/>
    </row>
    <row r="29" spans="1:10" ht="15.75">
      <c r="A29" s="242"/>
      <c r="B29" s="242"/>
      <c r="C29" s="146"/>
      <c r="D29" s="146"/>
      <c r="E29" s="241"/>
      <c r="F29" s="235"/>
      <c r="G29" s="235"/>
      <c r="H29" s="235"/>
      <c r="I29" s="236"/>
      <c r="J29" s="235"/>
    </row>
    <row r="30" spans="1:10" ht="15.75">
      <c r="A30" s="242" t="s">
        <v>33</v>
      </c>
      <c r="B30" s="239" t="s">
        <v>48</v>
      </c>
      <c r="C30" s="146"/>
      <c r="D30" s="146"/>
      <c r="E30" s="235"/>
      <c r="F30" s="235"/>
      <c r="G30" s="237">
        <f>E28-G26</f>
        <v>64307331</v>
      </c>
      <c r="H30" s="241"/>
      <c r="I30" s="236"/>
      <c r="J30" s="235"/>
    </row>
    <row r="31" spans="1:10" ht="15.75">
      <c r="A31" s="242"/>
      <c r="B31" s="242"/>
      <c r="C31" s="239"/>
      <c r="D31" s="146"/>
      <c r="E31" s="146"/>
      <c r="F31" s="146"/>
      <c r="G31" s="246"/>
      <c r="H31" s="247"/>
      <c r="I31" s="242"/>
      <c r="J31" s="146"/>
    </row>
    <row r="32" spans="1:10" ht="15.75">
      <c r="A32" s="242" t="s">
        <v>34</v>
      </c>
      <c r="B32" s="146" t="s">
        <v>49</v>
      </c>
      <c r="C32" s="146"/>
      <c r="D32" s="146"/>
      <c r="E32" s="146"/>
      <c r="F32" s="146"/>
      <c r="G32" s="248">
        <f>IF(G30&gt;0,G26/G30,0)</f>
        <v>1.9794290638496567E-2</v>
      </c>
      <c r="H32" s="247"/>
      <c r="I32" s="146"/>
      <c r="J32" s="146"/>
    </row>
    <row r="33" spans="1:10" ht="15.75">
      <c r="A33" s="242"/>
      <c r="B33" s="242"/>
      <c r="C33" s="146"/>
      <c r="D33" s="146"/>
      <c r="E33" s="146"/>
      <c r="F33" s="146"/>
      <c r="G33" s="247"/>
      <c r="H33" s="247"/>
      <c r="I33" s="146"/>
      <c r="J33" s="146"/>
    </row>
    <row r="34" spans="1:10" ht="15.75">
      <c r="A34" s="242" t="s">
        <v>35</v>
      </c>
      <c r="B34" s="146" t="s">
        <v>50</v>
      </c>
      <c r="C34" s="146"/>
      <c r="D34" s="146"/>
      <c r="E34" s="146"/>
      <c r="F34" s="146"/>
      <c r="G34" s="247"/>
      <c r="H34" s="249" t="s">
        <v>16</v>
      </c>
      <c r="I34" s="146" t="s">
        <v>17</v>
      </c>
      <c r="J34" s="237">
        <f>ROUND(G32*J7,0)</f>
        <v>30760</v>
      </c>
    </row>
    <row r="35" spans="1:10" ht="15.75">
      <c r="A35" s="242"/>
      <c r="B35" s="242"/>
      <c r="C35" s="146"/>
      <c r="D35" s="146"/>
      <c r="E35" s="146"/>
      <c r="F35" s="146"/>
      <c r="G35" s="247"/>
      <c r="H35" s="249"/>
      <c r="I35" s="146"/>
      <c r="J35" s="241"/>
    </row>
    <row r="36" spans="1:10" ht="16.5" thickBot="1">
      <c r="A36" s="242" t="s">
        <v>36</v>
      </c>
      <c r="B36" s="239" t="s">
        <v>55</v>
      </c>
      <c r="C36" s="146"/>
      <c r="D36" s="146"/>
      <c r="E36" s="146"/>
      <c r="F36" s="146"/>
      <c r="G36" s="146"/>
      <c r="H36" s="146"/>
      <c r="I36" s="146" t="s">
        <v>17</v>
      </c>
      <c r="J36" s="250">
        <f>J7+J34</f>
        <v>1584752</v>
      </c>
    </row>
    <row r="37" spans="1:10" ht="16.5" thickTop="1">
      <c r="A37" s="146"/>
      <c r="B37" s="146"/>
      <c r="C37" s="146"/>
      <c r="D37" s="146"/>
      <c r="E37" s="146"/>
      <c r="F37" s="146"/>
      <c r="G37" s="146"/>
      <c r="H37" s="146"/>
      <c r="I37" s="146"/>
      <c r="J37" s="146"/>
    </row>
    <row r="38" spans="1:10" ht="15.75">
      <c r="A38" s="242" t="s">
        <v>53</v>
      </c>
      <c r="B38" s="239" t="str">
        <f>CONCATENATE("Debt Service in this ",J1," Budget")</f>
        <v>Debt Service in this 2014 Budget</v>
      </c>
      <c r="C38" s="146"/>
      <c r="D38" s="146"/>
      <c r="E38" s="146"/>
      <c r="F38" s="146"/>
      <c r="G38" s="146"/>
      <c r="H38" s="146"/>
      <c r="I38" s="146"/>
      <c r="J38" s="251">
        <f>DebtSvs!E49</f>
        <v>372538</v>
      </c>
    </row>
    <row r="39" spans="1:10" ht="15.75">
      <c r="A39" s="242"/>
      <c r="B39" s="239"/>
      <c r="C39" s="146"/>
      <c r="D39" s="146"/>
      <c r="E39" s="146"/>
      <c r="F39" s="146"/>
      <c r="G39" s="146"/>
      <c r="H39" s="146"/>
      <c r="I39" s="146"/>
      <c r="J39" s="247"/>
    </row>
    <row r="40" spans="1:10" ht="16.5" thickBot="1">
      <c r="A40" s="242" t="s">
        <v>54</v>
      </c>
      <c r="B40" s="239" t="s">
        <v>56</v>
      </c>
      <c r="C40" s="146"/>
      <c r="D40" s="146"/>
      <c r="E40" s="146"/>
      <c r="F40" s="146"/>
      <c r="G40" s="146"/>
      <c r="H40" s="146"/>
      <c r="I40" s="146"/>
      <c r="J40" s="250">
        <f>J36+J38</f>
        <v>1957290</v>
      </c>
    </row>
    <row r="41" spans="1:10" ht="16.5" thickTop="1">
      <c r="A41" s="146"/>
      <c r="B41" s="146"/>
      <c r="C41" s="146"/>
      <c r="D41" s="146"/>
      <c r="E41" s="146"/>
      <c r="F41" s="146"/>
      <c r="G41" s="146"/>
      <c r="H41" s="146"/>
      <c r="I41" s="146"/>
      <c r="J41" s="146"/>
    </row>
    <row r="42" spans="1:10" s="252" customFormat="1" ht="18.75">
      <c r="A42" s="894" t="str">
        <f>CONCATENATE("If the ",J1," budget includes tax levies exceeding the total on line 15, you must")</f>
        <v>If the 2014 budget includes tax levies exceeding the total on line 15, you must</v>
      </c>
      <c r="B42" s="894"/>
      <c r="C42" s="894"/>
      <c r="D42" s="894"/>
      <c r="E42" s="894"/>
      <c r="F42" s="894"/>
      <c r="G42" s="894"/>
      <c r="H42" s="894"/>
      <c r="I42" s="894"/>
      <c r="J42" s="894"/>
    </row>
    <row r="43" spans="1:10" s="252" customFormat="1" ht="18.75">
      <c r="A43" s="894" t="s">
        <v>113</v>
      </c>
      <c r="B43" s="894"/>
      <c r="C43" s="894"/>
      <c r="D43" s="894"/>
      <c r="E43" s="894"/>
      <c r="F43" s="894"/>
      <c r="G43" s="894"/>
      <c r="H43" s="894"/>
      <c r="I43" s="894"/>
      <c r="J43" s="894"/>
    </row>
    <row r="44" spans="1:10" s="252" customFormat="1" ht="18.75">
      <c r="A44" s="894" t="s">
        <v>114</v>
      </c>
      <c r="B44" s="894"/>
      <c r="C44" s="894"/>
      <c r="D44" s="894"/>
      <c r="E44" s="894"/>
      <c r="F44" s="894"/>
      <c r="G44" s="894"/>
      <c r="H44" s="894"/>
      <c r="I44" s="894"/>
      <c r="J44" s="894"/>
    </row>
  </sheetData>
  <mergeCells count="5">
    <mergeCell ref="A42:J42"/>
    <mergeCell ref="A44:J44"/>
    <mergeCell ref="A3:J3"/>
    <mergeCell ref="E4:G4"/>
    <mergeCell ref="A43:J43"/>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7"/>
  <sheetViews>
    <sheetView topLeftCell="A12" workbookViewId="0">
      <selection activeCell="F7" sqref="F7"/>
    </sheetView>
  </sheetViews>
  <sheetFormatPr defaultColWidth="8.88671875" defaultRowHeight="15.75"/>
  <cols>
    <col min="1" max="1" width="8.88671875" style="80"/>
    <col min="2" max="2" width="16.77734375" style="80" customWidth="1"/>
    <col min="3" max="3" width="16.109375" style="80" customWidth="1"/>
    <col min="4" max="4" width="11.77734375" style="80" customWidth="1"/>
    <col min="5" max="5" width="12" style="80" customWidth="1"/>
    <col min="6" max="7" width="11.77734375" style="80" customWidth="1"/>
    <col min="8" max="16384" width="8.88671875" style="80"/>
  </cols>
  <sheetData>
    <row r="1" spans="1:7">
      <c r="A1" s="84"/>
      <c r="B1" s="253" t="str">
        <f>inputPrYr!D3</f>
        <v>City of Bonner Springs</v>
      </c>
      <c r="C1" s="253"/>
      <c r="D1" s="84"/>
      <c r="E1" s="84"/>
      <c r="F1" s="84"/>
      <c r="G1" s="84">
        <f>inputPrYr!C10</f>
        <v>2014</v>
      </c>
    </row>
    <row r="2" spans="1:7">
      <c r="A2" s="84"/>
      <c r="B2" s="253"/>
      <c r="C2" s="253"/>
      <c r="D2" s="84"/>
      <c r="E2" s="84"/>
      <c r="F2" s="84"/>
      <c r="G2" s="84"/>
    </row>
    <row r="3" spans="1:7">
      <c r="A3" s="84"/>
      <c r="B3" s="84"/>
      <c r="C3" s="84"/>
      <c r="D3" s="84"/>
      <c r="E3" s="84"/>
      <c r="F3" s="84"/>
      <c r="G3" s="84"/>
    </row>
    <row r="4" spans="1:7">
      <c r="A4" s="84"/>
      <c r="B4" s="900" t="s">
        <v>865</v>
      </c>
      <c r="C4" s="900"/>
      <c r="D4" s="900"/>
      <c r="E4" s="900"/>
      <c r="F4" s="900"/>
      <c r="G4" s="84"/>
    </row>
    <row r="5" spans="1:7">
      <c r="A5" s="84"/>
      <c r="B5" s="84"/>
      <c r="C5" s="254"/>
      <c r="D5" s="255"/>
      <c r="E5" s="255"/>
      <c r="F5" s="84"/>
      <c r="G5" s="84"/>
    </row>
    <row r="6" spans="1:7" ht="21" customHeight="1">
      <c r="A6" s="84"/>
      <c r="B6" s="256" t="s">
        <v>112</v>
      </c>
      <c r="C6" s="257" t="s">
        <v>351</v>
      </c>
      <c r="D6" s="897" t="str">
        <f>CONCATENATE("Allocation for Year ",G1,"")</f>
        <v>Allocation for Year 2014</v>
      </c>
      <c r="E6" s="898"/>
      <c r="F6" s="899"/>
      <c r="G6" s="84"/>
    </row>
    <row r="7" spans="1:7">
      <c r="A7" s="84"/>
      <c r="B7" s="258" t="str">
        <f>CONCATENATE("for ",G1-1,"")</f>
        <v>for 2013</v>
      </c>
      <c r="C7" s="258" t="str">
        <f>CONCATENATE("Amount for ",G1-2,"")</f>
        <v>Amount for 2012</v>
      </c>
      <c r="D7" s="208" t="s">
        <v>10</v>
      </c>
      <c r="E7" s="208" t="s">
        <v>11</v>
      </c>
      <c r="F7" s="208" t="s">
        <v>9</v>
      </c>
      <c r="G7" s="483"/>
    </row>
    <row r="8" spans="1:7">
      <c r="A8" s="84"/>
      <c r="B8" s="124" t="str">
        <f>(inputPrYr!B22)</f>
        <v>General</v>
      </c>
      <c r="C8" s="303">
        <f>(inputPrYr!E22)</f>
        <v>1226709</v>
      </c>
      <c r="D8" s="303">
        <f>IF(inputPrYr!E22=0,0,D13-SUM(D9:D10))</f>
        <v>146747.25</v>
      </c>
      <c r="E8" s="303">
        <f>IF(inputPrYr!E22=0,0,E15-SUM(E9:E10))</f>
        <v>939</v>
      </c>
      <c r="F8" s="303">
        <f>IF(inputPrYr!E22=0,0,F17-SUM(F9:F10))</f>
        <v>976.62999999999988</v>
      </c>
      <c r="G8" s="487"/>
    </row>
    <row r="9" spans="1:7">
      <c r="A9" s="84"/>
      <c r="B9" s="124" t="str">
        <f>IF(inputPrYr!$B23&gt;"  ",(inputPrYr!$B23),"  ")</f>
        <v>Debt Service</v>
      </c>
      <c r="C9" s="303">
        <f>IF(inputPrYr!$E23&gt;0,(inputPrYr!$E23),"  ")</f>
        <v>471744</v>
      </c>
      <c r="D9" s="303">
        <f>IF(inputPrYr!E23&gt;0,ROUND(C9*$D$20,0),"  ")</f>
        <v>56433</v>
      </c>
      <c r="E9" s="303">
        <f>IF(inputPrYr!E23&gt;0,ROUND(+C9*E$21,0)," ")</f>
        <v>361</v>
      </c>
      <c r="F9" s="303">
        <f>IF(inputPrYr!E23&gt;0,ROUND(C9*F$22,0)," ")</f>
        <v>375</v>
      </c>
      <c r="G9" s="487"/>
    </row>
    <row r="10" spans="1:7">
      <c r="A10" s="84"/>
      <c r="B10" s="124" t="str">
        <f>IF(inputPrYr!$B24&gt;"  ",(inputPrYr!$B24),"  ")</f>
        <v>Library</v>
      </c>
      <c r="C10" s="303">
        <f>IF(inputPrYr!$E24&gt;0,(inputPrYr!$E24),"  ")</f>
        <v>327283</v>
      </c>
      <c r="D10" s="303">
        <f>IF(inputPrYr!E24&gt;0,ROUND(C10*$D$20,0),"  ")</f>
        <v>39152</v>
      </c>
      <c r="E10" s="303">
        <f>IF(inputPrYr!E24&gt;0,ROUND(+C10*E$21,0)," ")</f>
        <v>250</v>
      </c>
      <c r="F10" s="303">
        <f>IF(inputPrYr!E24&gt;0,ROUND(+C10*F$22,0)," ")</f>
        <v>260</v>
      </c>
      <c r="G10" s="487"/>
    </row>
    <row r="11" spans="1:7" ht="16.5" thickBot="1">
      <c r="A11" s="84"/>
      <c r="B11" s="84" t="s">
        <v>277</v>
      </c>
      <c r="C11" s="259">
        <f>SUM(C8:C10)</f>
        <v>2025736</v>
      </c>
      <c r="D11" s="259">
        <f>SUM(D8:D10)</f>
        <v>242332.25</v>
      </c>
      <c r="E11" s="259">
        <f>SUM(E8:E10)</f>
        <v>1550</v>
      </c>
      <c r="F11" s="259">
        <f>SUM(F8:F10)</f>
        <v>1611.6299999999999</v>
      </c>
      <c r="G11" s="84"/>
    </row>
    <row r="12" spans="1:7" ht="16.5" thickTop="1">
      <c r="A12" s="84"/>
      <c r="B12" s="84"/>
      <c r="C12" s="114"/>
      <c r="D12" s="114"/>
      <c r="E12" s="114"/>
      <c r="F12" s="114"/>
      <c r="G12" s="84"/>
    </row>
    <row r="13" spans="1:7">
      <c r="A13" s="84"/>
      <c r="B13" s="91" t="s">
        <v>278</v>
      </c>
      <c r="C13" s="260"/>
      <c r="D13" s="261">
        <f>(inputOth!C51)</f>
        <v>242332.25</v>
      </c>
      <c r="E13" s="260"/>
      <c r="F13" s="84"/>
      <c r="G13" s="84"/>
    </row>
    <row r="14" spans="1:7">
      <c r="A14" s="84"/>
      <c r="B14" s="91"/>
      <c r="C14" s="260"/>
      <c r="D14" s="114"/>
      <c r="E14" s="260"/>
      <c r="F14" s="84"/>
      <c r="G14" s="84"/>
    </row>
    <row r="15" spans="1:7">
      <c r="A15" s="84"/>
      <c r="B15" s="91" t="s">
        <v>279</v>
      </c>
      <c r="C15" s="84"/>
      <c r="D15" s="84"/>
      <c r="E15" s="261">
        <f>(inputOth!D51)</f>
        <v>1550</v>
      </c>
      <c r="F15" s="84"/>
      <c r="G15" s="84"/>
    </row>
    <row r="16" spans="1:7">
      <c r="A16" s="84"/>
      <c r="B16" s="91"/>
      <c r="C16" s="84"/>
      <c r="D16" s="84"/>
      <c r="E16" s="114"/>
      <c r="F16" s="84"/>
      <c r="G16" s="84"/>
    </row>
    <row r="17" spans="1:7">
      <c r="A17" s="84"/>
      <c r="B17" s="91" t="s">
        <v>12</v>
      </c>
      <c r="C17" s="84"/>
      <c r="D17" s="84"/>
      <c r="E17" s="84"/>
      <c r="F17" s="261">
        <f>inputOth!E51</f>
        <v>1611.6299999999999</v>
      </c>
      <c r="G17" s="84"/>
    </row>
    <row r="18" spans="1:7">
      <c r="A18" s="84"/>
      <c r="B18" s="91"/>
      <c r="C18" s="84"/>
      <c r="D18" s="84"/>
      <c r="E18" s="84"/>
      <c r="F18" s="114"/>
      <c r="G18" s="84"/>
    </row>
    <row r="19" spans="1:7">
      <c r="A19" s="84"/>
      <c r="B19" s="91"/>
      <c r="C19" s="84"/>
      <c r="D19" s="84"/>
      <c r="E19" s="84"/>
      <c r="F19" s="114"/>
      <c r="G19" s="262"/>
    </row>
    <row r="20" spans="1:7">
      <c r="A20" s="84"/>
      <c r="B20" s="91" t="s">
        <v>280</v>
      </c>
      <c r="C20" s="84"/>
      <c r="D20" s="263">
        <f>IF(C11=0,0,D13/C11)</f>
        <v>0.11962676775256005</v>
      </c>
      <c r="E20" s="84"/>
      <c r="F20" s="84"/>
      <c r="G20" s="84"/>
    </row>
    <row r="21" spans="1:7">
      <c r="A21" s="84"/>
      <c r="B21" s="84"/>
      <c r="C21" s="91" t="s">
        <v>281</v>
      </c>
      <c r="D21" s="84"/>
      <c r="E21" s="263">
        <f>IF(C11=0,0,E15/C11)</f>
        <v>7.6515399834924201E-4</v>
      </c>
      <c r="F21" s="84"/>
      <c r="G21" s="84"/>
    </row>
    <row r="22" spans="1:7">
      <c r="A22" s="84"/>
      <c r="B22" s="84"/>
      <c r="C22" s="84"/>
      <c r="D22" s="91" t="s">
        <v>13</v>
      </c>
      <c r="E22" s="84"/>
      <c r="F22" s="263">
        <f>IF(C11=0,0,F17/C11)</f>
        <v>7.9557750861908945E-4</v>
      </c>
      <c r="G22" s="84"/>
    </row>
    <row r="23" spans="1:7">
      <c r="A23" s="84"/>
      <c r="B23" s="107"/>
      <c r="C23" s="107"/>
      <c r="D23" s="107"/>
      <c r="E23" s="107"/>
      <c r="F23" s="107"/>
      <c r="G23" s="107"/>
    </row>
    <row r="24" spans="1:7" ht="15" customHeight="1">
      <c r="A24" s="84"/>
      <c r="B24" s="107"/>
      <c r="C24" s="107"/>
      <c r="D24" s="107"/>
      <c r="E24" s="107"/>
      <c r="F24" s="107"/>
      <c r="G24" s="107"/>
    </row>
    <row r="25" spans="1:7" s="264" customFormat="1" ht="15" customHeight="1">
      <c r="B25" s="144"/>
      <c r="C25" s="144"/>
      <c r="D25" s="144"/>
      <c r="E25" s="144"/>
      <c r="F25" s="144"/>
      <c r="G25" s="144"/>
    </row>
    <row r="26" spans="1:7" ht="15" customHeight="1">
      <c r="B26" s="144"/>
      <c r="C26" s="144"/>
      <c r="D26" s="144"/>
      <c r="E26" s="144"/>
      <c r="F26" s="144"/>
      <c r="G26" s="144"/>
    </row>
    <row r="27" spans="1:7" ht="15" customHeight="1">
      <c r="B27" s="144"/>
      <c r="C27" s="144"/>
      <c r="D27" s="144"/>
      <c r="E27" s="144"/>
      <c r="F27" s="144"/>
      <c r="G27" s="144"/>
    </row>
    <row r="28" spans="1:7" ht="15" customHeight="1">
      <c r="B28" s="144"/>
      <c r="C28" s="144"/>
      <c r="D28" s="144"/>
      <c r="E28" s="144"/>
      <c r="F28" s="144"/>
      <c r="G28" s="144"/>
    </row>
    <row r="29" spans="1:7" ht="15" customHeight="1">
      <c r="B29" s="144"/>
      <c r="C29" s="144"/>
      <c r="D29" s="144"/>
      <c r="E29" s="144"/>
      <c r="F29" s="144"/>
      <c r="G29" s="144"/>
    </row>
    <row r="30" spans="1:7" ht="15" customHeight="1">
      <c r="B30" s="144"/>
      <c r="C30" s="144"/>
      <c r="D30" s="144"/>
      <c r="E30" s="144"/>
      <c r="F30" s="144"/>
      <c r="G30" s="144"/>
    </row>
    <row r="31" spans="1:7" ht="15" customHeight="1">
      <c r="B31" s="144"/>
      <c r="C31" s="144"/>
      <c r="D31" s="144"/>
      <c r="E31" s="144"/>
      <c r="F31" s="144"/>
      <c r="G31" s="144"/>
    </row>
    <row r="32" spans="1:7" ht="15" customHeight="1">
      <c r="B32" s="144"/>
      <c r="C32" s="144"/>
      <c r="D32" s="144"/>
      <c r="E32" s="144"/>
      <c r="F32" s="144"/>
      <c r="G32" s="144"/>
    </row>
    <row r="33" spans="2:7" ht="15" customHeight="1">
      <c r="B33" s="144"/>
      <c r="C33" s="144"/>
      <c r="D33" s="144"/>
      <c r="E33" s="144"/>
      <c r="F33" s="144"/>
      <c r="G33" s="144"/>
    </row>
    <row r="34" spans="2:7" ht="15" customHeight="1">
      <c r="B34" s="144"/>
      <c r="C34" s="144"/>
      <c r="D34" s="144"/>
      <c r="E34" s="144"/>
      <c r="F34" s="144"/>
      <c r="G34" s="144"/>
    </row>
    <row r="35" spans="2:7" ht="15" customHeight="1">
      <c r="B35" s="144"/>
      <c r="C35" s="144"/>
      <c r="D35" s="144"/>
      <c r="E35" s="144"/>
      <c r="F35" s="144"/>
      <c r="G35" s="144"/>
    </row>
    <row r="36" spans="2:7" ht="15" customHeight="1">
      <c r="B36" s="144"/>
      <c r="C36" s="144"/>
      <c r="D36" s="144"/>
      <c r="E36" s="144"/>
      <c r="F36" s="144"/>
      <c r="G36" s="144"/>
    </row>
    <row r="37" spans="2:7" ht="15" customHeight="1">
      <c r="B37" s="144"/>
      <c r="C37" s="144"/>
      <c r="D37" s="144"/>
      <c r="E37" s="144"/>
      <c r="F37" s="144"/>
      <c r="G37" s="144"/>
    </row>
    <row r="38" spans="2:7" ht="15" customHeight="1">
      <c r="B38" s="144"/>
      <c r="C38" s="144"/>
      <c r="D38" s="144"/>
      <c r="E38" s="144"/>
      <c r="F38" s="144"/>
      <c r="G38" s="144"/>
    </row>
    <row r="39" spans="2:7" ht="15" customHeight="1">
      <c r="B39" s="144"/>
      <c r="C39" s="144"/>
      <c r="D39" s="144"/>
      <c r="E39" s="144"/>
      <c r="F39" s="144"/>
      <c r="G39" s="144"/>
    </row>
    <row r="40" spans="2:7">
      <c r="B40" s="144"/>
      <c r="C40" s="144"/>
      <c r="D40" s="144"/>
      <c r="E40" s="144"/>
      <c r="F40" s="144"/>
      <c r="G40" s="144"/>
    </row>
    <row r="41" spans="2:7">
      <c r="B41" s="144"/>
      <c r="C41" s="144"/>
      <c r="D41" s="144"/>
      <c r="E41" s="144"/>
      <c r="F41" s="144"/>
      <c r="G41" s="144"/>
    </row>
    <row r="42" spans="2:7">
      <c r="B42" s="144"/>
      <c r="C42" s="144"/>
      <c r="D42" s="144"/>
      <c r="E42" s="144"/>
      <c r="F42" s="144"/>
      <c r="G42" s="144"/>
    </row>
    <row r="43" spans="2:7">
      <c r="B43" s="144"/>
      <c r="C43" s="144"/>
      <c r="D43" s="144"/>
      <c r="E43" s="144"/>
      <c r="F43" s="144"/>
      <c r="G43" s="144"/>
    </row>
    <row r="44" spans="2:7">
      <c r="B44" s="144"/>
      <c r="C44" s="144"/>
      <c r="D44" s="144"/>
      <c r="E44" s="144"/>
      <c r="F44" s="144"/>
      <c r="G44" s="144"/>
    </row>
    <row r="45" spans="2:7">
      <c r="B45" s="144"/>
      <c r="C45" s="144"/>
      <c r="D45" s="144"/>
      <c r="E45" s="144"/>
      <c r="F45" s="144"/>
      <c r="G45" s="144"/>
    </row>
    <row r="46" spans="2:7">
      <c r="B46" s="144"/>
      <c r="C46" s="144"/>
      <c r="D46" s="144"/>
      <c r="E46" s="144"/>
      <c r="F46" s="144"/>
      <c r="G46" s="144"/>
    </row>
    <row r="47" spans="2:7">
      <c r="B47" s="144"/>
      <c r="C47" s="144"/>
      <c r="D47" s="144"/>
      <c r="E47" s="144"/>
      <c r="F47" s="144"/>
      <c r="G47" s="144"/>
    </row>
  </sheetData>
  <mergeCells count="2">
    <mergeCell ref="D6:F6"/>
    <mergeCell ref="B4:F4"/>
  </mergeCells>
  <phoneticPr fontId="0" type="noConversion"/>
  <pageMargins left="0.5" right="0.5" top="0.5" bottom="0.25" header="0" footer="0.25"/>
  <pageSetup scale="8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dimension ref="A1:F45"/>
  <sheetViews>
    <sheetView workbookViewId="0">
      <selection activeCell="A34" sqref="A34"/>
    </sheetView>
  </sheetViews>
  <sheetFormatPr defaultColWidth="8.88671875" defaultRowHeight="15.75"/>
  <cols>
    <col min="1" max="1" width="19" style="68" customWidth="1"/>
    <col min="2" max="2" width="21.109375" style="68" customWidth="1"/>
    <col min="3" max="3" width="12.44140625" style="68" customWidth="1"/>
    <col min="4" max="5" width="12.109375" style="68" customWidth="1"/>
    <col min="6" max="6" width="10.88671875" style="68" customWidth="1"/>
    <col min="7" max="16384" width="8.88671875" style="68"/>
  </cols>
  <sheetData>
    <row r="1" spans="1:6">
      <c r="A1" s="145" t="str">
        <f>inputPrYr!D3</f>
        <v>City of Bonner Springs</v>
      </c>
      <c r="B1" s="145"/>
      <c r="C1" s="146"/>
      <c r="D1" s="146"/>
      <c r="E1" s="146"/>
      <c r="F1" s="146">
        <f>inputPrYr!$C$10</f>
        <v>2014</v>
      </c>
    </row>
    <row r="2" spans="1:6">
      <c r="A2" s="901" t="s">
        <v>62</v>
      </c>
      <c r="B2" s="901"/>
      <c r="C2" s="901"/>
      <c r="D2" s="901"/>
      <c r="E2" s="901"/>
      <c r="F2" s="901"/>
    </row>
    <row r="3" spans="1:6">
      <c r="A3" s="265" t="s">
        <v>646</v>
      </c>
      <c r="B3" s="265" t="s">
        <v>647</v>
      </c>
      <c r="C3" s="265" t="s">
        <v>302</v>
      </c>
      <c r="D3" s="265" t="s">
        <v>75</v>
      </c>
      <c r="E3" s="265" t="s">
        <v>76</v>
      </c>
      <c r="F3" s="265" t="s">
        <v>105</v>
      </c>
    </row>
    <row r="4" spans="1:6">
      <c r="A4" s="266" t="s">
        <v>648</v>
      </c>
      <c r="B4" s="266" t="s">
        <v>649</v>
      </c>
      <c r="C4" s="266" t="s">
        <v>106</v>
      </c>
      <c r="D4" s="266" t="s">
        <v>106</v>
      </c>
      <c r="E4" s="266" t="s">
        <v>106</v>
      </c>
      <c r="F4" s="266" t="s">
        <v>107</v>
      </c>
    </row>
    <row r="5" spans="1:6" ht="15" customHeight="1">
      <c r="A5" s="267" t="s">
        <v>108</v>
      </c>
      <c r="B5" s="267" t="s">
        <v>109</v>
      </c>
      <c r="C5" s="268">
        <f>F1-2</f>
        <v>2012</v>
      </c>
      <c r="D5" s="268">
        <f>F1-1</f>
        <v>2013</v>
      </c>
      <c r="E5" s="268">
        <f>F1</f>
        <v>2014</v>
      </c>
      <c r="F5" s="267" t="s">
        <v>110</v>
      </c>
    </row>
    <row r="6" spans="1:6" ht="14.25" customHeight="1">
      <c r="A6" s="269" t="s">
        <v>1041</v>
      </c>
      <c r="B6" s="269" t="s">
        <v>1042</v>
      </c>
      <c r="C6" s="571">
        <v>315631</v>
      </c>
      <c r="D6" s="571">
        <v>394947</v>
      </c>
      <c r="E6" s="571">
        <v>421020</v>
      </c>
      <c r="F6" s="270" t="s">
        <v>1190</v>
      </c>
    </row>
    <row r="7" spans="1:6" ht="15" customHeight="1">
      <c r="A7" s="271" t="s">
        <v>1041</v>
      </c>
      <c r="B7" s="271" t="s">
        <v>1043</v>
      </c>
      <c r="C7" s="572">
        <v>36637</v>
      </c>
      <c r="D7" s="572">
        <v>41000</v>
      </c>
      <c r="E7" s="572">
        <v>41830</v>
      </c>
      <c r="F7" s="270" t="s">
        <v>1190</v>
      </c>
    </row>
    <row r="8" spans="1:6" ht="15" customHeight="1">
      <c r="A8" s="271" t="s">
        <v>1041</v>
      </c>
      <c r="B8" s="271" t="s">
        <v>1044</v>
      </c>
      <c r="C8" s="572">
        <v>112441</v>
      </c>
      <c r="D8" s="572">
        <v>68345</v>
      </c>
      <c r="E8" s="572">
        <v>78124</v>
      </c>
      <c r="F8" s="270" t="s">
        <v>1190</v>
      </c>
    </row>
    <row r="9" spans="1:6" ht="15" customHeight="1">
      <c r="A9" s="271" t="s">
        <v>1041</v>
      </c>
      <c r="B9" s="271" t="s">
        <v>1045</v>
      </c>
      <c r="C9" s="572">
        <v>20653</v>
      </c>
      <c r="D9" s="572">
        <v>32570</v>
      </c>
      <c r="E9" s="572">
        <v>23208</v>
      </c>
      <c r="F9" s="270" t="s">
        <v>1190</v>
      </c>
    </row>
    <row r="10" spans="1:6" ht="28.9" customHeight="1">
      <c r="A10" s="271" t="s">
        <v>1041</v>
      </c>
      <c r="B10" s="802" t="s">
        <v>1046</v>
      </c>
      <c r="C10" s="572">
        <v>18144</v>
      </c>
      <c r="D10" s="572">
        <v>33000</v>
      </c>
      <c r="E10" s="572">
        <v>33000</v>
      </c>
      <c r="F10" s="270" t="s">
        <v>1190</v>
      </c>
    </row>
    <row r="11" spans="1:6" ht="15" customHeight="1">
      <c r="A11" s="271" t="s">
        <v>1041</v>
      </c>
      <c r="B11" s="271" t="s">
        <v>1047</v>
      </c>
      <c r="C11" s="572">
        <v>276922</v>
      </c>
      <c r="D11" s="572">
        <v>250428</v>
      </c>
      <c r="E11" s="572">
        <v>208928</v>
      </c>
      <c r="F11" s="270" t="s">
        <v>1190</v>
      </c>
    </row>
    <row r="12" spans="1:6" ht="15" customHeight="1">
      <c r="A12" s="271" t="s">
        <v>1041</v>
      </c>
      <c r="B12" s="271" t="s">
        <v>1048</v>
      </c>
      <c r="C12" s="572">
        <v>11888</v>
      </c>
      <c r="D12" s="572">
        <v>12500</v>
      </c>
      <c r="E12" s="572">
        <v>10000</v>
      </c>
      <c r="F12" s="270" t="s">
        <v>1190</v>
      </c>
    </row>
    <row r="13" spans="1:6" s="819" customFormat="1" ht="15" customHeight="1">
      <c r="A13" s="816" t="s">
        <v>1049</v>
      </c>
      <c r="B13" s="816"/>
      <c r="C13" s="817">
        <f>SUM(C6:C12)</f>
        <v>792316</v>
      </c>
      <c r="D13" s="817">
        <f>SUM(D6:D12)</f>
        <v>832790</v>
      </c>
      <c r="E13" s="817">
        <f>SUM(E6:E12)</f>
        <v>816110</v>
      </c>
      <c r="F13" s="818"/>
    </row>
    <row r="14" spans="1:6" ht="15" customHeight="1">
      <c r="A14" s="271"/>
      <c r="B14" s="271"/>
      <c r="C14" s="572"/>
      <c r="D14" s="572"/>
      <c r="E14" s="572"/>
      <c r="F14" s="270"/>
    </row>
    <row r="15" spans="1:6" ht="15" customHeight="1">
      <c r="A15" s="271" t="s">
        <v>1154</v>
      </c>
      <c r="B15" s="271" t="s">
        <v>1041</v>
      </c>
      <c r="C15" s="572">
        <v>50800</v>
      </c>
      <c r="D15" s="572">
        <v>54325</v>
      </c>
      <c r="E15" s="572">
        <v>56250</v>
      </c>
      <c r="F15" s="270" t="s">
        <v>1190</v>
      </c>
    </row>
    <row r="16" spans="1:6" ht="15" customHeight="1">
      <c r="A16" s="271" t="s">
        <v>1177</v>
      </c>
      <c r="B16" s="271" t="s">
        <v>1041</v>
      </c>
      <c r="C16" s="572">
        <v>30500</v>
      </c>
      <c r="D16" s="572">
        <v>10500</v>
      </c>
      <c r="E16" s="572">
        <v>10500</v>
      </c>
      <c r="F16" s="270" t="s">
        <v>1191</v>
      </c>
    </row>
    <row r="17" spans="1:6" ht="15" customHeight="1">
      <c r="A17" s="271" t="s">
        <v>1048</v>
      </c>
      <c r="B17" s="271" t="s">
        <v>1041</v>
      </c>
      <c r="C17" s="572">
        <v>29015</v>
      </c>
      <c r="D17" s="572">
        <f>1200+32033</f>
        <v>33233</v>
      </c>
      <c r="E17" s="572">
        <f>1200+32300</f>
        <v>33500</v>
      </c>
      <c r="F17" s="270" t="s">
        <v>1191</v>
      </c>
    </row>
    <row r="18" spans="1:6" ht="15" customHeight="1">
      <c r="A18" s="271" t="s">
        <v>1187</v>
      </c>
      <c r="B18" s="271" t="s">
        <v>1041</v>
      </c>
      <c r="C18" s="572">
        <v>87045</v>
      </c>
      <c r="D18" s="572">
        <f>560+96100</f>
        <v>96660</v>
      </c>
      <c r="E18" s="572">
        <f>560+96900</f>
        <v>97460</v>
      </c>
      <c r="F18" s="270" t="s">
        <v>1191</v>
      </c>
    </row>
    <row r="19" spans="1:6" s="819" customFormat="1" ht="15" customHeight="1">
      <c r="A19" s="816" t="s">
        <v>1188</v>
      </c>
      <c r="B19" s="816" t="s">
        <v>260</v>
      </c>
      <c r="C19" s="817">
        <f>SUM(C15:C18)</f>
        <v>197360</v>
      </c>
      <c r="D19" s="817">
        <f t="shared" ref="D19:E19" si="0">SUM(D15:D18)</f>
        <v>194718</v>
      </c>
      <c r="E19" s="817">
        <f t="shared" si="0"/>
        <v>197710</v>
      </c>
      <c r="F19" s="818"/>
    </row>
    <row r="20" spans="1:6" ht="15" customHeight="1">
      <c r="A20" s="271" t="s">
        <v>260</v>
      </c>
      <c r="B20" s="271" t="s">
        <v>260</v>
      </c>
      <c r="C20" s="572" t="s">
        <v>260</v>
      </c>
      <c r="D20" s="572" t="s">
        <v>260</v>
      </c>
      <c r="E20" s="572" t="s">
        <v>260</v>
      </c>
      <c r="F20" s="270"/>
    </row>
    <row r="21" spans="1:6" ht="15" customHeight="1">
      <c r="A21" s="271" t="s">
        <v>1041</v>
      </c>
      <c r="B21" s="271" t="s">
        <v>1227</v>
      </c>
      <c r="C21" s="572">
        <v>4000</v>
      </c>
      <c r="D21" s="572">
        <v>0</v>
      </c>
      <c r="E21" s="572">
        <v>0</v>
      </c>
      <c r="F21" s="270" t="s">
        <v>1190</v>
      </c>
    </row>
    <row r="22" spans="1:6" ht="15" customHeight="1">
      <c r="A22" s="271" t="s">
        <v>1147</v>
      </c>
      <c r="B22" s="271" t="s">
        <v>1047</v>
      </c>
      <c r="C22" s="572">
        <v>0</v>
      </c>
      <c r="D22" s="572">
        <v>0</v>
      </c>
      <c r="E22" s="572">
        <v>1315</v>
      </c>
      <c r="F22" s="270" t="s">
        <v>1190</v>
      </c>
    </row>
    <row r="23" spans="1:6" ht="15" customHeight="1">
      <c r="A23" s="271" t="s">
        <v>1147</v>
      </c>
      <c r="B23" s="271" t="s">
        <v>1227</v>
      </c>
      <c r="C23" s="572">
        <v>24783</v>
      </c>
      <c r="D23" s="572">
        <v>0</v>
      </c>
      <c r="E23" s="572">
        <v>0</v>
      </c>
      <c r="F23" s="270" t="s">
        <v>1190</v>
      </c>
    </row>
    <row r="24" spans="1:6" ht="15" customHeight="1">
      <c r="A24" s="271" t="s">
        <v>1230</v>
      </c>
      <c r="B24" s="271" t="s">
        <v>1227</v>
      </c>
      <c r="C24" s="572">
        <v>43349</v>
      </c>
      <c r="D24" s="572">
        <v>0</v>
      </c>
      <c r="E24" s="572">
        <v>0</v>
      </c>
      <c r="F24" s="270" t="s">
        <v>1190</v>
      </c>
    </row>
    <row r="25" spans="1:6" ht="15" customHeight="1">
      <c r="A25" s="271" t="s">
        <v>1146</v>
      </c>
      <c r="B25" s="271" t="s">
        <v>217</v>
      </c>
      <c r="C25" s="572">
        <v>442168</v>
      </c>
      <c r="D25" s="572">
        <v>441968</v>
      </c>
      <c r="E25" s="572">
        <v>892294</v>
      </c>
      <c r="F25" s="270" t="s">
        <v>1190</v>
      </c>
    </row>
    <row r="26" spans="1:6" ht="15" customHeight="1">
      <c r="A26" s="271" t="s">
        <v>1154</v>
      </c>
      <c r="B26" s="271" t="s">
        <v>1228</v>
      </c>
      <c r="C26" s="572">
        <v>2000</v>
      </c>
      <c r="D26" s="572">
        <v>0</v>
      </c>
      <c r="E26" s="572">
        <v>0</v>
      </c>
      <c r="F26" s="270" t="s">
        <v>1190</v>
      </c>
    </row>
    <row r="27" spans="1:6" ht="15" customHeight="1">
      <c r="A27" s="271" t="s">
        <v>1148</v>
      </c>
      <c r="B27" s="271" t="s">
        <v>217</v>
      </c>
      <c r="C27" s="572">
        <v>543123</v>
      </c>
      <c r="D27" s="572">
        <v>537319</v>
      </c>
      <c r="E27" s="572">
        <v>566169</v>
      </c>
      <c r="F27" s="270" t="s">
        <v>1191</v>
      </c>
    </row>
    <row r="28" spans="1:6" ht="15" customHeight="1">
      <c r="A28" s="271" t="s">
        <v>1149</v>
      </c>
      <c r="B28" s="271" t="s">
        <v>217</v>
      </c>
      <c r="C28" s="572">
        <v>319032</v>
      </c>
      <c r="D28" s="572">
        <v>303001</v>
      </c>
      <c r="E28" s="572">
        <v>389407</v>
      </c>
      <c r="F28" s="270" t="s">
        <v>1191</v>
      </c>
    </row>
    <row r="29" spans="1:6" ht="15" customHeight="1">
      <c r="A29" s="271" t="s">
        <v>1150</v>
      </c>
      <c r="B29" s="271" t="s">
        <v>217</v>
      </c>
      <c r="C29" s="572">
        <v>429840</v>
      </c>
      <c r="D29" s="572">
        <v>387470</v>
      </c>
      <c r="E29" s="572">
        <v>437940</v>
      </c>
      <c r="F29" s="270" t="s">
        <v>1192</v>
      </c>
    </row>
    <row r="30" spans="1:6" ht="15" customHeight="1">
      <c r="A30" s="271" t="s">
        <v>1151</v>
      </c>
      <c r="B30" s="271" t="s">
        <v>217</v>
      </c>
      <c r="C30" s="572">
        <v>0</v>
      </c>
      <c r="D30" s="572">
        <v>49060</v>
      </c>
      <c r="E30" s="572">
        <v>0</v>
      </c>
      <c r="F30" s="270" t="s">
        <v>1190</v>
      </c>
    </row>
    <row r="31" spans="1:6" ht="15" customHeight="1">
      <c r="A31" s="271" t="s">
        <v>1229</v>
      </c>
      <c r="B31" s="271" t="s">
        <v>217</v>
      </c>
      <c r="C31" s="572">
        <v>191601</v>
      </c>
      <c r="D31" s="572">
        <v>0</v>
      </c>
      <c r="E31" s="572">
        <v>0</v>
      </c>
      <c r="F31" s="270" t="s">
        <v>1190</v>
      </c>
    </row>
    <row r="32" spans="1:6" ht="15" customHeight="1">
      <c r="A32" s="271" t="s">
        <v>1229</v>
      </c>
      <c r="B32" s="271" t="s">
        <v>217</v>
      </c>
      <c r="C32" s="572">
        <v>141260</v>
      </c>
      <c r="D32" s="572">
        <v>0</v>
      </c>
      <c r="E32" s="572">
        <v>0</v>
      </c>
      <c r="F32" s="270" t="s">
        <v>1190</v>
      </c>
    </row>
    <row r="33" spans="1:6" ht="15" customHeight="1">
      <c r="A33" s="271" t="s">
        <v>1152</v>
      </c>
      <c r="B33" s="271" t="s">
        <v>217</v>
      </c>
      <c r="C33" s="572">
        <v>19961</v>
      </c>
      <c r="D33" s="572">
        <v>19743</v>
      </c>
      <c r="E33" s="572">
        <v>19828</v>
      </c>
      <c r="F33" s="270" t="s">
        <v>1191</v>
      </c>
    </row>
    <row r="34" spans="1:6" ht="15" customHeight="1">
      <c r="A34" s="271" t="s">
        <v>1153</v>
      </c>
      <c r="B34" s="271" t="s">
        <v>217</v>
      </c>
      <c r="C34" s="572">
        <v>75438</v>
      </c>
      <c r="D34" s="572">
        <v>268044</v>
      </c>
      <c r="E34" s="572">
        <v>268501</v>
      </c>
      <c r="F34" s="270" t="s">
        <v>1190</v>
      </c>
    </row>
    <row r="35" spans="1:6" ht="15" customHeight="1">
      <c r="A35" s="271" t="s">
        <v>1091</v>
      </c>
      <c r="B35" s="271" t="s">
        <v>1092</v>
      </c>
      <c r="C35" s="572">
        <v>7262</v>
      </c>
      <c r="D35" s="572">
        <v>0</v>
      </c>
      <c r="E35" s="572">
        <v>0</v>
      </c>
      <c r="F35" s="270" t="s">
        <v>1190</v>
      </c>
    </row>
    <row r="36" spans="1:6" ht="15" customHeight="1">
      <c r="A36" s="271" t="s">
        <v>1091</v>
      </c>
      <c r="B36" s="271" t="s">
        <v>1044</v>
      </c>
      <c r="C36" s="572">
        <v>4681</v>
      </c>
      <c r="D36" s="572">
        <v>18900</v>
      </c>
      <c r="E36" s="572">
        <v>21200</v>
      </c>
      <c r="F36" s="270" t="s">
        <v>1190</v>
      </c>
    </row>
    <row r="37" spans="1:6" ht="15" customHeight="1">
      <c r="A37" s="271" t="s">
        <v>1091</v>
      </c>
      <c r="B37" s="271" t="s">
        <v>1093</v>
      </c>
      <c r="C37" s="572">
        <v>45714</v>
      </c>
      <c r="D37" s="572">
        <v>0</v>
      </c>
      <c r="E37" s="572">
        <v>0</v>
      </c>
      <c r="F37" s="270" t="s">
        <v>1190</v>
      </c>
    </row>
    <row r="38" spans="1:6" s="819" customFormat="1" ht="15" customHeight="1">
      <c r="A38" s="816" t="s">
        <v>1189</v>
      </c>
      <c r="B38" s="816" t="s">
        <v>260</v>
      </c>
      <c r="C38" s="817">
        <f>SUM(C21:C37)</f>
        <v>2294212</v>
      </c>
      <c r="D38" s="817">
        <f t="shared" ref="D38:E38" si="1">SUM(D21:D37)</f>
        <v>2025505</v>
      </c>
      <c r="E38" s="817">
        <f t="shared" si="1"/>
        <v>2596654</v>
      </c>
      <c r="F38" s="818"/>
    </row>
    <row r="39" spans="1:6" ht="15" customHeight="1">
      <c r="A39" s="137"/>
      <c r="B39" s="272" t="s">
        <v>271</v>
      </c>
      <c r="C39" s="273">
        <f>SUM(C13+C19+C38)</f>
        <v>3283888</v>
      </c>
      <c r="D39" s="273">
        <f t="shared" ref="D39:E39" si="2">SUM(D13+D19+D38)</f>
        <v>3053013</v>
      </c>
      <c r="E39" s="273">
        <f t="shared" si="2"/>
        <v>3610474</v>
      </c>
      <c r="F39" s="274"/>
    </row>
    <row r="40" spans="1:6" ht="15" customHeight="1">
      <c r="A40" s="137"/>
      <c r="B40" s="275" t="s">
        <v>644</v>
      </c>
      <c r="C40" s="215"/>
      <c r="D40" s="276"/>
      <c r="E40" s="276"/>
      <c r="F40" s="274"/>
    </row>
    <row r="41" spans="1:6" ht="15" customHeight="1">
      <c r="A41" s="137"/>
      <c r="B41" s="272" t="s">
        <v>111</v>
      </c>
      <c r="C41" s="273">
        <f>C39</f>
        <v>3283888</v>
      </c>
      <c r="D41" s="273">
        <f>SUM(D39-D40)</f>
        <v>3053013</v>
      </c>
      <c r="E41" s="273">
        <f>SUM(E39-E40)</f>
        <v>3610474</v>
      </c>
      <c r="F41" s="274"/>
    </row>
    <row r="42" spans="1:6" ht="15" customHeight="1">
      <c r="A42" s="137"/>
      <c r="B42" s="137"/>
      <c r="C42" s="137"/>
      <c r="D42" s="137"/>
      <c r="E42" s="137"/>
      <c r="F42" s="137"/>
    </row>
    <row r="43" spans="1:6" ht="15" customHeight="1">
      <c r="A43" s="137"/>
      <c r="B43" s="137"/>
      <c r="C43" s="137"/>
      <c r="D43" s="137"/>
      <c r="E43" s="137"/>
      <c r="F43" s="137"/>
    </row>
    <row r="44" spans="1:6" ht="15" customHeight="1">
      <c r="A44" s="426" t="s">
        <v>645</v>
      </c>
      <c r="B44" s="427" t="str">
        <f>CONCATENATE("Adjustments are required only if the transfer is being made in ",D5," and/or ",E5," from a non-budgeted fund.")</f>
        <v>Adjustments are required only if the transfer is being made in 2013 and/or 2014 from a non-budgeted fund.</v>
      </c>
      <c r="C44" s="137"/>
      <c r="D44" s="137"/>
      <c r="E44" s="137"/>
      <c r="F44" s="137"/>
    </row>
    <row r="45" spans="1:6" ht="15" customHeight="1"/>
  </sheetData>
  <mergeCells count="1">
    <mergeCell ref="A2:F2"/>
  </mergeCells>
  <phoneticPr fontId="9" type="noConversion"/>
  <pageMargins left="0.75" right="0.75" top="0.5" bottom="0.5" header="0.5" footer="0.5"/>
  <pageSetup scale="80"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sqref="A1:IV65536"/>
    </sheetView>
  </sheetViews>
  <sheetFormatPr defaultColWidth="8.88671875" defaultRowHeight="15"/>
  <cols>
    <col min="1" max="1" width="70.5546875" style="313" customWidth="1"/>
    <col min="2" max="16384" width="8.88671875" style="313"/>
  </cols>
  <sheetData>
    <row r="1" spans="1:1" ht="18.75">
      <c r="A1" s="665" t="s">
        <v>377</v>
      </c>
    </row>
    <row r="2" spans="1:1" ht="18.75">
      <c r="A2" s="665"/>
    </row>
    <row r="3" spans="1:1" ht="18.75">
      <c r="A3" s="665"/>
    </row>
    <row r="4" spans="1:1" ht="51.75" customHeight="1">
      <c r="A4" s="666" t="s">
        <v>662</v>
      </c>
    </row>
    <row r="5" spans="1:1" ht="18.75">
      <c r="A5" s="665"/>
    </row>
    <row r="6" spans="1:1" ht="15.75">
      <c r="A6" s="314"/>
    </row>
    <row r="7" spans="1:1" ht="47.25">
      <c r="A7" s="315" t="s">
        <v>378</v>
      </c>
    </row>
    <row r="8" spans="1:1" ht="15.75">
      <c r="A8" s="314"/>
    </row>
    <row r="9" spans="1:1" ht="15.75">
      <c r="A9" s="314"/>
    </row>
    <row r="10" spans="1:1" ht="63">
      <c r="A10" s="315" t="s">
        <v>379</v>
      </c>
    </row>
    <row r="11" spans="1:1" ht="15.75">
      <c r="A11" s="667"/>
    </row>
    <row r="12" spans="1:1" ht="15.75">
      <c r="A12" s="314"/>
    </row>
    <row r="13" spans="1:1" ht="47.25">
      <c r="A13" s="315" t="s">
        <v>380</v>
      </c>
    </row>
    <row r="14" spans="1:1" ht="15.75">
      <c r="A14" s="667"/>
    </row>
    <row r="15" spans="1:1" ht="15.75">
      <c r="A15" s="314"/>
    </row>
    <row r="16" spans="1:1" ht="47.25">
      <c r="A16" s="315" t="s">
        <v>381</v>
      </c>
    </row>
    <row r="17" spans="1:1" ht="15.75">
      <c r="A17" s="667"/>
    </row>
    <row r="18" spans="1:1" ht="15.75">
      <c r="A18" s="667"/>
    </row>
    <row r="19" spans="1:1" ht="47.25">
      <c r="A19" s="315" t="s">
        <v>382</v>
      </c>
    </row>
    <row r="20" spans="1:1" ht="15.75">
      <c r="A20" s="667"/>
    </row>
    <row r="21" spans="1:1" ht="15.75">
      <c r="A21" s="667"/>
    </row>
    <row r="22" spans="1:1" ht="47.25">
      <c r="A22" s="315" t="s">
        <v>383</v>
      </c>
    </row>
    <row r="23" spans="1:1" ht="15.75">
      <c r="A23" s="667"/>
    </row>
    <row r="24" spans="1:1" ht="15.75">
      <c r="A24" s="667"/>
    </row>
    <row r="25" spans="1:1" ht="31.5">
      <c r="A25" s="315" t="s">
        <v>384</v>
      </c>
    </row>
    <row r="26" spans="1:1" ht="15.75">
      <c r="A26" s="314"/>
    </row>
    <row r="27" spans="1:1" ht="15.75">
      <c r="A27" s="314"/>
    </row>
    <row r="28" spans="1:1" ht="60">
      <c r="A28" s="668" t="s">
        <v>385</v>
      </c>
    </row>
    <row r="29" spans="1:1">
      <c r="A29" s="669"/>
    </row>
    <row r="30" spans="1:1">
      <c r="A30" s="669"/>
    </row>
    <row r="31" spans="1:1" ht="47.25">
      <c r="A31" s="315" t="s">
        <v>386</v>
      </c>
    </row>
    <row r="32" spans="1:1" ht="15.75">
      <c r="A32" s="314"/>
    </row>
    <row r="33" spans="1:1" ht="15.75">
      <c r="A33" s="314"/>
    </row>
    <row r="34" spans="1:1" ht="66.75" customHeight="1">
      <c r="A34" s="670" t="s">
        <v>663</v>
      </c>
    </row>
    <row r="35" spans="1:1" ht="15.75">
      <c r="A35" s="314"/>
    </row>
    <row r="36" spans="1:1" ht="15.75">
      <c r="A36" s="314"/>
    </row>
    <row r="37" spans="1:1" ht="63">
      <c r="A37" s="671" t="s">
        <v>387</v>
      </c>
    </row>
    <row r="38" spans="1:1" ht="15.75">
      <c r="A38" s="667"/>
    </row>
    <row r="39" spans="1:1" ht="15.75">
      <c r="A39" s="314"/>
    </row>
    <row r="40" spans="1:1" ht="63">
      <c r="A40" s="315" t="s">
        <v>388</v>
      </c>
    </row>
    <row r="41" spans="1:1" ht="15.75">
      <c r="A41" s="667"/>
    </row>
    <row r="42" spans="1:1" ht="15.75">
      <c r="A42" s="667"/>
    </row>
    <row r="43" spans="1:1" ht="82.5" customHeight="1">
      <c r="A43" s="672" t="s">
        <v>664</v>
      </c>
    </row>
    <row r="44" spans="1:1" ht="15.75">
      <c r="A44" s="667"/>
    </row>
    <row r="45" spans="1:1" ht="15.75">
      <c r="A45" s="667"/>
    </row>
    <row r="46" spans="1:1" ht="69" customHeight="1">
      <c r="A46" s="672" t="s">
        <v>665</v>
      </c>
    </row>
    <row r="47" spans="1:1" ht="15.75">
      <c r="A47" s="667"/>
    </row>
    <row r="48" spans="1:1" ht="15.75">
      <c r="A48" s="667"/>
    </row>
    <row r="49" spans="1:1" ht="69" customHeight="1">
      <c r="A49" s="672" t="s">
        <v>666</v>
      </c>
    </row>
    <row r="50" spans="1:1" ht="15.75">
      <c r="A50" s="667"/>
    </row>
    <row r="51" spans="1:1" ht="15.75">
      <c r="A51" s="667"/>
    </row>
    <row r="52" spans="1:1" ht="54.75" customHeight="1">
      <c r="A52" s="672" t="s">
        <v>889</v>
      </c>
    </row>
    <row r="53" spans="1:1" ht="15.75">
      <c r="A53" s="667"/>
    </row>
    <row r="54" spans="1:1" ht="15.75">
      <c r="A54" s="667"/>
    </row>
    <row r="55" spans="1:1" ht="63">
      <c r="A55" s="315" t="s">
        <v>389</v>
      </c>
    </row>
    <row r="56" spans="1:1" ht="15.75">
      <c r="A56" s="667"/>
    </row>
    <row r="57" spans="1:1" ht="15.75">
      <c r="A57" s="667"/>
    </row>
    <row r="58" spans="1:1" ht="63">
      <c r="A58" s="315" t="s">
        <v>390</v>
      </c>
    </row>
    <row r="59" spans="1:1" ht="15.75">
      <c r="A59" s="667"/>
    </row>
    <row r="60" spans="1:1" ht="15.75">
      <c r="A60" s="667"/>
    </row>
    <row r="61" spans="1:1" ht="47.25">
      <c r="A61" s="315" t="s">
        <v>391</v>
      </c>
    </row>
    <row r="62" spans="1:1" ht="15.75">
      <c r="A62" s="667"/>
    </row>
    <row r="63" spans="1:1" ht="15.75">
      <c r="A63" s="667"/>
    </row>
    <row r="64" spans="1:1" ht="47.25">
      <c r="A64" s="315" t="s">
        <v>392</v>
      </c>
    </row>
    <row r="65" spans="1:1" ht="15.75">
      <c r="A65" s="667"/>
    </row>
    <row r="66" spans="1:1" ht="15.75">
      <c r="A66" s="667"/>
    </row>
    <row r="67" spans="1:1" ht="78.75">
      <c r="A67" s="315" t="s">
        <v>393</v>
      </c>
    </row>
    <row r="68" spans="1:1">
      <c r="A68" s="673"/>
    </row>
  </sheetData>
  <sheetProtection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8</vt:i4>
      </vt:variant>
    </vt:vector>
  </HeadingPairs>
  <TitlesOfParts>
    <vt:vector size="52"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 </vt:lpstr>
      <vt:lpstr>general</vt:lpstr>
      <vt:lpstr>GenDetail </vt:lpstr>
      <vt:lpstr>DebtSvs</vt:lpstr>
      <vt:lpstr>Library</vt:lpstr>
      <vt:lpstr>Aquatic Sales Co Infra</vt:lpstr>
      <vt:lpstr>Con Tour Drug Alcohol</vt:lpstr>
      <vt:lpstr>ED EMS Capital</vt:lpstr>
      <vt:lpstr>EMS Library Sales</vt:lpstr>
      <vt:lpstr>Park Ded Rec Programs</vt:lpstr>
      <vt:lpstr>Risk Mgmt Sen Ctr</vt:lpstr>
      <vt:lpstr>Sidewalk Soccer</vt:lpstr>
      <vt:lpstr>Spec Parks Streets</vt:lpstr>
      <vt:lpstr>Ball Pool</vt:lpstr>
      <vt:lpstr>Tiblow TIF Develop</vt:lpstr>
      <vt:lpstr>TIF Increment CID Develop</vt:lpstr>
      <vt:lpstr>Center CID Ctr City Contrib</vt:lpstr>
      <vt:lpstr>Solid Waste Storm</vt:lpstr>
      <vt:lpstr>Waste Water</vt:lpstr>
      <vt:lpstr>Water</vt:lpstr>
      <vt:lpstr>NonBudA</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DebtSvs!Print_Area</vt:lpstr>
      <vt:lpstr>'GenDetail '!Print_Area</vt:lpstr>
      <vt:lpstr>general!Print_Area</vt:lpstr>
      <vt:lpstr>inputPrYr!Print_Area</vt:lpstr>
      <vt:lpstr>'Library Grant '!Print_Area</vt:lpstr>
      <vt:lpstr>lpform!Print_Area</vt:lpstr>
      <vt:lpstr>'Mill Rate Computation'!Print_Area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Rbasinge</cp:lastModifiedBy>
  <cp:lastPrinted>2013-08-06T16:11:17Z</cp:lastPrinted>
  <dcterms:created xsi:type="dcterms:W3CDTF">1999-08-03T13:11:47Z</dcterms:created>
  <dcterms:modified xsi:type="dcterms:W3CDTF">2014-01-22T00:04:49Z</dcterms:modified>
</cp:coreProperties>
</file>