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<sst xmlns="http://schemas.openxmlformats.org/spreadsheetml/2006/main" count="1502" uniqueCount="843">
  <si>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</si>
  <si>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</si>
  <si>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</si>
  <si>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</si>
  <si>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</si>
  <si>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</si>
  <si>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</si>
  <si>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</si>
  <si>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</si>
  <si>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</si>
  <si>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</si>
  <si>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</si>
  <si>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</si>
  <si>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</si>
  <si>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</si>
  <si>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</si>
  <si>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</si>
  <si>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</si>
  <si>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</si>
  <si>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</si>
  <si>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</si>
  <si>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</si>
  <si>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</si>
  <si>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</si>
  <si>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</si>
  <si>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</si>
  <si>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</si>
  <si>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</si>
  <si>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</si>
  <si>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</si>
  <si>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</si>
  <si>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</si>
  <si>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</si>
  <si>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</si>
  <si>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</si>
  <si>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</si>
  <si>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</si>
  <si>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</si>
  <si>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</si>
  <si>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</si>
  <si>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</si>
  <si>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</si>
  <si>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</si>
  <si>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</si>
  <si>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</si>
  <si>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</si>
  <si>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</si>
  <si>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</si>
  <si>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</si>
  <si>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</si>
  <si>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</si>
  <si>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</si>
  <si>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</si>
  <si>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</si>
  <si>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</si>
  <si>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</si>
  <si>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</si>
  <si>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</si>
  <si>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</si>
  <si>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</si>
  <si>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</si>
  <si>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</si>
  <si>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</si>
  <si>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</si>
  <si>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</si>
  <si>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</si>
  <si>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</si>
  <si>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</si>
  <si>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</si>
  <si>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</si>
  <si>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</si>
  <si>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</si>
  <si>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</si>
  <si>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</si>
  <si>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</si>
  <si>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</si>
  <si>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</si>
  <si>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</si>
  <si>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</si>
  <si>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</si>
  <si>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</si>
  <si>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</si>
  <si>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</si>
  <si>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</si>
  <si>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</si>
  <si>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</si>
  <si>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</si>
  <si>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</si>
  <si>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</si>
  <si>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</si>
  <si>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</si>
  <si>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</si>
  <si>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</si>
  <si>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</si>
  <si>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</si>
  <si>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</si>
  <si>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</si>
  <si>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</si>
  <si>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</si>
  <si>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</si>
  <si>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</si>
  <si>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</si>
  <si>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</si>
  <si>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</si>
  <si>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</si>
  <si>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</si>
  <si>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</si>
  <si>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</si>
  <si>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</si>
  <si>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</si>
  <si>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</si>
  <si>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</si>
  <si>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</si>
  <si>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</si>
  <si>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</si>
  <si>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</si>
  <si>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</si>
  <si>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</si>
  <si>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</si>
  <si>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</si>
  <si>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</si>
  <si>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</si>
  <si>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</si>
  <si>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</si>
  <si>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</si>
  <si>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</si>
  <si>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</si>
  <si>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</si>
  <si>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</si>
  <si>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</si>
  <si>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</si>
  <si>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</si>
  <si>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</si>
  <si>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</si>
  <si>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</si>
  <si>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</si>
  <si>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</si>
  <si>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</si>
  <si>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</si>
  <si>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</si>
  <si>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</si>
  <si>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</si>
  <si>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</si>
  <si>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</si>
  <si>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</si>
  <si>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</si>
  <si>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</si>
  <si>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</si>
  <si>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</si>
  <si>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</si>
  <si>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</si>
  <si>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</si>
  <si>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</si>
  <si>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</si>
  <si>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</si>
  <si>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</si>
  <si>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</si>
  <si>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</si>
  <si>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</si>
  <si>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</si>
  <si>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</si>
  <si>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</si>
  <si>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</si>
  <si>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</si>
  <si>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</si>
  <si>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</si>
  <si>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</si>
  <si>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</si>
  <si>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</si>
  <si>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</si>
  <si>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</si>
  <si>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</si>
  <si>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</si>
  <si>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</si>
  <si>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</si>
  <si>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</si>
  <si>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</si>
  <si>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</si>
  <si>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</si>
  <si>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</si>
  <si>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</si>
  <si>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</si>
  <si>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</si>
  <si>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</si>
  <si>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</si>
  <si>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</si>
  <si>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</si>
  <si>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</si>
  <si>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</si>
  <si>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</si>
  <si>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</si>
  <si>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</si>
  <si>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</si>
  <si>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</si>
  <si>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</si>
  <si>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</si>
  <si>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</si>
  <si>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</si>
  <si>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</si>
  <si>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</si>
  <si>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</si>
  <si>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</si>
  <si>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</si>
  <si>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</si>
  <si>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</si>
  <si>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</si>
  <si>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</si>
  <si>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</si>
  <si>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</si>
  <si>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</si>
  <si>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</si>
  <si>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</si>
  <si>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</si>
  <si>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</si>
  <si>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</si>
  <si>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</si>
  <si>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</si>
  <si>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</si>
  <si>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</si>
  <si>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</si>
  <si>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</si>
  <si>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</si>
  <si>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</si>
  <si>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</si>
  <si>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</si>
  <si>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</si>
  <si>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</si>
  <si>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</si>
  <si>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</si>
  <si>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</si>
  <si>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</si>
  <si>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</si>
  <si>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</si>
  <si>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</si>
  <si>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</si>
  <si>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</si>
  <si>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</si>
  <si>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</si>
  <si>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</si>
  <si>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</si>
  <si>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</si>
  <si>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</si>
  <si>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</si>
  <si>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</si>
  <si>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</si>
  <si>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</si>
  <si>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</si>
  <si>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</si>
  <si>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</si>
  <si>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</si>
  <si>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</si>
  <si>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</si>
  <si>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</si>
  <si>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</si>
  <si>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</si>
  <si>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</si>
  <si>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</si>
  <si>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</si>
  <si>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</si>
  <si>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</si>
  <si>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</si>
  <si>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</si>
  <si>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</si>
  <si>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</si>
  <si>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</si>
  <si>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</si>
  <si>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</si>
  <si>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</si>
  <si>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</si>
  <si>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</si>
  <si>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</si>
  <si>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</si>
  <si>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</si>
  <si>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</si>
  <si>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</si>
  <si>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</si>
  <si>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</si>
  <si>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</si>
  <si>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</si>
  <si>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</si>
  <si>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</si>
  <si>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</si>
  <si>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</si>
  <si>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</si>
  <si>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</si>
  <si>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</si>
  <si>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</si>
  <si>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</si>
  <si>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</si>
  <si>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</si>
  <si>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</si>
  <si>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</si>
  <si>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</si>
  <si>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</si>
  <si>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</si>
  <si>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</si>
  <si>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</si>
  <si>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</si>
  <si>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</si>
  <si>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</si>
  <si>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</si>
  <si>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</si>
  <si>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</si>
  <si>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</si>
  <si>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</si>
  <si>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</si>
  <si>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</si>
  <si>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</si>
  <si>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</si>
  <si>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</si>
  <si>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</si>
  <si>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</si>
  <si>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</si>
  <si>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</si>
  <si>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</si>
  <si>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</si>
  <si>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</si>
  <si>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</si>
  <si>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</si>
  <si>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</si>
  <si>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</si>
  <si>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</si>
  <si>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</si>
  <si>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</si>
  <si>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</si>
  <si>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</si>
  <si>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</si>
  <si>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</si>
  <si>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</si>
  <si>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</si>
  <si>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</si>
  <si>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</si>
  <si>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</si>
  <si>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</si>
  <si>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</si>
  <si>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</si>
  <si>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</si>
  <si>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</si>
  <si>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</si>
  <si>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</si>
  <si>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</si>
  <si>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</si>
  <si>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</si>
  <si>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</si>
  <si>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</si>
  <si>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</si>
  <si>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</si>
  <si>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</si>
  <si>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</si>
  <si>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</si>
  <si>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</si>
  <si>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</si>
  <si>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</si>
  <si>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</si>
  <si>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</si>
  <si>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</si>
  <si>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</si>
  <si>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</si>
  <si>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</si>
  <si>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</si>
  <si>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</si>
  <si>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</si>
  <si>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</si>
  <si>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</si>
  <si>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</si>
  <si>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</si>
  <si>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</si>
  <si>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</si>
  <si>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</si>
  <si>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</si>
  <si>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</si>
  <si>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</si>
  <si>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</si>
  <si>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</si>
  <si>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</si>
  <si>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</si>
  <si>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</si>
  <si>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</si>
  <si>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</si>
  <si>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</si>
  <si>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</si>
  <si>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</si>
  <si>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</si>
  <si>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</si>
  <si>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</si>
  <si>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</si>
  <si>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</si>
  <si>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</si>
  <si>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</si>
  <si>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</si>
  <si>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</si>
  <si>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</si>
  <si>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</si>
  <si>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</si>
  <si>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</si>
  <si>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</si>
  <si>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</si>
  <si>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</si>
  <si>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</si>
  <si>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</si>
  <si>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</si>
  <si>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</si>
  <si>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</si>
  <si>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</si>
  <si>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</si>
  <si>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</si>
  <si>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</si>
  <si>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</si>
  <si>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</si>
  <si>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</si>
  <si>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</si>
  <si>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</si>
  <si>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</si>
  <si>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</si>
  <si>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</si>
  <si>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</si>
  <si>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</si>
  <si>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</si>
  <si>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</si>
  <si>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</si>
  <si>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</si>
  <si>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</si>
  <si>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</si>
  <si>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</si>
  <si>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</si>
  <si>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</si>
  <si>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</si>
  <si>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</si>
  <si>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</si>
  <si>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</si>
  <si>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</si>
  <si>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</si>
  <si>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</si>
  <si>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</si>
  <si>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</si>
  <si>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</si>
  <si>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</si>
  <si>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</si>
  <si>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</si>
  <si>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</si>
  <si>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</si>
  <si>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</si>
  <si>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</si>
  <si>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</si>
  <si>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</si>
  <si>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</si>
  <si>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</si>
  <si>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</si>
  <si>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</si>
  <si>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</si>
  <si>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</si>
  <si>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</si>
  <si>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</si>
  <si>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</si>
  <si>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</si>
  <si>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</si>
  <si>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</si>
  <si>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</si>
  <si>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</si>
  <si>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</si>
  <si>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</si>
  <si>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</si>
  <si>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</si>
  <si>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</si>
  <si>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</si>
  <si>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</si>
  <si>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</si>
  <si>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</si>
  <si>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</si>
  <si>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</si>
  <si>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</si>
  <si>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</si>
  <si>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</si>
  <si>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</si>
  <si>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</si>
  <si>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</si>
  <si>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</si>
  <si>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</si>
  <si>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</si>
  <si>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</si>
  <si>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</si>
  <si>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</si>
  <si>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</si>
  <si>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</si>
  <si>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</si>
  <si>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</si>
  <si>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</si>
  <si>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</si>
  <si>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</si>
  <si>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</si>
  <si>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</si>
  <si>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</si>
  <si>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</si>
  <si>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</si>
  <si>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</si>
  <si>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</si>
  <si>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</si>
  <si>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</si>
  <si>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</si>
  <si>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</si>
  <si>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</si>
  <si>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</si>
  <si>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</si>
  <si>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</si>
  <si>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</si>
  <si>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</si>
  <si>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</si>
  <si>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</si>
  <si>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</si>
  <si>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</si>
  <si>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</si>
  <si>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</si>
  <si>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</si>
  <si>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</si>
  <si>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</si>
  <si>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</si>
  <si>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</si>
  <si>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</si>
  <si>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</si>
  <si>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</si>
  <si>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</si>
  <si>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</si>
  <si>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</si>
  <si>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</si>
  <si>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</si>
  <si>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</si>
  <si>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</si>
  <si>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</si>
  <si>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</si>
  <si>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</si>
  <si>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</si>
  <si>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</si>
  <si>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</si>
  <si>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</si>
  <si>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</si>
  <si>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</si>
  <si>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</si>
  <si>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</si>
  <si>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</si>
  <si>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</si>
  <si>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</si>
  <si>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</si>
  <si>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</si>
  <si>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</si>
  <si>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</si>
  <si>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</si>
  <si>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</si>
  <si>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</si>
  <si>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</si>
  <si>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</si>
  <si>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</si>
  <si>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</si>
  <si>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</si>
  <si>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</si>
  <si>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</si>
  <si>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</si>
  <si>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</si>
  <si>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</si>
  <si>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</si>
  <si>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</si>
  <si>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</si>
  <si>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</si>
  <si>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</si>
  <si>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</si>
  <si>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</si>
  <si>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</si>
  <si>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</si>
  <si>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</si>
  <si>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</si>
  <si>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</si>
  <si>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</si>
  <si>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</si>
  <si>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</si>
  <si>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</si>
  <si>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</si>
  <si>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</si>
  <si>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</si>
  <si>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</si>
  <si>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</si>
  <si>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</si>
  <si>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</si>
  <si>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</si>
  <si>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</si>
  <si>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</si>
  <si>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</si>
  <si>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</si>
  <si>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</si>
  <si>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</si>
  <si>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</si>
  <si>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</si>
  <si>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</si>
  <si>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</si>
  <si>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</si>
  <si>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</si>
  <si>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</si>
  <si>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</si>
  <si>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</si>
  <si>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</si>
  <si>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</si>
  <si>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</si>
  <si>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</si>
  <si>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</si>
  <si>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</si>
  <si>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</si>
  <si>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</si>
  <si>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</si>
  <si>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</si>
  <si>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</si>
  <si>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</si>
  <si>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</si>
  <si>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</si>
  <si>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</si>
  <si>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</si>
  <si>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</si>
  <si>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</si>
  <si>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</si>
  <si>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</si>
  <si>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</si>
  <si>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</si>
  <si>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</si>
  <si>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</si>
  <si>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</si>
  <si>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</si>
  <si>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</si>
  <si>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</si>
  <si>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</si>
  <si>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</si>
  <si>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</si>
  <si>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</si>
  <si>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</si>
  <si>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</si>
  <si>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</si>
  <si>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</si>
  <si>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</si>
  <si>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</si>
  <si>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</si>
  <si>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</si>
  <si>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</si>
  <si>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</si>
  <si>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</si>
  <si>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</si>
  <si>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</si>
  <si>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</si>
  <si>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</si>
  <si>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</si>
  <si>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</si>
  <si>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</si>
  <si>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</si>
  <si>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</si>
  <si>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</si>
  <si>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</si>
  <si>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</si>
  <si>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</si>
  <si>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</si>
  <si>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</si>
  <si>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</si>
  <si>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</si>
  <si>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</si>
  <si>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</si>
  <si>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</si>
  <si>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</si>
  <si>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</si>
  <si>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</si>
  <si>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</si>
  <si>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</si>
  <si>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</si>
  <si>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</si>
  <si>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</si>
  <si>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</si>
  <si>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</si>
  <si>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</si>
  <si>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</si>
  <si>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</si>
  <si>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</si>
  <si>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</si>
  <si>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</si>
  <si>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</si>
  <si>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</si>
  <si>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</si>
  <si>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</si>
  <si>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</si>
  <si>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</si>
  <si>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</si>
  <si>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</si>
  <si>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</si>
  <si>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</si>
  <si>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</si>
  <si>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</si>
  <si>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</si>
  <si>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</si>
  <si>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</si>
  <si>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</si>
  <si>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</si>
  <si>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</si>
  <si>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</si>
  <si>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</si>
  <si>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</si>
  <si>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</si>
  <si>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</si>
  <si>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</si>
  <si>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</si>
  <si>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</si>
  <si>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</si>
  <si>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</si>
  <si>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</si>
  <si>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</si>
  <si>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</si>
  <si>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</si>
  <si>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</si>
  <si>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</si>
  <si>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</si>
  <si>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</si>
  <si>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</si>
  <si>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</si>
  <si>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</si>
  <si>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</si>
  <si>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</si>
  <si>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</si>
  <si>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</si>
  <si>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</si>
  <si>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</si>
  <si>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</si>
  <si>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</si>
  <si>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</si>
  <si>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</si>
  <si>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</si>
  <si>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</si>
  <si>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</si>
  <si>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</si>
  <si>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</si>
  <si>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</si>
  <si>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</si>
  <si>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</si>
  <si>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</si>
  <si>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</si>
  <si>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</si>
  <si>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</si>
  <si>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</si>
  <si>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</si>
  <si>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</si>
  <si>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</si>
  <si>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</si>
  <si>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</si>
  <si>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</si>
  <si>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</si>
  <si>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</si>
  <si>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</si>
  <si>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</si>
  <si>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</si>
  <si>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</si>
  <si>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</si>
  <si>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</si>
  <si>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</si>
  <si>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</si>
  <si>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</si>
  <si>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</si>
  <si>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</si>
  <si>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</si>
  <si>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</si>
  <si>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</si>
  <si>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</si>
  <si>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</si>
  <si>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</si>
  <si>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</si>
  <si>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</si>
  <si>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</si>
  <si>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</si>
  <si>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</si>
  <si>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</si>
  <si>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</si>
  <si>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</si>
  <si>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</si>
  <si>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</si>
  <si>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</si>
  <si>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</si>
  <si>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</si>
  <si>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</si>
  <si>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</si>
  <si>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</si>
  <si>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</si>
  <si>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</si>
  <si>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</si>
  <si>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</si>
  <si>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</si>
  <si>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</si>
  <si>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</si>
  <si>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</si>
  <si>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</si>
  <si>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</si>
  <si>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</si>
  <si>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</si>
  <si>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</si>
  <si>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</si>
  <si>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</si>
  <si>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</si>
  <si>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</si>
  <si>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</si>
  <si>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</si>
  <si>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</si>
  <si>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</si>
  <si>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</si>
  <si>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</si>
  <si>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</si>
  <si>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</si>
  <si>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</si>
  <si>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</si>
  <si>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</si>
  <si>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</si>
  <si>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</si>
  <si>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</si>
  <si>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</si>
  <si>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</si>
  <si>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</si>
  <si>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</si>
  <si>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</si>
  <si>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</si>
  <si>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</si>
  <si>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</si>
  <si>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</si>
  <si>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</si>
  <si>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</si>
  <si>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</si>
  <si>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</si>
  <si>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</si>
  <si>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</si>
  <si>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</si>
  <si>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</si>
  <si>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</si>
  <si>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</si>
  <si>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</si>
  <si>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</si>
  <si>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</si>
  <si>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</si>
  <si>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</si>
  <si>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Louisburg Township</t>
  </si>
  <si>
    <t>Elk City</t>
  </si>
  <si>
    <t>80-115</t>
  </si>
  <si>
    <t>Hall</t>
  </si>
  <si>
    <t>Publication</t>
  </si>
  <si>
    <t>Louisburg Rural Fire</t>
  </si>
  <si>
    <t>August 14, 2012</t>
  </si>
  <si>
    <t>12:00 PM</t>
  </si>
  <si>
    <t>Louisburg Fire Barn, Elk City,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</si>
</sst>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9" fillId="0" borderId="0" xfId="0" applyFont="1" applyAlignment="1">
      <alignment horizontal="center"/>
    </xf>
    <xf numFmtId="0" fontId="9" fillId="0" borderId="0" xfId="0" applyFont="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187" fontId="36" fillId="33" borderId="12" xfId="0" applyNumberFormat="1" applyFont="1" applyFill="1" applyBorder="1" applyAlignment="1" applyProtection="1">
      <alignment horizontal="center"/>
      <protection locked="0"/>
    </xf>
    <xf numFmtId="0" fontId="36" fillId="34" borderId="15" xfId="0" applyFont="1" applyFill="1" applyBorder="1" applyAlignment="1">
      <alignment horizontal="center"/>
    </xf>
    <xf numFmtId="0" fontId="37" fillId="34" borderId="0" xfId="0" applyFont="1" applyFill="1" applyAlignment="1">
      <alignment horizontal="center" wrapText="1"/>
    </xf>
    <xf numFmtId="0" fontId="36" fillId="34" borderId="0" xfId="0" applyFont="1" applyFill="1" applyAlignment="1">
      <alignment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0" borderId="0" xfId="0" applyFont="1" applyAlignment="1">
      <alignment wrapText="1"/>
    </xf>
    <xf numFmtId="5" fontId="36" fillId="34" borderId="12" xfId="0" applyNumberFormat="1" applyFont="1" applyFill="1" applyBorder="1" applyAlignment="1">
      <alignment horizontal="center"/>
    </xf>
    <xf numFmtId="0" fontId="37" fillId="34" borderId="30" xfId="0" applyFont="1" applyFill="1" applyBorder="1" applyAlignment="1">
      <alignment horizontal="center" vertic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7" fillId="34" borderId="0" xfId="0" applyFont="1" applyFill="1" applyAlignment="1">
      <alignment horizontal="center"/>
    </xf>
    <xf numFmtId="187" fontId="36" fillId="34" borderId="0" xfId="0" applyNumberFormat="1" applyFont="1" applyFill="1" applyAlignment="1">
      <alignment/>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0" fontId="37" fillId="34" borderId="0" xfId="0" applyFont="1" applyFill="1" applyAlignment="1">
      <alignment horizontal="center" vertical="center"/>
    </xf>
    <xf numFmtId="0" fontId="37"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21">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Louisburg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4">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Louisburg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0</v>
      </c>
      <c r="D6" s="414">
        <f>C47</f>
        <v>0</v>
      </c>
      <c r="E6" s="267">
        <f>D47</f>
        <v>11</v>
      </c>
    </row>
    <row r="7" spans="2:5" ht="15.75">
      <c r="B7" s="82" t="s">
        <v>467</v>
      </c>
      <c r="C7" s="414"/>
      <c r="D7" s="414"/>
      <c r="E7" s="328"/>
    </row>
    <row r="8" spans="2:5" ht="15.75">
      <c r="B8" s="82" t="s">
        <v>682</v>
      </c>
      <c r="C8" s="326">
        <v>4100.49</v>
      </c>
      <c r="D8" s="414">
        <f>inputPrYr!E20</f>
        <v>5220</v>
      </c>
      <c r="E8" s="328" t="s">
        <v>661</v>
      </c>
    </row>
    <row r="9" spans="2:5" ht="15.75">
      <c r="B9" s="82" t="s">
        <v>683</v>
      </c>
      <c r="C9" s="326">
        <v>71</v>
      </c>
      <c r="D9" s="326">
        <v>25</v>
      </c>
      <c r="E9" s="175">
        <v>25</v>
      </c>
    </row>
    <row r="10" spans="2:5" ht="15.75">
      <c r="B10" s="82" t="s">
        <v>684</v>
      </c>
      <c r="C10" s="326">
        <v>294</v>
      </c>
      <c r="D10" s="326">
        <v>284</v>
      </c>
      <c r="E10" s="267">
        <f>mvalloc!G12</f>
        <v>238.4000000000001</v>
      </c>
    </row>
    <row r="11" spans="2:5" ht="15.75">
      <c r="B11" s="82" t="s">
        <v>685</v>
      </c>
      <c r="C11" s="326">
        <v>5</v>
      </c>
      <c r="D11" s="326">
        <v>5</v>
      </c>
      <c r="E11" s="267">
        <f>mvalloc!I12</f>
        <v>3.4299999999999997</v>
      </c>
    </row>
    <row r="12" spans="2:5" ht="15.75">
      <c r="B12" s="329" t="s">
        <v>416</v>
      </c>
      <c r="C12" s="326">
        <v>47</v>
      </c>
      <c r="D12" s="326">
        <v>52</v>
      </c>
      <c r="E12" s="267">
        <f>mvalloc!J12</f>
        <v>40.69999999999999</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c r="D22" s="326"/>
      <c r="E22" s="175"/>
    </row>
    <row r="23" spans="2:5" ht="15.75">
      <c r="B23" s="332" t="s">
        <v>634</v>
      </c>
      <c r="C23" s="326"/>
      <c r="D23" s="326"/>
      <c r="E23" s="175"/>
    </row>
    <row r="24" spans="2:5" ht="15.75">
      <c r="B24" s="332" t="s">
        <v>635</v>
      </c>
      <c r="C24" s="416">
        <f>IF(C25*0.1&lt;C23,"Exceed 10% Rule","")</f>
      </c>
      <c r="D24" s="416">
        <f>IF(D25*0.1&lt;D23,"Exceed 10% Rule","")</f>
      </c>
      <c r="E24" s="336">
        <f>IF(E25*0.1+E53&lt;E23,"Exceed 10% Rule","")</f>
      </c>
    </row>
    <row r="25" spans="2:5" ht="15.75">
      <c r="B25" s="334" t="s">
        <v>689</v>
      </c>
      <c r="C25" s="417">
        <f>SUM(C8:C23)</f>
        <v>4517.49</v>
      </c>
      <c r="D25" s="417">
        <f>SUM(D8:D23)</f>
        <v>5586</v>
      </c>
      <c r="E25" s="335">
        <f>SUM(E8:E23)</f>
        <v>307.5300000000001</v>
      </c>
    </row>
    <row r="26" spans="2:5" ht="15.75">
      <c r="B26" s="100" t="s">
        <v>690</v>
      </c>
      <c r="C26" s="417">
        <f>C25+C6</f>
        <v>4517.49</v>
      </c>
      <c r="D26" s="417">
        <f>D25+D6</f>
        <v>5586</v>
      </c>
      <c r="E26" s="335">
        <f>E25+E6</f>
        <v>318.5300000000001</v>
      </c>
    </row>
    <row r="27" spans="2:5" ht="15.75">
      <c r="B27" s="82" t="s">
        <v>691</v>
      </c>
      <c r="C27" s="414"/>
      <c r="D27" s="414"/>
      <c r="E27" s="267"/>
    </row>
    <row r="28" spans="2:5" ht="15.75">
      <c r="B28" s="330"/>
      <c r="C28" s="326"/>
      <c r="D28" s="326"/>
      <c r="E28" s="175"/>
    </row>
    <row r="29" spans="2:5" ht="15.75">
      <c r="B29" s="331" t="s">
        <v>448</v>
      </c>
      <c r="C29" s="326"/>
      <c r="D29" s="326"/>
      <c r="E29" s="175"/>
    </row>
    <row r="30" spans="2:5" ht="15.75">
      <c r="B30" s="331" t="s">
        <v>472</v>
      </c>
      <c r="C30" s="326"/>
      <c r="D30" s="326"/>
      <c r="E30" s="175"/>
    </row>
    <row r="31" spans="2:5" ht="15.75">
      <c r="B31" s="331" t="s">
        <v>449</v>
      </c>
      <c r="C31" s="326"/>
      <c r="D31" s="326"/>
      <c r="E31" s="175"/>
    </row>
    <row r="32" spans="2:5" ht="15.75">
      <c r="B32" s="331" t="s">
        <v>702</v>
      </c>
      <c r="C32" s="326"/>
      <c r="D32" s="326"/>
      <c r="E32" s="175"/>
    </row>
    <row r="33" spans="2:5" ht="15.75">
      <c r="B33" s="330" t="s">
        <v>450</v>
      </c>
      <c r="C33" s="326"/>
      <c r="D33" s="326"/>
      <c r="E33" s="175"/>
    </row>
    <row r="34" spans="2:5" ht="15.75">
      <c r="B34" s="330" t="s">
        <v>473</v>
      </c>
      <c r="C34" s="326"/>
      <c r="D34" s="326"/>
      <c r="E34" s="175"/>
    </row>
    <row r="35" spans="2:5" ht="15.75">
      <c r="B35" s="331" t="s">
        <v>475</v>
      </c>
      <c r="C35" s="326"/>
      <c r="D35" s="326"/>
      <c r="E35" s="175"/>
    </row>
    <row r="36" spans="2:5" ht="15.75">
      <c r="B36" s="331" t="s">
        <v>787</v>
      </c>
      <c r="C36" s="326">
        <v>4463</v>
      </c>
      <c r="D36" s="326">
        <v>5500</v>
      </c>
      <c r="E36" s="175">
        <v>5500</v>
      </c>
    </row>
    <row r="37" spans="2:5" ht="15.75">
      <c r="B37" s="330" t="s">
        <v>838</v>
      </c>
      <c r="C37" s="326">
        <v>53.72</v>
      </c>
      <c r="D37" s="326">
        <v>75</v>
      </c>
      <c r="E37" s="175">
        <v>75</v>
      </c>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30"/>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11</v>
      </c>
      <c r="H42" s="538" t="str">
        <f>CONCATENATE("",E1-1," Ending Cash Balance (est.)")</f>
        <v>2012 Ending Cash Balance (est.)</v>
      </c>
      <c r="I42" s="539"/>
      <c r="J42" s="86"/>
    </row>
    <row r="43" spans="2:10" ht="15.75">
      <c r="B43" s="329" t="s">
        <v>636</v>
      </c>
      <c r="C43" s="326"/>
      <c r="D43" s="326"/>
      <c r="E43" s="186">
        <f>nhood!E6</f>
      </c>
      <c r="G43" s="537">
        <f>E25</f>
        <v>307.5300000000001</v>
      </c>
      <c r="H43" s="540" t="str">
        <f>CONCATENATE("",E1," Non-AV Receipts (est.)")</f>
        <v>2013 Non-AV Receipts (est.)</v>
      </c>
      <c r="I43" s="540"/>
      <c r="J43" s="86"/>
    </row>
    <row r="44" spans="2:10" ht="15.75">
      <c r="B44" s="329" t="s">
        <v>634</v>
      </c>
      <c r="C44" s="326"/>
      <c r="D44" s="326"/>
      <c r="E44" s="175"/>
      <c r="G44" s="541">
        <f>E53</f>
        <v>5624.47</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5943</v>
      </c>
      <c r="H45" s="540" t="str">
        <f>CONCATENATE("Total ",E1," Resources Available")</f>
        <v>Total 2013 Resources Available</v>
      </c>
      <c r="I45" s="539"/>
      <c r="J45" s="86"/>
    </row>
    <row r="46" spans="2:10" ht="15.75">
      <c r="B46" s="100" t="s">
        <v>692</v>
      </c>
      <c r="C46" s="417">
        <f>SUM(C28:C39,C41,C43:C44)</f>
        <v>4516.72</v>
      </c>
      <c r="D46" s="417">
        <f>SUM(D28:D39,D41,D43:D44)</f>
        <v>5575</v>
      </c>
      <c r="E46" s="335">
        <f>SUM(E28:E39,E43:E44,E41)</f>
        <v>5575</v>
      </c>
      <c r="G46" s="542"/>
      <c r="H46" s="540"/>
      <c r="I46" s="540"/>
      <c r="J46" s="86"/>
    </row>
    <row r="47" spans="2:10" ht="15.75">
      <c r="B47" s="82" t="s">
        <v>466</v>
      </c>
      <c r="C47" s="418">
        <v>0</v>
      </c>
      <c r="D47" s="418">
        <f>D26-D46</f>
        <v>11</v>
      </c>
      <c r="E47" s="328" t="s">
        <v>661</v>
      </c>
      <c r="G47" s="541">
        <f>C46*0.05+C46</f>
        <v>4742.5560000000005</v>
      </c>
      <c r="H47" s="540" t="str">
        <f>CONCATENATE("Less ",E1-2," Expenditures + 5%")</f>
        <v>Less 2011 Expenditures + 5%</v>
      </c>
      <c r="I47" s="539"/>
      <c r="J47" s="86"/>
    </row>
    <row r="48" spans="2:10" ht="15.75">
      <c r="B48" s="121" t="str">
        <f>CONCATENATE("",E1-2,"/",E1-1," Budget Authority Amount:")</f>
        <v>2011/2012 Budget Authority Amount:</v>
      </c>
      <c r="C48" s="362">
        <f>inputOth!B83</f>
        <v>5575</v>
      </c>
      <c r="D48" s="69">
        <f>inputPrYr!D20</f>
        <v>5575</v>
      </c>
      <c r="E48" s="328" t="s">
        <v>661</v>
      </c>
      <c r="F48" s="337"/>
      <c r="G48" s="543">
        <f>G45-G47</f>
        <v>1200.4439999999995</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5575</v>
      </c>
      <c r="G50" s="547">
        <f>IF(inputOth!E11=0,"",ROUND(gen!E53/inputOth!E11*1000,3))</f>
        <v>0.566</v>
      </c>
      <c r="H50" s="548" t="str">
        <f>CONCATENATE("Projected ",E1-1," Mill Rate (est.)")</f>
        <v>Projected 2012 Mill Rate (est.)</v>
      </c>
      <c r="I50" s="549"/>
      <c r="J50" s="550"/>
    </row>
    <row r="51" spans="2:10" ht="15.75">
      <c r="B51" s="528" t="str">
        <f>CONCATENATE(C71,"       ",D71)</f>
        <v>       </v>
      </c>
      <c r="C51" s="531"/>
      <c r="D51" s="530" t="s">
        <v>694</v>
      </c>
      <c r="E51" s="186">
        <f>IF(E50-E26&gt;0,E50-E26,0)</f>
        <v>5256.47</v>
      </c>
      <c r="G51" s="551"/>
      <c r="H51" s="551"/>
      <c r="I51" s="551"/>
      <c r="J51" s="551"/>
    </row>
    <row r="52" spans="2:10" ht="15.75">
      <c r="B52" s="216"/>
      <c r="C52" s="529" t="s">
        <v>333</v>
      </c>
      <c r="D52" s="533">
        <f>inputOth!$E$77</f>
        <v>0.07</v>
      </c>
      <c r="E52" s="267">
        <f>ROUND(IF(D52&gt;0,(E51*D52),0),0)</f>
        <v>368</v>
      </c>
      <c r="G52" s="665" t="str">
        <f>CONCATENATE("Desired Carryover Into ",E1+1,"")</f>
        <v>Desired Carryover Into 2014</v>
      </c>
      <c r="H52" s="667"/>
      <c r="I52" s="667"/>
      <c r="J52" s="630"/>
    </row>
    <row r="53" spans="2:10" ht="15.75">
      <c r="B53" s="66"/>
      <c r="C53" s="663" t="str">
        <f>CONCATENATE("Amount of  ",$E$1-1," Ad Valorem Tax")</f>
        <v>Amount of  2012 Ad Valorem Tax</v>
      </c>
      <c r="D53" s="664"/>
      <c r="E53" s="186">
        <f>E51+E52</f>
        <v>5624.47</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20" operator="greaterThan" stopIfTrue="1">
      <formula>$C$25*0.1</formula>
    </cfRule>
  </conditionalFormatting>
  <conditionalFormatting sqref="D23">
    <cfRule type="cellIs" priority="3" dxfId="120" operator="greaterThan" stopIfTrue="1">
      <formula>$D$25*0.1</formula>
    </cfRule>
  </conditionalFormatting>
  <conditionalFormatting sqref="E49">
    <cfRule type="cellIs" priority="4" dxfId="120" operator="greaterThan" stopIfTrue="1">
      <formula>$E$46/0.95-$E$46</formula>
    </cfRule>
  </conditionalFormatting>
  <conditionalFormatting sqref="E44">
    <cfRule type="cellIs" priority="5" dxfId="120" operator="greaterThan" stopIfTrue="1">
      <formula>$E$46*0.1</formula>
    </cfRule>
  </conditionalFormatting>
  <conditionalFormatting sqref="D44">
    <cfRule type="cellIs" priority="6" dxfId="120" operator="greaterThan" stopIfTrue="1">
      <formula>$D$46*0.1</formula>
    </cfRule>
  </conditionalFormatting>
  <conditionalFormatting sqref="C44">
    <cfRule type="cellIs" priority="7" dxfId="120" operator="greaterThan" stopIfTrue="1">
      <formula>$C$46*0.1</formula>
    </cfRule>
  </conditionalFormatting>
  <conditionalFormatting sqref="C46">
    <cfRule type="cellIs" priority="8" dxfId="120" operator="greaterThan" stopIfTrue="1">
      <formula>$C$48</formula>
    </cfRule>
  </conditionalFormatting>
  <conditionalFormatting sqref="C47">
    <cfRule type="cellIs" priority="9" dxfId="120" operator="lessThan" stopIfTrue="1">
      <formula>0</formula>
    </cfRule>
  </conditionalFormatting>
  <conditionalFormatting sqref="C41">
    <cfRule type="cellIs" priority="11" dxfId="120" operator="greaterThan" stopIfTrue="1">
      <formula>$C$26*0.25</formula>
    </cfRule>
  </conditionalFormatting>
  <conditionalFormatting sqref="D41">
    <cfRule type="cellIs" priority="12" dxfId="120" operator="greaterThan" stopIfTrue="1">
      <formula>$D$26*0.25</formula>
    </cfRule>
  </conditionalFormatting>
  <conditionalFormatting sqref="D39">
    <cfRule type="expression" priority="13" dxfId="120" stopIfTrue="1">
      <formula>$D$8&gt;0</formula>
    </cfRule>
  </conditionalFormatting>
  <conditionalFormatting sqref="E23">
    <cfRule type="cellIs" priority="14" dxfId="120" operator="greaterThan" stopIfTrue="1">
      <formula>$E$25*0.1+$E$53</formula>
    </cfRule>
  </conditionalFormatting>
  <conditionalFormatting sqref="C39">
    <cfRule type="expression" priority="15" dxfId="120" stopIfTrue="1">
      <formula>$C$8&gt;0</formula>
    </cfRule>
  </conditionalFormatting>
  <conditionalFormatting sqref="E41">
    <cfRule type="cellIs" priority="16" dxfId="120" operator="greaterThan" stopIfTrue="1">
      <formula>$E$26*0.25+$E$53</formula>
    </cfRule>
  </conditionalFormatting>
  <conditionalFormatting sqref="E39">
    <cfRule type="expression" priority="17" dxfId="120" stopIfTrue="1">
      <formula>$E$53&gt;0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9">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Louisburg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0.07</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20" operator="greaterThan" stopIfTrue="1">
      <formula>$C$51*0.1</formula>
    </cfRule>
  </conditionalFormatting>
  <conditionalFormatting sqref="D49">
    <cfRule type="cellIs" priority="3" dxfId="120" operator="greaterThan" stopIfTrue="1">
      <formula>$D$51*0.1</formula>
    </cfRule>
  </conditionalFormatting>
  <conditionalFormatting sqref="E49">
    <cfRule type="cellIs" priority="4" dxfId="120" operator="greaterThan" stopIfTrue="1">
      <formula>$E$51*0.1</formula>
    </cfRule>
  </conditionalFormatting>
  <conditionalFormatting sqref="E54">
    <cfRule type="cellIs" priority="5" dxfId="120" operator="greaterThan" stopIfTrue="1">
      <formula>$E$51/0.95-$E$51</formula>
    </cfRule>
  </conditionalFormatting>
  <conditionalFormatting sqref="C52">
    <cfRule type="cellIs" priority="6" dxfId="120" operator="lessThan" stopIfTrue="1">
      <formula>0</formula>
    </cfRule>
  </conditionalFormatting>
  <conditionalFormatting sqref="C27">
    <cfRule type="cellIs" priority="9" dxfId="120" operator="greaterThan" stopIfTrue="1">
      <formula>$C$29*0.1</formula>
    </cfRule>
  </conditionalFormatting>
  <conditionalFormatting sqref="D27">
    <cfRule type="cellIs" priority="10" dxfId="120" operator="greaterThan" stopIfTrue="1">
      <formula>$D$29*0.1</formula>
    </cfRule>
  </conditionalFormatting>
  <conditionalFormatting sqref="E27">
    <cfRule type="cellIs" priority="11" dxfId="120" operator="greaterThan" stopIfTrue="1">
      <formula>$E$29*0.1+$E$58</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Louisburg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30"/>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0.07</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30"/>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20" operator="greaterThan" stopIfTrue="1">
      <formula>$C$41*0.1</formula>
    </cfRule>
  </conditionalFormatting>
  <conditionalFormatting sqref="D39">
    <cfRule type="cellIs" priority="3" dxfId="120" operator="greaterThan" stopIfTrue="1">
      <formula>$D$41*0.1</formula>
    </cfRule>
  </conditionalFormatting>
  <conditionalFormatting sqref="E39">
    <cfRule type="cellIs" priority="4" dxfId="120" operator="greaterThan" stopIfTrue="1">
      <formula>$E$41*0.1</formula>
    </cfRule>
  </conditionalFormatting>
  <conditionalFormatting sqref="C21">
    <cfRule type="cellIs" priority="5" dxfId="120" operator="greaterThan" stopIfTrue="1">
      <formula>$C$23*0.1</formula>
    </cfRule>
  </conditionalFormatting>
  <conditionalFormatting sqref="D21">
    <cfRule type="cellIs" priority="6" dxfId="120" operator="greaterThan" stopIfTrue="1">
      <formula>$D$23*0.1</formula>
    </cfRule>
  </conditionalFormatting>
  <conditionalFormatting sqref="C36">
    <cfRule type="cellIs" priority="7" dxfId="120" operator="greaterThan" stopIfTrue="1">
      <formula>$C$24*0.25</formula>
    </cfRule>
  </conditionalFormatting>
  <conditionalFormatting sqref="E44">
    <cfRule type="cellIs" priority="8" dxfId="120" operator="greaterThan" stopIfTrue="1">
      <formula>$E$41/0.95-$E$41</formula>
    </cfRule>
  </conditionalFormatting>
  <conditionalFormatting sqref="C42">
    <cfRule type="cellIs" priority="9" dxfId="120" operator="lessThan" stopIfTrue="1">
      <formula>0</formula>
    </cfRule>
  </conditionalFormatting>
  <conditionalFormatting sqref="D36">
    <cfRule type="cellIs" priority="12" dxfId="120" operator="greaterThan" stopIfTrue="1">
      <formula>$D$24*0.25</formula>
    </cfRule>
  </conditionalFormatting>
  <conditionalFormatting sqref="E36">
    <cfRule type="cellIs" priority="13" dxfId="120" operator="greaterThan" stopIfTrue="1">
      <formula>$E$24*0.25+$E$48</formula>
    </cfRule>
  </conditionalFormatting>
  <conditionalFormatting sqref="E21">
    <cfRule type="cellIs" priority="14" dxfId="120" operator="greaterThan" stopIfTrue="1">
      <formula>$E$23*0.1+$E$48</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0.07</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20" operator="greaterThan" stopIfTrue="1">
      <formula>$C$67*0.1</formula>
    </cfRule>
  </conditionalFormatting>
  <conditionalFormatting sqref="D65">
    <cfRule type="cellIs" priority="4" dxfId="120" operator="greaterThan" stopIfTrue="1">
      <formula>$D$67*0.1</formula>
    </cfRule>
  </conditionalFormatting>
  <conditionalFormatting sqref="C54">
    <cfRule type="cellIs" priority="5" dxfId="120" operator="greaterThan" stopIfTrue="1">
      <formula>$C$56*0.1</formula>
    </cfRule>
  </conditionalFormatting>
  <conditionalFormatting sqref="D54">
    <cfRule type="cellIs" priority="6" dxfId="120" operator="greaterThan" stopIfTrue="1">
      <formula>$D$56*0.1</formula>
    </cfRule>
  </conditionalFormatting>
  <conditionalFormatting sqref="E54">
    <cfRule type="cellIs" priority="7" dxfId="120" operator="greaterThan" stopIfTrue="1">
      <formula>$E$56*0.1</formula>
    </cfRule>
  </conditionalFormatting>
  <conditionalFormatting sqref="E70">
    <cfRule type="cellIs" priority="8" dxfId="120" operator="greaterThan" stopIfTrue="1">
      <formula>$E$67/0.95-$E$67</formula>
    </cfRule>
  </conditionalFormatting>
  <conditionalFormatting sqref="C29">
    <cfRule type="cellIs" priority="9" dxfId="120" operator="greaterThan" stopIfTrue="1">
      <formula>$C$31*0.1</formula>
    </cfRule>
  </conditionalFormatting>
  <conditionalFormatting sqref="D29">
    <cfRule type="cellIs" priority="10" dxfId="120" operator="greaterThan" stopIfTrue="1">
      <formula>$D$31*0.1</formula>
    </cfRule>
  </conditionalFormatting>
  <conditionalFormatting sqref="E29">
    <cfRule type="cellIs" priority="11" dxfId="120" operator="greaterThan" stopIfTrue="1">
      <formula>$E$31*0.1</formula>
    </cfRule>
  </conditionalFormatting>
  <conditionalFormatting sqref="C18">
    <cfRule type="cellIs" priority="12" dxfId="120" operator="greaterThan" stopIfTrue="1">
      <formula>$C$20*0.1</formula>
    </cfRule>
  </conditionalFormatting>
  <conditionalFormatting sqref="D18">
    <cfRule type="cellIs" priority="13" dxfId="120" operator="greaterThan" stopIfTrue="1">
      <formula>$D$20*0.1</formula>
    </cfRule>
  </conditionalFormatting>
  <conditionalFormatting sqref="E34">
    <cfRule type="cellIs" priority="14" dxfId="120" operator="greaterThan" stopIfTrue="1">
      <formula>$E$31/0.95-$E$31</formula>
    </cfRule>
  </conditionalFormatting>
  <conditionalFormatting sqref="C68 C32">
    <cfRule type="cellIs" priority="15" dxfId="120" operator="lessThan" stopIfTrue="1">
      <formula>0</formula>
    </cfRule>
  </conditionalFormatting>
  <conditionalFormatting sqref="E18">
    <cfRule type="cellIs" priority="20" dxfId="120" operator="greaterThan" stopIfTrue="1">
      <formula>$E$20*0.1+$E$38</formula>
    </cfRule>
  </conditionalFormatting>
  <conditionalFormatting sqref="E65">
    <cfRule type="cellIs" priority="21" dxfId="120" operator="greaterThan" stopIfTrue="1">
      <formula>$E$67*0.1</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3">
      <selection activeCell="C75" sqref="C7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v>0</v>
      </c>
      <c r="D6" s="414">
        <f>C32</f>
        <v>0</v>
      </c>
      <c r="E6" s="267">
        <f>D32</f>
        <v>1655</v>
      </c>
    </row>
    <row r="7" spans="2:5" ht="15.75">
      <c r="B7" s="82" t="s">
        <v>467</v>
      </c>
      <c r="C7" s="414"/>
      <c r="D7" s="414"/>
      <c r="E7" s="328"/>
    </row>
    <row r="8" spans="2:5" ht="15.75">
      <c r="B8" s="82" t="s">
        <v>682</v>
      </c>
      <c r="C8" s="326">
        <v>5299</v>
      </c>
      <c r="D8" s="414">
        <f>inputPrYr!E25</f>
        <v>9947</v>
      </c>
      <c r="E8" s="328" t="s">
        <v>661</v>
      </c>
    </row>
    <row r="9" spans="2:5" ht="15.75">
      <c r="B9" s="82" t="s">
        <v>683</v>
      </c>
      <c r="C9" s="326">
        <v>131</v>
      </c>
      <c r="D9" s="326">
        <v>150</v>
      </c>
      <c r="E9" s="175"/>
    </row>
    <row r="10" spans="2:5" ht="15.75">
      <c r="B10" s="82" t="s">
        <v>684</v>
      </c>
      <c r="C10" s="326">
        <v>341</v>
      </c>
      <c r="D10" s="326">
        <v>381</v>
      </c>
      <c r="E10" s="267">
        <f>mvalloc!G17</f>
        <v>454</v>
      </c>
    </row>
    <row r="11" spans="2:5" ht="15.75">
      <c r="B11" s="82" t="s">
        <v>685</v>
      </c>
      <c r="C11" s="326">
        <v>5</v>
      </c>
      <c r="D11" s="326">
        <v>7</v>
      </c>
      <c r="E11" s="267">
        <f>mvalloc!I17</f>
        <v>7</v>
      </c>
    </row>
    <row r="12" spans="2:5" ht="15.75">
      <c r="B12" s="82" t="s">
        <v>446</v>
      </c>
      <c r="C12" s="326">
        <v>90</v>
      </c>
      <c r="D12" s="326">
        <v>70</v>
      </c>
      <c r="E12" s="267">
        <f>mvalloc!J17</f>
        <v>79</v>
      </c>
    </row>
    <row r="13" spans="2:5" ht="15.75">
      <c r="B13" s="82" t="s">
        <v>510</v>
      </c>
      <c r="C13" s="326">
        <v>0</v>
      </c>
      <c r="D13" s="326">
        <v>0</v>
      </c>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5866</v>
      </c>
      <c r="D20" s="417">
        <f>SUM(D8:D18)</f>
        <v>10555</v>
      </c>
      <c r="E20" s="335">
        <f>SUM(E8:E18)</f>
        <v>540</v>
      </c>
    </row>
    <row r="21" spans="2:5" ht="15.75">
      <c r="B21" s="100" t="s">
        <v>690</v>
      </c>
      <c r="C21" s="417">
        <f>C20+C6</f>
        <v>5866</v>
      </c>
      <c r="D21" s="417">
        <f>D20+D6</f>
        <v>10555</v>
      </c>
      <c r="E21" s="335">
        <f>E20+E6</f>
        <v>2195</v>
      </c>
    </row>
    <row r="22" spans="2:5" ht="15.75">
      <c r="B22" s="82" t="s">
        <v>691</v>
      </c>
      <c r="C22" s="414"/>
      <c r="D22" s="414"/>
      <c r="E22" s="267"/>
    </row>
    <row r="23" spans="2:5" ht="15.75">
      <c r="B23" s="331" t="s">
        <v>839</v>
      </c>
      <c r="C23" s="326">
        <v>5866</v>
      </c>
      <c r="D23" s="326">
        <v>8900</v>
      </c>
      <c r="E23" s="175">
        <v>8900</v>
      </c>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5866</v>
      </c>
      <c r="D31" s="417">
        <f>SUM(D23:D29)</f>
        <v>8900</v>
      </c>
      <c r="E31" s="335">
        <f>SUM(E23:E29)</f>
        <v>8900</v>
      </c>
    </row>
    <row r="32" spans="2:5" ht="15.75">
      <c r="B32" s="82" t="s">
        <v>466</v>
      </c>
      <c r="C32" s="418">
        <f>C21-C31</f>
        <v>0</v>
      </c>
      <c r="D32" s="418">
        <f>D21-D31</f>
        <v>1655</v>
      </c>
      <c r="E32" s="328" t="s">
        <v>661</v>
      </c>
    </row>
    <row r="33" spans="2:6" ht="15.75">
      <c r="B33" s="121" t="str">
        <f>CONCATENATE("",$E$1-2,"/",$E$1-1," Budget Authority Amount:")</f>
        <v>2011/2012 Budget Authority Amount:</v>
      </c>
      <c r="C33" s="362">
        <f>inputOth!$B88</f>
        <v>8900</v>
      </c>
      <c r="D33" s="85">
        <f>inputPrYr!$D25</f>
        <v>8900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8900</v>
      </c>
    </row>
    <row r="36" spans="2:5" ht="15.75">
      <c r="B36" s="528" t="str">
        <f>CONCATENATE(C80,"     ",D80)</f>
        <v>     </v>
      </c>
      <c r="C36" s="531"/>
      <c r="D36" s="530" t="s">
        <v>694</v>
      </c>
      <c r="E36" s="186">
        <f>IF(E35-E21&gt;0,E35-E21,0)</f>
        <v>6705</v>
      </c>
    </row>
    <row r="37" spans="2:5" ht="15.75">
      <c r="B37" s="216"/>
      <c r="C37" s="529" t="s">
        <v>333</v>
      </c>
      <c r="D37" s="533">
        <f>inputOth!$E$77</f>
        <v>0.07</v>
      </c>
      <c r="E37" s="267">
        <f>ROUND(IF(D37&gt;0,(E36*D37),0),0)</f>
        <v>469</v>
      </c>
    </row>
    <row r="38" spans="2:5" ht="15.75">
      <c r="B38" s="66"/>
      <c r="C38" s="663" t="str">
        <f>CONCATENATE("Amount of  ",$E$1-1," Ad Valorem Tax")</f>
        <v>Amount of  2012 Ad Valorem Tax</v>
      </c>
      <c r="D38" s="664"/>
      <c r="E38" s="186">
        <f>E36+E37</f>
        <v>7174</v>
      </c>
    </row>
    <row r="39" spans="2:5" ht="15.75">
      <c r="B39" s="74" t="s">
        <v>676</v>
      </c>
      <c r="C39" s="72"/>
      <c r="D39" s="72"/>
      <c r="E39" s="72"/>
    </row>
    <row r="40" spans="2:5" ht="15.75">
      <c r="B40" s="66"/>
      <c r="C40" s="412" t="s">
        <v>677</v>
      </c>
      <c r="D40" s="415" t="s">
        <v>678</v>
      </c>
      <c r="E40" s="76" t="s">
        <v>679</v>
      </c>
    </row>
    <row r="41" spans="2:5" ht="15.75">
      <c r="B41" s="514" t="str">
        <f>inputPrYr!B26</f>
        <v>Hall</v>
      </c>
      <c r="C41" s="413" t="str">
        <f>C5</f>
        <v>Actual 2011</v>
      </c>
      <c r="D41" s="413" t="str">
        <f>D5</f>
        <v>Estimate 2012</v>
      </c>
      <c r="E41" s="81" t="str">
        <f>E5</f>
        <v>Year 2013</v>
      </c>
    </row>
    <row r="42" spans="2:5" ht="15.75">
      <c r="B42" s="82" t="s">
        <v>465</v>
      </c>
      <c r="C42" s="326">
        <v>0</v>
      </c>
      <c r="D42" s="414">
        <f>C68</f>
        <v>0</v>
      </c>
      <c r="E42" s="267">
        <f>D68</f>
        <v>1226</v>
      </c>
    </row>
    <row r="43" spans="2:5" ht="15.75">
      <c r="B43" s="82" t="s">
        <v>467</v>
      </c>
      <c r="C43" s="414"/>
      <c r="D43" s="414"/>
      <c r="E43" s="328"/>
    </row>
    <row r="44" spans="2:5" ht="15.75">
      <c r="B44" s="82" t="s">
        <v>682</v>
      </c>
      <c r="C44" s="326">
        <v>4397</v>
      </c>
      <c r="D44" s="414">
        <f>inputPrYr!E26</f>
        <v>7830</v>
      </c>
      <c r="E44" s="328" t="s">
        <v>661</v>
      </c>
    </row>
    <row r="45" spans="2:5" ht="15.75">
      <c r="B45" s="82" t="s">
        <v>683</v>
      </c>
      <c r="C45" s="326">
        <v>132</v>
      </c>
      <c r="D45" s="326">
        <v>125</v>
      </c>
      <c r="E45" s="175">
        <v>125</v>
      </c>
    </row>
    <row r="46" spans="2:5" ht="15.75">
      <c r="B46" s="82" t="s">
        <v>684</v>
      </c>
      <c r="C46" s="326">
        <v>434</v>
      </c>
      <c r="D46" s="326">
        <v>308</v>
      </c>
      <c r="E46" s="267">
        <f>mvalloc!G18</f>
        <v>357</v>
      </c>
    </row>
    <row r="47" spans="2:5" ht="15.75">
      <c r="B47" s="82" t="s">
        <v>685</v>
      </c>
      <c r="C47" s="326">
        <v>7</v>
      </c>
      <c r="D47" s="326">
        <v>6</v>
      </c>
      <c r="E47" s="267">
        <f>mvalloc!I18</f>
        <v>6</v>
      </c>
    </row>
    <row r="48" spans="2:5" ht="15.75">
      <c r="B48" s="82" t="s">
        <v>446</v>
      </c>
      <c r="C48" s="326">
        <v>69</v>
      </c>
      <c r="D48" s="326">
        <v>57</v>
      </c>
      <c r="E48" s="267">
        <f>mvalloc!J18</f>
        <v>62</v>
      </c>
    </row>
    <row r="49" spans="2:5" ht="15.75">
      <c r="B49" s="82" t="s">
        <v>510</v>
      </c>
      <c r="C49" s="326">
        <v>0</v>
      </c>
      <c r="D49" s="326">
        <v>0</v>
      </c>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5039</v>
      </c>
      <c r="D56" s="417">
        <f>SUM(D44:D54)</f>
        <v>8326</v>
      </c>
      <c r="E56" s="335">
        <f>SUM(E44:E54)</f>
        <v>550</v>
      </c>
    </row>
    <row r="57" spans="2:5" ht="15.75">
      <c r="B57" s="100" t="s">
        <v>690</v>
      </c>
      <c r="C57" s="417">
        <f>C56+C42</f>
        <v>5039</v>
      </c>
      <c r="D57" s="417">
        <f>D56+D42</f>
        <v>8326</v>
      </c>
      <c r="E57" s="335">
        <f>E56+E42</f>
        <v>1776</v>
      </c>
    </row>
    <row r="58" spans="2:5" ht="15.75">
      <c r="B58" s="82" t="s">
        <v>691</v>
      </c>
      <c r="C58" s="414"/>
      <c r="D58" s="414"/>
      <c r="E58" s="267"/>
    </row>
    <row r="59" spans="2:5" ht="15.75">
      <c r="B59" s="331" t="s">
        <v>787</v>
      </c>
      <c r="C59" s="326">
        <v>5039</v>
      </c>
      <c r="D59" s="326">
        <v>7100</v>
      </c>
      <c r="E59" s="175">
        <v>7100</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5039</v>
      </c>
      <c r="D67" s="417">
        <f>SUM(D59:D65)</f>
        <v>7100</v>
      </c>
      <c r="E67" s="335">
        <f>SUM(E59:E65)</f>
        <v>7100</v>
      </c>
    </row>
    <row r="68" spans="2:5" ht="15.75">
      <c r="B68" s="82" t="s">
        <v>466</v>
      </c>
      <c r="C68" s="418">
        <f>C57-C67</f>
        <v>0</v>
      </c>
      <c r="D68" s="418">
        <f>D57-D67</f>
        <v>1226</v>
      </c>
      <c r="E68" s="328" t="s">
        <v>661</v>
      </c>
    </row>
    <row r="69" spans="2:6" ht="15.75">
      <c r="B69" s="121" t="str">
        <f>CONCATENATE("",$E$1-2,"/",$E$1-1," Budget Authority Amount:")</f>
        <v>2011/2012 Budget Authority Amount:</v>
      </c>
      <c r="C69" s="362">
        <f>inputOth!$B89</f>
        <v>7100</v>
      </c>
      <c r="D69" s="85">
        <f>inputPrYr!$D26</f>
        <v>7100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7100</v>
      </c>
    </row>
    <row r="72" spans="2:5" ht="15.75">
      <c r="B72" s="528" t="str">
        <f>CONCATENATE(C82,"     ",D82)</f>
        <v>     </v>
      </c>
      <c r="C72" s="531"/>
      <c r="D72" s="530" t="s">
        <v>694</v>
      </c>
      <c r="E72" s="186">
        <f>IF(E71-E57&gt;0,E71-E57,0)</f>
        <v>5324</v>
      </c>
    </row>
    <row r="73" spans="2:5" ht="15.75">
      <c r="B73" s="216"/>
      <c r="C73" s="529" t="s">
        <v>333</v>
      </c>
      <c r="D73" s="533">
        <f>inputOth!$E$77</f>
        <v>0.07</v>
      </c>
      <c r="E73" s="267">
        <f>ROUND(IF(D73&gt;0,(E72*D73),0),0)</f>
        <v>373</v>
      </c>
    </row>
    <row r="74" spans="2:5" ht="15.75">
      <c r="B74" s="66"/>
      <c r="C74" s="663" t="str">
        <f>CONCATENATE("Amount of  ",$E$1-1," Ad Valorem Tax")</f>
        <v>Amount of  2012 Ad Valorem Tax</v>
      </c>
      <c r="D74" s="664"/>
      <c r="E74" s="186">
        <f>E72+E73</f>
        <v>5697</v>
      </c>
    </row>
    <row r="75" spans="2:5" ht="15.75">
      <c r="B75" s="216" t="s">
        <v>675</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20" operator="greaterThan" stopIfTrue="1">
      <formula>$C$707*0.1</formula>
    </cfRule>
  </conditionalFormatting>
  <conditionalFormatting sqref="D65">
    <cfRule type="cellIs" priority="4" dxfId="120" operator="greaterThan" stopIfTrue="1">
      <formula>$D$707*0.1</formula>
    </cfRule>
  </conditionalFormatting>
  <conditionalFormatting sqref="E65">
    <cfRule type="cellIs" priority="5" dxfId="120" operator="greaterThan" stopIfTrue="1">
      <formula>$E$67*0.1</formula>
    </cfRule>
  </conditionalFormatting>
  <conditionalFormatting sqref="C54">
    <cfRule type="cellIs" priority="6" dxfId="120" operator="greaterThan" stopIfTrue="1">
      <formula>$C$56*0.1</formula>
    </cfRule>
  </conditionalFormatting>
  <conditionalFormatting sqref="D54">
    <cfRule type="cellIs" priority="7" dxfId="120" operator="greaterThan" stopIfTrue="1">
      <formula>$D$56*0.1</formula>
    </cfRule>
  </conditionalFormatting>
  <conditionalFormatting sqref="E70">
    <cfRule type="cellIs" priority="8" dxfId="120" operator="greaterThan" stopIfTrue="1">
      <formula>$E$67/0.95-$E$67</formula>
    </cfRule>
  </conditionalFormatting>
  <conditionalFormatting sqref="C29">
    <cfRule type="cellIs" priority="9" dxfId="120" operator="greaterThan" stopIfTrue="1">
      <formula>$C$31*0.1</formula>
    </cfRule>
  </conditionalFormatting>
  <conditionalFormatting sqref="D29">
    <cfRule type="cellIs" priority="10" dxfId="120" operator="greaterThan" stopIfTrue="1">
      <formula>$D$31*0.1</formula>
    </cfRule>
  </conditionalFormatting>
  <conditionalFormatting sqref="E29">
    <cfRule type="cellIs" priority="11" dxfId="120" operator="greaterThan" stopIfTrue="1">
      <formula>$E$31*0.1</formula>
    </cfRule>
  </conditionalFormatting>
  <conditionalFormatting sqref="C18">
    <cfRule type="cellIs" priority="12" dxfId="120" operator="greaterThan" stopIfTrue="1">
      <formula>$C$20*0.1</formula>
    </cfRule>
  </conditionalFormatting>
  <conditionalFormatting sqref="D18">
    <cfRule type="cellIs" priority="13" dxfId="120" operator="greaterThan" stopIfTrue="1">
      <formula>$D$20*0.1</formula>
    </cfRule>
  </conditionalFormatting>
  <conditionalFormatting sqref="E34">
    <cfRule type="cellIs" priority="14" dxfId="120" operator="greaterThan" stopIfTrue="1">
      <formula>$E$31/0.95-$E$31</formula>
    </cfRule>
  </conditionalFormatting>
  <conditionalFormatting sqref="C68 C32">
    <cfRule type="cellIs" priority="15" dxfId="120" operator="lessThan" stopIfTrue="1">
      <formula>0</formula>
    </cfRule>
  </conditionalFormatting>
  <conditionalFormatting sqref="E18">
    <cfRule type="cellIs" priority="20" dxfId="120" operator="greaterThan" stopIfTrue="1">
      <formula>$E$20*0.1+$E$38</formula>
    </cfRule>
  </conditionalFormatting>
  <conditionalFormatting sqref="E54">
    <cfRule type="cellIs" priority="21" dxfId="120" operator="greaterThan" stopIfTrue="1">
      <formula>$E$56*0.1+$E$74</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0.07</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20" operator="greaterThan" stopIfTrue="1">
      <formula>$C$67*0.1</formula>
    </cfRule>
  </conditionalFormatting>
  <conditionalFormatting sqref="D65">
    <cfRule type="cellIs" priority="4" dxfId="120" operator="greaterThan" stopIfTrue="1">
      <formula>$D$67*0.1</formula>
    </cfRule>
  </conditionalFormatting>
  <conditionalFormatting sqref="E65">
    <cfRule type="cellIs" priority="5" dxfId="120" operator="greaterThan" stopIfTrue="1">
      <formula>$E$67*0.1</formula>
    </cfRule>
  </conditionalFormatting>
  <conditionalFormatting sqref="C54">
    <cfRule type="cellIs" priority="6" dxfId="120" operator="greaterThan" stopIfTrue="1">
      <formula>$C$56*0.1</formula>
    </cfRule>
  </conditionalFormatting>
  <conditionalFormatting sqref="D54">
    <cfRule type="cellIs" priority="7" dxfId="120" operator="greaterThan" stopIfTrue="1">
      <formula>$D$56*0.1</formula>
    </cfRule>
  </conditionalFormatting>
  <conditionalFormatting sqref="E70">
    <cfRule type="cellIs" priority="8" dxfId="120" operator="greaterThan" stopIfTrue="1">
      <formula>$E$67/0.95-$E$67</formula>
    </cfRule>
  </conditionalFormatting>
  <conditionalFormatting sqref="C29">
    <cfRule type="cellIs" priority="9" dxfId="120" operator="greaterThan" stopIfTrue="1">
      <formula>$C$31*0.1</formula>
    </cfRule>
  </conditionalFormatting>
  <conditionalFormatting sqref="D29">
    <cfRule type="cellIs" priority="10" dxfId="120" operator="greaterThan" stopIfTrue="1">
      <formula>$D$31*0.1</formula>
    </cfRule>
  </conditionalFormatting>
  <conditionalFormatting sqref="E29">
    <cfRule type="cellIs" priority="11" dxfId="120" operator="greaterThan" stopIfTrue="1">
      <formula>$E$31*0.1</formula>
    </cfRule>
  </conditionalFormatting>
  <conditionalFormatting sqref="C18">
    <cfRule type="cellIs" priority="12" dxfId="120" operator="greaterThan" stopIfTrue="1">
      <formula>$C$20*0.1</formula>
    </cfRule>
  </conditionalFormatting>
  <conditionalFormatting sqref="D18">
    <cfRule type="cellIs" priority="13" dxfId="120" operator="greaterThan" stopIfTrue="1">
      <formula>$D$20*0.1</formula>
    </cfRule>
  </conditionalFormatting>
  <conditionalFormatting sqref="E34">
    <cfRule type="cellIs" priority="14" dxfId="120" operator="greaterThan" stopIfTrue="1">
      <formula>$E$31/0.95-$E$31</formula>
    </cfRule>
  </conditionalFormatting>
  <conditionalFormatting sqref="C68 C32">
    <cfRule type="cellIs" priority="15" dxfId="120" operator="lessThan" stopIfTrue="1">
      <formula>0</formula>
    </cfRule>
  </conditionalFormatting>
  <conditionalFormatting sqref="E18">
    <cfRule type="cellIs" priority="20" dxfId="120" operator="greaterThan" stopIfTrue="1">
      <formula>$E$20*0.1+$E$38</formula>
    </cfRule>
  </conditionalFormatting>
  <conditionalFormatting sqref="E54">
    <cfRule type="cellIs" priority="21" dxfId="120" operator="greaterThan" stopIfTrue="1">
      <formula>$E$56*0.1+$E$74</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Louisburg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0.07</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0.07</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20" operator="greaterThan" stopIfTrue="1">
      <formula>$C$67*0.1</formula>
    </cfRule>
  </conditionalFormatting>
  <conditionalFormatting sqref="D65">
    <cfRule type="cellIs" priority="4" dxfId="120" operator="greaterThan" stopIfTrue="1">
      <formula>$D$67*0.1</formula>
    </cfRule>
  </conditionalFormatting>
  <conditionalFormatting sqref="E65">
    <cfRule type="cellIs" priority="5" dxfId="120" operator="greaterThan" stopIfTrue="1">
      <formula>$E$67*0.1</formula>
    </cfRule>
  </conditionalFormatting>
  <conditionalFormatting sqref="C54">
    <cfRule type="cellIs" priority="6" dxfId="120" operator="greaterThan" stopIfTrue="1">
      <formula>$C$56*0.1</formula>
    </cfRule>
  </conditionalFormatting>
  <conditionalFormatting sqref="D54">
    <cfRule type="cellIs" priority="7" dxfId="120" operator="greaterThan" stopIfTrue="1">
      <formula>$D$56*0.1</formula>
    </cfRule>
  </conditionalFormatting>
  <conditionalFormatting sqref="E70">
    <cfRule type="cellIs" priority="8" dxfId="120" operator="greaterThan" stopIfTrue="1">
      <formula>$E$67/0.95-$E$67</formula>
    </cfRule>
  </conditionalFormatting>
  <conditionalFormatting sqref="C29">
    <cfRule type="cellIs" priority="9" dxfId="120" operator="greaterThan" stopIfTrue="1">
      <formula>$C$31*0.1</formula>
    </cfRule>
  </conditionalFormatting>
  <conditionalFormatting sqref="D29">
    <cfRule type="cellIs" priority="10" dxfId="120" operator="greaterThan" stopIfTrue="1">
      <formula>$D$31*0.1</formula>
    </cfRule>
  </conditionalFormatting>
  <conditionalFormatting sqref="E29">
    <cfRule type="cellIs" priority="11" dxfId="120" operator="greaterThan" stopIfTrue="1">
      <formula>$E$31*0.1</formula>
    </cfRule>
  </conditionalFormatting>
  <conditionalFormatting sqref="C18">
    <cfRule type="cellIs" priority="12" dxfId="120" operator="greaterThan" stopIfTrue="1">
      <formula>$C$20*0.1</formula>
    </cfRule>
  </conditionalFormatting>
  <conditionalFormatting sqref="D18">
    <cfRule type="cellIs" priority="13" dxfId="120" operator="greaterThan" stopIfTrue="1">
      <formula>$D$20*0.1</formula>
    </cfRule>
  </conditionalFormatting>
  <conditionalFormatting sqref="E34">
    <cfRule type="cellIs" priority="14" dxfId="120" operator="greaterThan" stopIfTrue="1">
      <formula>$E$31/0.95-$E$31</formula>
    </cfRule>
  </conditionalFormatting>
  <conditionalFormatting sqref="C68 C32">
    <cfRule type="cellIs" priority="15" dxfId="120" operator="lessThan" stopIfTrue="1">
      <formula>0</formula>
    </cfRule>
  </conditionalFormatting>
  <conditionalFormatting sqref="E18">
    <cfRule type="cellIs" priority="20" dxfId="120" operator="greaterThan" stopIfTrue="1">
      <formula>$E$20*0.1+$E$38</formula>
    </cfRule>
  </conditionalFormatting>
  <conditionalFormatting sqref="E54">
    <cfRule type="cellIs" priority="21" dxfId="120" operator="greaterThan" stopIfTrue="1">
      <formula>$E$56*0.1+$E$74</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Louisburg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20" operator="greaterThan" stopIfTrue="1">
      <formula>$C$15*0.1</formula>
    </cfRule>
  </conditionalFormatting>
  <conditionalFormatting sqref="D13">
    <cfRule type="cellIs" priority="12" dxfId="120" operator="greaterThan" stopIfTrue="1">
      <formula>$D$15*0.1</formula>
    </cfRule>
  </conditionalFormatting>
  <conditionalFormatting sqref="E13">
    <cfRule type="cellIs" priority="13" dxfId="120" operator="greaterThan" stopIfTrue="1">
      <formula>$E$15*0.1</formula>
    </cfRule>
  </conditionalFormatting>
  <conditionalFormatting sqref="C26">
    <cfRule type="cellIs" priority="14" dxfId="120" operator="greaterThan" stopIfTrue="1">
      <formula>$C$28*0.1</formula>
    </cfRule>
  </conditionalFormatting>
  <conditionalFormatting sqref="D26">
    <cfRule type="cellIs" priority="15" dxfId="120" operator="greaterThan" stopIfTrue="1">
      <formula>$D$28*0.1</formula>
    </cfRule>
  </conditionalFormatting>
  <conditionalFormatting sqref="E26">
    <cfRule type="cellIs" priority="16" dxfId="120" operator="greaterThan" stopIfTrue="1">
      <formula>$E$28*0.1</formula>
    </cfRule>
  </conditionalFormatting>
  <conditionalFormatting sqref="C57">
    <cfRule type="cellIs" priority="17" dxfId="120" operator="greaterThan" stopIfTrue="1">
      <formula>$C$59*0.1</formula>
    </cfRule>
  </conditionalFormatting>
  <conditionalFormatting sqref="D57">
    <cfRule type="cellIs" priority="18" dxfId="120" operator="greaterThan" stopIfTrue="1">
      <formula>$D$59*0.1</formula>
    </cfRule>
  </conditionalFormatting>
  <conditionalFormatting sqref="E57">
    <cfRule type="cellIs" priority="19" dxfId="120" operator="greaterThan" stopIfTrue="1">
      <formula>$E$59*0.1</formula>
    </cfRule>
  </conditionalFormatting>
  <conditionalFormatting sqref="C44">
    <cfRule type="cellIs" priority="20" dxfId="120" operator="greaterThan" stopIfTrue="1">
      <formula>$C$46*0.1</formula>
    </cfRule>
  </conditionalFormatting>
  <conditionalFormatting sqref="D44">
    <cfRule type="cellIs" priority="21" dxfId="120" operator="greaterThan" stopIfTrue="1">
      <formula>$D$46*0.1</formula>
    </cfRule>
  </conditionalFormatting>
  <conditionalFormatting sqref="E44">
    <cfRule type="cellIs" priority="22" dxfId="120" operator="greaterThan" stopIfTrue="1">
      <formula>$E$46*0.1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Louisburg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20" operator="greaterThan" stopIfTrue="1">
      <formula>$C$28*0.1</formula>
    </cfRule>
  </conditionalFormatting>
  <conditionalFormatting sqref="D26">
    <cfRule type="cellIs" priority="12" dxfId="120" operator="greaterThan" stopIfTrue="1">
      <formula>$D$28*0.1</formula>
    </cfRule>
  </conditionalFormatting>
  <conditionalFormatting sqref="E26">
    <cfRule type="cellIs" priority="13" dxfId="120" operator="greaterThan" stopIfTrue="1">
      <formula>$E$28*0.1</formula>
    </cfRule>
  </conditionalFormatting>
  <conditionalFormatting sqref="C57">
    <cfRule type="cellIs" priority="14" dxfId="120" operator="greaterThan" stopIfTrue="1">
      <formula>$C$59*0.1</formula>
    </cfRule>
  </conditionalFormatting>
  <conditionalFormatting sqref="D57">
    <cfRule type="cellIs" priority="15" dxfId="120" operator="greaterThan" stopIfTrue="1">
      <formula>$D$59*0.1</formula>
    </cfRule>
  </conditionalFormatting>
  <conditionalFormatting sqref="E57">
    <cfRule type="cellIs" priority="16" dxfId="120" operator="greaterThan" stopIfTrue="1">
      <formula>$E$59*0.1</formula>
    </cfRule>
  </conditionalFormatting>
  <conditionalFormatting sqref="C44">
    <cfRule type="cellIs" priority="17" dxfId="120" operator="greaterThan" stopIfTrue="1">
      <formula>$C$46*0.1</formula>
    </cfRule>
  </conditionalFormatting>
  <conditionalFormatting sqref="D44">
    <cfRule type="cellIs" priority="18" dxfId="120" operator="greaterThan" stopIfTrue="1">
      <formula>$D$46*0.1</formula>
    </cfRule>
  </conditionalFormatting>
  <conditionalFormatting sqref="E44">
    <cfRule type="cellIs" priority="19" dxfId="120" operator="greaterThan" stopIfTrue="1">
      <formula>$E$46*0.1</formula>
    </cfRule>
  </conditionalFormatting>
  <conditionalFormatting sqref="C13">
    <cfRule type="cellIs" priority="20" dxfId="120" operator="greaterThan" stopIfTrue="1">
      <formula>$C$15*0.1</formula>
    </cfRule>
  </conditionalFormatting>
  <conditionalFormatting sqref="D13">
    <cfRule type="cellIs" priority="21" dxfId="120" operator="greaterThan" stopIfTrue="1">
      <formula>$D$15*0.1</formula>
    </cfRule>
  </conditionalFormatting>
  <conditionalFormatting sqref="E13">
    <cfRule type="cellIs" priority="22" dxfId="120" operator="greaterThan" stopIfTrue="1">
      <formula>$E$15*0.1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4">
      <selection activeCell="G65" sqref="G65"/>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t="s">
        <v>835</v>
      </c>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5575</v>
      </c>
      <c r="E20" s="175">
        <v>5220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v>8900</v>
      </c>
      <c r="E25" s="175">
        <v>9947</v>
      </c>
    </row>
    <row r="26" spans="1:5" ht="15.75">
      <c r="A26" s="66"/>
      <c r="B26" s="177" t="s">
        <v>837</v>
      </c>
      <c r="C26" s="511" t="s">
        <v>836</v>
      </c>
      <c r="D26" s="175">
        <v>7100</v>
      </c>
      <c r="E26" s="175">
        <v>7830</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22997</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21575</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0.538</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0.776</v>
      </c>
      <c r="E53" s="66"/>
    </row>
    <row r="54" spans="1:5" ht="15.75">
      <c r="A54" s="66"/>
      <c r="B54" s="108" t="str">
        <f t="shared" si="0"/>
        <v>Hall</v>
      </c>
      <c r="C54" s="66"/>
      <c r="D54" s="189">
        <v>0.583</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1.897</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21575</v>
      </c>
    </row>
    <row r="62" spans="1:5" ht="15.75">
      <c r="A62" s="192" t="str">
        <f>CONCATENATE("Assessed Valuation (",D9-2," budget column):")</f>
        <v>Assessed Valuation (2011 budget column):</v>
      </c>
      <c r="B62" s="168"/>
      <c r="C62" s="66"/>
      <c r="D62" s="66"/>
      <c r="E62" s="193">
        <v>11341725</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v>0</v>
      </c>
    </row>
    <row r="66" spans="1:5" ht="15.75">
      <c r="A66" s="199" t="s">
        <v>562</v>
      </c>
      <c r="B66" s="199"/>
      <c r="C66" s="200"/>
      <c r="D66" s="185"/>
      <c r="E66" s="185">
        <v>0</v>
      </c>
    </row>
    <row r="67" spans="1:5" ht="15.75">
      <c r="A67" s="199" t="s">
        <v>514</v>
      </c>
      <c r="B67" s="199"/>
      <c r="C67" s="200"/>
      <c r="D67" s="185"/>
      <c r="E67" s="185">
        <v>0</v>
      </c>
    </row>
    <row r="68" spans="1:5" ht="15.75">
      <c r="A68" s="199"/>
      <c r="B68" s="199"/>
      <c r="C68" s="201"/>
      <c r="D68" s="185"/>
      <c r="E68" s="185">
        <v>0</v>
      </c>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Louisburg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3">
      <selection activeCell="E17" sqref="E17"/>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44" t="s">
        <v>705</v>
      </c>
      <c r="B3" s="644"/>
      <c r="C3" s="644"/>
      <c r="D3" s="644"/>
      <c r="E3" s="644"/>
      <c r="F3" s="644"/>
      <c r="G3" s="644"/>
      <c r="H3" s="644"/>
    </row>
    <row r="4" spans="1:8" ht="15.75">
      <c r="A4" s="679" t="str">
        <f>inputPrYr!D3</f>
        <v>Louisburg Township</v>
      </c>
      <c r="B4" s="679"/>
      <c r="C4" s="679"/>
      <c r="D4" s="679"/>
      <c r="E4" s="679"/>
      <c r="F4" s="679"/>
      <c r="G4" s="679"/>
      <c r="H4" s="679"/>
    </row>
    <row r="5" spans="1:8" ht="15.75">
      <c r="A5" s="679" t="str">
        <f>inputPrYr!D4</f>
        <v>Montgomery County</v>
      </c>
      <c r="B5" s="679"/>
      <c r="C5" s="679"/>
      <c r="D5" s="679"/>
      <c r="E5" s="679"/>
      <c r="F5" s="679"/>
      <c r="G5" s="679"/>
      <c r="H5" s="679"/>
    </row>
    <row r="6" spans="1:8" ht="15.75">
      <c r="A6" s="678" t="str">
        <f>CONCATENATE("will meet on ",inputBudSum!B5," at ",inputBudSum!B7," at ",inputBudSum!B9," for the purpose of hearing and")</f>
        <v>will meet on August 14, 2012 at 12:00 PM at Louisburg Fire Barn, Elk City, KS for the purpose of hearing and</v>
      </c>
      <c r="B6" s="678"/>
      <c r="C6" s="678"/>
      <c r="D6" s="678"/>
      <c r="E6" s="678"/>
      <c r="F6" s="678"/>
      <c r="G6" s="678"/>
      <c r="H6" s="678"/>
    </row>
    <row r="7" spans="1:8" ht="15.75">
      <c r="A7" s="70" t="s">
        <v>824</v>
      </c>
      <c r="B7" s="67"/>
      <c r="C7" s="67"/>
      <c r="D7" s="67"/>
      <c r="E7" s="67"/>
      <c r="F7" s="67"/>
      <c r="G7" s="67"/>
      <c r="H7" s="67"/>
    </row>
    <row r="8" spans="1:8" ht="15.75">
      <c r="A8" s="649" t="str">
        <f>CONCATENATE("Detailed budget information is available at ",inputBudSum!B12," and will be available at this hearing.")</f>
        <v>Detailed budget information is available at Montgomery County Clerk's Office, Courthouse, Independence and will be available at this hearing.</v>
      </c>
      <c r="B8" s="636"/>
      <c r="C8" s="636"/>
      <c r="D8" s="636"/>
      <c r="E8" s="636"/>
      <c r="F8" s="636"/>
      <c r="G8" s="636"/>
      <c r="H8" s="636"/>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41" t="str">
        <f>CONCATENATE("Amount of ",H1-1," Ad Valorem Tax")</f>
        <v>Amount of 2012 Ad Valorem Tax</v>
      </c>
      <c r="H14" s="76" t="s">
        <v>706</v>
      </c>
      <c r="I14" s="203"/>
    </row>
    <row r="15" spans="1:9" ht="15.75">
      <c r="A15" s="66"/>
      <c r="B15" s="78"/>
      <c r="C15" s="78" t="s">
        <v>707</v>
      </c>
      <c r="D15" s="78"/>
      <c r="E15" s="78" t="s">
        <v>707</v>
      </c>
      <c r="F15" s="524" t="s">
        <v>578</v>
      </c>
      <c r="G15" s="676"/>
      <c r="H15" s="78" t="s">
        <v>707</v>
      </c>
      <c r="I15" s="203"/>
    </row>
    <row r="16" spans="1:10" ht="15.75">
      <c r="A16" s="211" t="s">
        <v>657</v>
      </c>
      <c r="B16" s="81" t="s">
        <v>708</v>
      </c>
      <c r="C16" s="81" t="s">
        <v>709</v>
      </c>
      <c r="D16" s="81" t="s">
        <v>708</v>
      </c>
      <c r="E16" s="81" t="s">
        <v>709</v>
      </c>
      <c r="F16" s="523" t="s">
        <v>330</v>
      </c>
      <c r="G16" s="677"/>
      <c r="H16" s="81" t="s">
        <v>709</v>
      </c>
      <c r="I16" s="203"/>
      <c r="J16" s="581"/>
    </row>
    <row r="17" spans="1:10" ht="15.75">
      <c r="A17" s="92" t="str">
        <f>inputPrYr!B20</f>
        <v>General</v>
      </c>
      <c r="B17" s="92">
        <f>IF(gen!$C$46&lt;&gt;0,gen!$C$46,"  ")</f>
        <v>4516.72</v>
      </c>
      <c r="C17" s="95">
        <f>IF(inputPrYr!D48&gt;0,inputPrYr!D48,"  ")</f>
        <v>0.538</v>
      </c>
      <c r="D17" s="92">
        <f>IF(gen!$D$46&lt;&gt;0,gen!$D$46,"  ")</f>
        <v>5575</v>
      </c>
      <c r="E17" s="95">
        <f>IF(inputOth!D37&gt;0,inputOth!D37,"  ")</f>
        <v>0.404</v>
      </c>
      <c r="F17" s="92">
        <f>IF(gen!$E$46&lt;&gt;0,gen!$E$46,"  ")</f>
        <v>5575</v>
      </c>
      <c r="G17" s="92">
        <f>IF(gen!$E$53&lt;&gt;0,gen!$E$53,"")</f>
        <v>5624.47</v>
      </c>
      <c r="H17" s="95">
        <f>IF(gen!E53&gt;0,ROUND(G17/F38*1000,3)," ")</f>
        <v>0.566</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IF(levypage10!$C$31&lt;&gt;0,levypage10!$C$31,"  ")</f>
        <v>5866</v>
      </c>
      <c r="C22" s="95">
        <f>IF(inputPrYr!D53&gt;0,inputPrYr!D53,"  ")</f>
        <v>0.776</v>
      </c>
      <c r="D22" s="92">
        <f>IF(levypage10!$D$31&lt;&gt;0,levypage10!$D$31,"  ")</f>
        <v>8900</v>
      </c>
      <c r="E22" s="95">
        <f>IF(inputOth!D42&gt;0,inputOth!D42,"  ")</f>
        <v>0.817</v>
      </c>
      <c r="F22" s="92">
        <f>IF(levypage10!$E$31&lt;&gt;0,levypage10!$E$31,"  ")</f>
        <v>8900</v>
      </c>
      <c r="G22" s="92">
        <f>IF(levypage10!$E$38&lt;&gt;0,levypage10!$E$38,"  ")</f>
        <v>7174</v>
      </c>
      <c r="H22" s="95">
        <f>IF(levypage10!E38&gt;0,ROUND(G22/F39*1000,3)," ")</f>
        <v>0.779</v>
      </c>
      <c r="J22" s="681" t="str">
        <f>CONCATENATE("Estimated Value Of One Mill For ",H1,"")</f>
        <v>Estimated Value Of One Mill For 2013</v>
      </c>
      <c r="K22" s="686"/>
      <c r="L22" s="686"/>
      <c r="M22" s="687"/>
    </row>
    <row r="23" spans="1:13" ht="15.75">
      <c r="A23" s="92" t="str">
        <f>IF(inputPrYr!$B26&gt;"  ",inputPrYr!$B26,"  ")</f>
        <v>Hall</v>
      </c>
      <c r="B23" s="92">
        <f>IF(levypage10!$C$67&lt;&gt;0,levypage10!$C$67,"  ")</f>
        <v>5039</v>
      </c>
      <c r="C23" s="95">
        <f>IF(inputPrYr!D54&gt;0,inputPrYr!D54,"  ")</f>
        <v>0.583</v>
      </c>
      <c r="D23" s="92">
        <f>IF(levypage10!$D$67&lt;&gt;0,levypage10!$D$67,"  ")</f>
        <v>7100</v>
      </c>
      <c r="E23" s="95">
        <f>IF(inputOth!D43&gt;0,inputOth!D43,"  ")</f>
        <v>0.606</v>
      </c>
      <c r="F23" s="92">
        <f>IF(levypage10!$E$67&lt;&gt;0,levypage10!$E$67,"  ")</f>
        <v>7100</v>
      </c>
      <c r="G23" s="92">
        <f>IF(levypage10!$E$74&lt;&gt;0,levypage10!$E$74,"  ")</f>
        <v>5697</v>
      </c>
      <c r="H23" s="95">
        <f>IF(levypage10!E74&gt;0,ROUND(G23/F38*1000,3)," ")</f>
        <v>0.573</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9945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9210</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81" t="str">
        <f>CONCATENATE("Want The Mill Rate The Same As For ",H1-1,"?")</f>
        <v>Want The Mill Rate The Same As For 2012?</v>
      </c>
      <c r="K27" s="682"/>
      <c r="L27" s="682"/>
      <c r="M27" s="68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1.827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351</v>
      </c>
    </row>
    <row r="32" spans="1:13" ht="15.75">
      <c r="A32" s="92" t="str">
        <f>IF((inputPrYr!$B40&gt;"  "),(nonbud!$A3),"  ")</f>
        <v>  </v>
      </c>
      <c r="B32" s="267" t="str">
        <f>IF((nonbud!$K$28)&lt;&gt;0,(nonbud!$K$28),"  ")</f>
        <v>  </v>
      </c>
      <c r="C32" s="362"/>
      <c r="D32" s="92"/>
      <c r="E32" s="95"/>
      <c r="F32" s="92"/>
      <c r="G32" s="92"/>
      <c r="H32" s="95"/>
      <c r="J32" s="570" t="s">
        <v>350</v>
      </c>
      <c r="K32" s="558"/>
      <c r="L32" s="558"/>
      <c r="M32" s="569">
        <f>M44*-1</f>
        <v>-1276.4700000000012</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15421.720000000001</v>
      </c>
      <c r="C34" s="504">
        <f t="shared" si="0"/>
        <v>1.897</v>
      </c>
      <c r="D34" s="503">
        <f t="shared" si="0"/>
        <v>21575</v>
      </c>
      <c r="E34" s="504">
        <f t="shared" si="0"/>
        <v>1.827</v>
      </c>
      <c r="F34" s="503">
        <f t="shared" si="0"/>
        <v>21575</v>
      </c>
      <c r="G34" s="503">
        <f t="shared" si="0"/>
        <v>18495.47</v>
      </c>
      <c r="H34" s="504">
        <f t="shared" si="0"/>
        <v>1.918</v>
      </c>
      <c r="J34" s="681" t="str">
        <f>CONCATENATE("Impact On Keeping The Same Mill Rate As For ",H1-1,"")</f>
        <v>Impact On Keeping The Same Mill Rate As For 2012</v>
      </c>
      <c r="K34" s="684"/>
      <c r="L34" s="684"/>
      <c r="M34" s="685"/>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15421.720000000001</v>
      </c>
      <c r="C36" s="66"/>
      <c r="D36" s="507">
        <f>D34-D35</f>
        <v>21575</v>
      </c>
      <c r="E36" s="66"/>
      <c r="F36" s="507">
        <f>F34-F35</f>
        <v>21575</v>
      </c>
      <c r="G36" s="66"/>
      <c r="H36" s="66"/>
      <c r="J36" s="576" t="str">
        <f>CONCATENATE("",H1," Ad Valorem Tax Rev(Township Only):")</f>
        <v>2013 Ad Valorem Tax Rev(Township Only):</v>
      </c>
      <c r="K36" s="10"/>
      <c r="L36" s="10"/>
      <c r="M36" s="579">
        <f>SUM(G19:G22)</f>
        <v>7174</v>
      </c>
    </row>
    <row r="37" spans="1:13" ht="16.5" thickTop="1">
      <c r="A37" s="108" t="s">
        <v>392</v>
      </c>
      <c r="B37" s="236">
        <f>inputPrYr!E61</f>
        <v>21575</v>
      </c>
      <c r="C37" s="213"/>
      <c r="D37" s="236">
        <f>inputPrYr!E31</f>
        <v>22997</v>
      </c>
      <c r="E37" s="66"/>
      <c r="F37" s="508" t="s">
        <v>661</v>
      </c>
      <c r="G37" s="66"/>
      <c r="H37" s="66"/>
      <c r="J37" s="576" t="str">
        <f>CONCATENATE("",H1," Ad Valorem Tax Rev(Township Tot):")</f>
        <v>2013 Ad Valorem Tax Rev(Township Tot):</v>
      </c>
      <c r="K37" s="10"/>
      <c r="L37" s="10"/>
      <c r="M37" s="592">
        <f>SUM(G17,G18,G23,G24,G25,G26,G27)</f>
        <v>11321.470000000001</v>
      </c>
    </row>
    <row r="38" spans="1:13" ht="15.75">
      <c r="A38" s="108" t="s">
        <v>585</v>
      </c>
      <c r="B38" s="92">
        <f>inputPrYr!E62</f>
        <v>11341725</v>
      </c>
      <c r="C38" s="213"/>
      <c r="D38" s="92">
        <f>inputOth!E54</f>
        <v>12927871</v>
      </c>
      <c r="E38" s="213"/>
      <c r="F38" s="92">
        <f>inputOth!E11</f>
        <v>9945148</v>
      </c>
      <c r="G38" s="66"/>
      <c r="H38" s="66"/>
      <c r="J38" s="576" t="str">
        <f>CONCATENATE("Total ",H1," Ad Valorem Tax Revenue:")</f>
        <v>Total 2013 Ad Valorem Tax Revenue:</v>
      </c>
      <c r="K38" s="73"/>
      <c r="L38" s="73"/>
      <c r="M38" s="593">
        <f>M36+M37</f>
        <v>18495.47</v>
      </c>
    </row>
    <row r="39" spans="1:14" ht="15.75">
      <c r="A39" s="82" t="s">
        <v>641</v>
      </c>
      <c r="B39" s="214"/>
      <c r="C39" s="66"/>
      <c r="D39" s="182"/>
      <c r="E39" s="66"/>
      <c r="F39" s="92">
        <f>inputOth!E8</f>
        <v>9210137</v>
      </c>
      <c r="G39" s="66"/>
      <c r="H39" s="66"/>
      <c r="J39" s="576" t="str">
        <f>CONCATENATE("",H1-1," Ad Valorem Tax Rev(Township Only):")</f>
        <v>2012 Ad Valorem Tax Rev(Township Only):</v>
      </c>
      <c r="K39" s="10"/>
      <c r="L39" s="10"/>
      <c r="M39" s="594">
        <f>ROUND(SUM(E19:E22)*F39/1000,0)</f>
        <v>7525</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10045</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17570</v>
      </c>
      <c r="O41" s="586"/>
    </row>
    <row r="42" spans="1:13" ht="15.75">
      <c r="A42" s="74" t="s">
        <v>394</v>
      </c>
      <c r="B42" s="215">
        <f>H1-3</f>
        <v>2010</v>
      </c>
      <c r="C42" s="66"/>
      <c r="D42" s="215">
        <f>H1-2</f>
        <v>2011</v>
      </c>
      <c r="E42" s="66"/>
      <c r="F42" s="215">
        <f>H1-1</f>
        <v>2012</v>
      </c>
      <c r="G42" s="66"/>
      <c r="H42" s="66"/>
      <c r="J42" s="573" t="s">
        <v>340</v>
      </c>
      <c r="K42" s="572"/>
      <c r="L42" s="572"/>
      <c r="M42" s="571">
        <f>M38-M41</f>
        <v>925.4700000000012</v>
      </c>
    </row>
    <row r="43" spans="1:13" ht="15.75">
      <c r="A43" s="74" t="s">
        <v>395</v>
      </c>
      <c r="B43" s="85">
        <f>inputPrYr!D65</f>
        <v>0</v>
      </c>
      <c r="C43" s="71"/>
      <c r="D43" s="85">
        <f>inputPrYr!E65</f>
        <v>0</v>
      </c>
      <c r="E43" s="71"/>
      <c r="F43" s="85">
        <f>debt!E11</f>
        <v>0</v>
      </c>
      <c r="G43" s="66"/>
      <c r="H43" s="66"/>
      <c r="J43" s="597" t="s">
        <v>345</v>
      </c>
      <c r="K43" s="598"/>
      <c r="L43" s="598"/>
      <c r="M43" s="593">
        <f>M36-M39</f>
        <v>-351</v>
      </c>
    </row>
    <row r="44" spans="1:13" ht="15.75">
      <c r="A44" s="74" t="s">
        <v>687</v>
      </c>
      <c r="B44" s="85">
        <f>inputPrYr!D66</f>
        <v>0</v>
      </c>
      <c r="C44" s="71"/>
      <c r="D44" s="85">
        <f>inputPrYr!E66</f>
        <v>0</v>
      </c>
      <c r="E44" s="71"/>
      <c r="F44" s="85">
        <f>debt!E15</f>
        <v>0</v>
      </c>
      <c r="G44" s="66"/>
      <c r="H44" s="66"/>
      <c r="J44" s="570" t="s">
        <v>344</v>
      </c>
      <c r="K44" s="558"/>
      <c r="L44" s="558"/>
      <c r="M44" s="569">
        <f>M37-M40</f>
        <v>1276.4700000000012</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81" t="s">
        <v>341</v>
      </c>
      <c r="K46" s="682"/>
      <c r="L46" s="682"/>
      <c r="M46" s="683"/>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80"/>
      <c r="B49" s="680"/>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8</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28">
      <selection activeCell="D35" sqref="D35"/>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Louisburg Township</v>
      </c>
      <c r="B1" s="66"/>
      <c r="C1" s="66"/>
      <c r="D1" s="66"/>
      <c r="E1" s="66"/>
      <c r="F1" s="66">
        <f>inputPrYr!D9</f>
        <v>2013</v>
      </c>
    </row>
    <row r="2" spans="1:6" ht="15.75">
      <c r="A2" s="66"/>
      <c r="B2" s="66"/>
      <c r="C2" s="66"/>
      <c r="D2" s="66"/>
      <c r="E2" s="66"/>
      <c r="F2" s="66"/>
    </row>
    <row r="3" spans="1:6" ht="15.75">
      <c r="A3" s="66"/>
      <c r="B3" s="640" t="str">
        <f>CONCATENATE("",F1," Neighborhood Revitalization Rebate")</f>
        <v>2013 Neighborhood Revitalization Rebate</v>
      </c>
      <c r="C3" s="645"/>
      <c r="D3" s="645"/>
      <c r="E3" s="645"/>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9945148</v>
      </c>
      <c r="E20" s="66"/>
      <c r="F20" s="196"/>
    </row>
    <row r="21" spans="1:6" ht="15.75">
      <c r="A21" s="66"/>
      <c r="B21" s="66"/>
      <c r="C21" s="66"/>
      <c r="D21" s="66"/>
      <c r="E21" s="66"/>
      <c r="F21" s="196"/>
    </row>
    <row r="22" spans="1:6" ht="15.75">
      <c r="A22" s="66"/>
      <c r="B22" s="690" t="s">
        <v>782</v>
      </c>
      <c r="C22" s="690"/>
      <c r="D22" s="372">
        <f>IF(D20&gt;0,(D20*0.001),"")</f>
        <v>9945.148000000001</v>
      </c>
      <c r="E22" s="66"/>
      <c r="F22" s="196"/>
    </row>
    <row r="23" spans="1:6" ht="15.75">
      <c r="A23" s="66"/>
      <c r="B23" s="121"/>
      <c r="C23" s="121"/>
      <c r="D23" s="373"/>
      <c r="E23" s="66"/>
      <c r="F23" s="196"/>
    </row>
    <row r="24" spans="1:6" ht="15.75">
      <c r="A24" s="688" t="s">
        <v>783</v>
      </c>
      <c r="B24" s="636"/>
      <c r="C24" s="636"/>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5" t="s">
        <v>476</v>
      </c>
      <c r="B1" s="695"/>
      <c r="C1" s="695"/>
      <c r="D1" s="695"/>
      <c r="E1" s="695"/>
      <c r="F1" s="695"/>
      <c r="G1" s="695"/>
    </row>
    <row r="2" ht="15.75">
      <c r="A2" s="21"/>
    </row>
    <row r="3" spans="1:7" ht="15.75">
      <c r="A3" s="696" t="s">
        <v>477</v>
      </c>
      <c r="B3" s="696"/>
      <c r="C3" s="696"/>
      <c r="D3" s="696"/>
      <c r="E3" s="696"/>
      <c r="F3" s="696"/>
      <c r="G3" s="696"/>
    </row>
    <row r="4" ht="15.75">
      <c r="A4" s="22"/>
    </row>
    <row r="5" ht="15.75">
      <c r="A5" s="22"/>
    </row>
    <row r="6" spans="1:9" ht="15.75">
      <c r="A6" s="28" t="str">
        <f>CONCATENATE("A resolution expressing the property taxation policy of the Board of ",(inputPrYr!D3)," ")</f>
        <v>A resolution expressing the property taxation policy of the Board of Louisburg Township </v>
      </c>
      <c r="I6">
        <f>CONCATENATE(I7)</f>
      </c>
    </row>
    <row r="7" spans="1:7" ht="15.75">
      <c r="A7" s="697" t="str">
        <f>CONCATENATE("   with respect to financing the ",inputPrYr!D9," annual budget for ",(inputPrYr!D3)," , ",(inputPrYr!D4)," , Kansas.")</f>
        <v>   with respect to financing the 2013 annual budget for Louisburg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Louisburg Township budget exceed the amount levied to finance the 2012</v>
      </c>
    </row>
    <row r="12" spans="1:7" ht="15.75">
      <c r="A12" s="693" t="str">
        <f>CONCATENATE((inputPrYr!D3)," Township budget, except with regard to revenue produced and attributable to the taxation of 1) new improvements to real property; 2) increased personal property valuation, other than increased")</f>
        <v>Louisburg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3" t="s">
        <v>483</v>
      </c>
      <c r="B14" s="617"/>
      <c r="C14" s="617"/>
      <c r="D14" s="617"/>
      <c r="E14" s="617"/>
      <c r="F14" s="617"/>
      <c r="G14" s="617"/>
    </row>
    <row r="15" spans="1:7" ht="15.75">
      <c r="A15" s="617"/>
      <c r="B15" s="617"/>
      <c r="C15" s="617"/>
      <c r="D15" s="617"/>
      <c r="E15" s="617"/>
      <c r="F15" s="617"/>
      <c r="G15" s="617"/>
    </row>
    <row r="16" spans="1:7" ht="15.75">
      <c r="A16" s="694"/>
      <c r="B16" s="694"/>
      <c r="C16" s="694"/>
      <c r="D16" s="694"/>
      <c r="E16" s="694"/>
      <c r="F16" s="694"/>
      <c r="G16" s="694"/>
    </row>
    <row r="17" ht="15.75">
      <c r="A17" s="22"/>
    </row>
    <row r="18" spans="1:7" ht="15.75">
      <c r="A18" s="691" t="s">
        <v>479</v>
      </c>
      <c r="B18" s="617"/>
      <c r="C18" s="617"/>
      <c r="D18" s="617"/>
      <c r="E18" s="617"/>
      <c r="F18" s="617"/>
      <c r="G18" s="617"/>
    </row>
    <row r="19" spans="1:7" ht="15.75">
      <c r="A19" s="617"/>
      <c r="B19" s="617"/>
      <c r="C19" s="617"/>
      <c r="D19" s="617"/>
      <c r="E19" s="617"/>
      <c r="F19" s="617"/>
      <c r="G19" s="617"/>
    </row>
    <row r="20" ht="15.75">
      <c r="A20" s="22"/>
    </row>
    <row r="21" spans="1:7" ht="15.75">
      <c r="A21" s="691" t="str">
        <f>CONCATENATE("Whereas, ",(inputPrYr!D3)," provides essential services to protect the safety and well being of the citizens of the township; and")</f>
        <v>Whereas, Louisburg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1" t="str">
        <f>CONCATENATE("NOW, THEREFORE, BE IT RESOLVED by the Board of ",(inputPrYr!D3)," of ",(inputPrYr!D4),", Kansas that is our desire to notify the public of increased property taxes to finance the ",inputPrYr!D9," ",(inputPrYr!D3),"  budget as defined above.")</f>
        <v>NOW, THEREFORE, BE IT RESOLVED by the Board of Louisburg Township of Montgomery County, Kansas that is our desire to notify the public of increased property taxes to finance the 2013 Louisburg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9" t="str">
        <f>CONCATENATE("Adopted this _________ day of ___________, ",inputPrYr!D9-1," by the ",(inputPrYr!D3)," Board, ",(inputPrYr!D4),", Kansas.")</f>
        <v>Adopted this _________ day of ___________, 2012 by the Louisburg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2" t="str">
        <f>CONCATENATE((inputPrYr!D3)," Board")</f>
        <v>Louisburg Township Board</v>
      </c>
      <c r="E33" s="692"/>
      <c r="F33" s="692"/>
      <c r="G33" s="692"/>
    </row>
    <row r="35" spans="4:7" ht="15.75">
      <c r="D35" s="698" t="s">
        <v>481</v>
      </c>
      <c r="E35" s="698"/>
      <c r="F35" s="698"/>
      <c r="G35" s="698"/>
    </row>
    <row r="36" spans="1:7" ht="15.75">
      <c r="A36" s="25"/>
      <c r="D36" s="698" t="s">
        <v>485</v>
      </c>
      <c r="E36" s="698"/>
      <c r="F36" s="698"/>
      <c r="G36" s="698"/>
    </row>
    <row r="37" spans="4:7" ht="15.75">
      <c r="D37" s="698"/>
      <c r="E37" s="698"/>
      <c r="F37" s="698"/>
      <c r="G37" s="698"/>
    </row>
    <row r="38" spans="4:7" ht="15.75">
      <c r="D38" s="698" t="s">
        <v>481</v>
      </c>
      <c r="E38" s="698"/>
      <c r="F38" s="698"/>
      <c r="G38" s="698"/>
    </row>
    <row r="39" spans="1:7" ht="15.75">
      <c r="A39" s="24"/>
      <c r="D39" s="698" t="s">
        <v>486</v>
      </c>
      <c r="E39" s="698"/>
      <c r="F39" s="698"/>
      <c r="G39" s="698"/>
    </row>
    <row r="40" spans="4:7" ht="15.75">
      <c r="D40" s="698"/>
      <c r="E40" s="698"/>
      <c r="F40" s="698"/>
      <c r="G40" s="698"/>
    </row>
    <row r="41" spans="4:7" ht="15.75">
      <c r="D41" s="698" t="s">
        <v>484</v>
      </c>
      <c r="E41" s="698"/>
      <c r="F41" s="698"/>
      <c r="G41" s="698"/>
    </row>
    <row r="42" spans="1:7" ht="15.75">
      <c r="A42" s="24"/>
      <c r="D42" s="698" t="s">
        <v>487</v>
      </c>
      <c r="E42" s="698"/>
      <c r="F42" s="698"/>
      <c r="G42" s="698"/>
    </row>
    <row r="43" ht="15.75">
      <c r="A43" s="26"/>
    </row>
    <row r="44" ht="15.75">
      <c r="A44" s="26"/>
    </row>
    <row r="45" ht="15.75">
      <c r="A45" s="26" t="s">
        <v>482</v>
      </c>
    </row>
    <row r="50" spans="3:4" ht="15.75">
      <c r="C50" s="32" t="s">
        <v>675</v>
      </c>
      <c r="D50" s="64"/>
    </row>
  </sheetData>
  <sheetProtection sheet="1" objects="1" scenarios="1"/>
  <mergeCells count="18">
    <mergeCell ref="D36:G36"/>
    <mergeCell ref="D39:G39"/>
    <mergeCell ref="A30:G31"/>
    <mergeCell ref="D42:G42"/>
    <mergeCell ref="D37:G37"/>
    <mergeCell ref="D38:G38"/>
    <mergeCell ref="D40:G40"/>
    <mergeCell ref="D41:G41"/>
    <mergeCell ref="D35:G35"/>
    <mergeCell ref="A21:G22"/>
    <mergeCell ref="A26:G28"/>
    <mergeCell ref="D33:G33"/>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85">
      <selection activeCell="D38" sqref="D3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Louisburg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9210137</v>
      </c>
    </row>
    <row r="9" spans="1:5" ht="15.75">
      <c r="A9" s="15" t="str">
        <f>inputPrYr!$D$6</f>
        <v>Elk City</v>
      </c>
      <c r="B9" s="16"/>
      <c r="C9" s="16"/>
      <c r="D9" s="16"/>
      <c r="E9" s="35">
        <v>735011</v>
      </c>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9945148</v>
      </c>
    </row>
    <row r="12" spans="1:5" ht="15.75">
      <c r="A12" s="55" t="str">
        <f>CONCATENATE("New Improvements for ",E1-1,":")</f>
        <v>New Improvements for 2012:</v>
      </c>
      <c r="B12" s="10"/>
      <c r="C12" s="10"/>
      <c r="D12" s="10"/>
      <c r="E12" s="34"/>
    </row>
    <row r="13" spans="1:5" ht="15.75">
      <c r="A13" s="13" t="s">
        <v>557</v>
      </c>
      <c r="B13" s="14"/>
      <c r="C13" s="14"/>
      <c r="D13" s="14"/>
      <c r="E13" s="53">
        <v>7008</v>
      </c>
    </row>
    <row r="14" spans="1:5" ht="15.75">
      <c r="A14" s="15" t="str">
        <f>inputPrYr!$D$6</f>
        <v>Elk City</v>
      </c>
      <c r="B14" s="14"/>
      <c r="C14" s="14"/>
      <c r="D14" s="14"/>
      <c r="E14" s="3">
        <v>1182</v>
      </c>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8190</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89409</v>
      </c>
    </row>
    <row r="19" spans="1:5" ht="15.75">
      <c r="A19" s="15" t="str">
        <f>inputPrYr!$D$6</f>
        <v>Elk City</v>
      </c>
      <c r="B19" s="16"/>
      <c r="C19" s="16"/>
      <c r="D19" s="16"/>
      <c r="E19" s="3">
        <v>7740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97149</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0</v>
      </c>
    </row>
    <row r="24" spans="1:5" ht="15.75">
      <c r="A24" s="15" t="str">
        <f>inputPrYr!$D$6</f>
        <v>Elk City</v>
      </c>
      <c r="B24" s="16"/>
      <c r="C24" s="16"/>
      <c r="D24" s="16"/>
      <c r="E24" s="3">
        <v>69</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69</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108268</v>
      </c>
    </row>
    <row r="29" spans="1:5" ht="15.75">
      <c r="A29" s="15" t="str">
        <f>inputPrYr!$D$6</f>
        <v>Elk City</v>
      </c>
      <c r="B29" s="16"/>
      <c r="C29" s="16"/>
      <c r="D29" s="16"/>
      <c r="E29" s="3">
        <v>20566</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2">
        <f>SUM(E28:E30)</f>
        <v>128834</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0.404</v>
      </c>
      <c r="E37" s="36"/>
    </row>
    <row r="38" spans="1:5" ht="15.75">
      <c r="A38" s="13" t="str">
        <f>inputPrYr!B21</f>
        <v>Debt Service</v>
      </c>
      <c r="B38" s="16"/>
      <c r="C38" s="10"/>
      <c r="D38" s="50">
        <v>0</v>
      </c>
      <c r="E38" s="36"/>
    </row>
    <row r="39" spans="1:5" ht="15.75">
      <c r="A39" s="13" t="str">
        <f>inputPrYr!B22</f>
        <v>Road</v>
      </c>
      <c r="B39" s="16"/>
      <c r="C39" s="10"/>
      <c r="D39" s="50">
        <v>0</v>
      </c>
      <c r="E39" s="36"/>
    </row>
    <row r="40" spans="1:5" ht="15.75">
      <c r="A40" s="13" t="str">
        <f>inputPrYr!B23</f>
        <v>Special Road</v>
      </c>
      <c r="B40" s="16"/>
      <c r="C40" s="10"/>
      <c r="D40" s="50">
        <v>0</v>
      </c>
      <c r="E40" s="36"/>
    </row>
    <row r="41" spans="1:5" ht="15.75">
      <c r="A41" s="13" t="str">
        <f>inputPrYr!B24</f>
        <v>Noxious Weed</v>
      </c>
      <c r="B41" s="16"/>
      <c r="C41" s="10"/>
      <c r="D41" s="50">
        <v>0</v>
      </c>
      <c r="E41" s="36"/>
    </row>
    <row r="42" spans="1:5" ht="15.75">
      <c r="A42" s="13" t="str">
        <f>inputPrYr!B25</f>
        <v>Fire Protection</v>
      </c>
      <c r="B42" s="16"/>
      <c r="C42" s="10"/>
      <c r="D42" s="51">
        <v>0.817</v>
      </c>
      <c r="E42" s="36"/>
    </row>
    <row r="43" spans="1:5" ht="15.75">
      <c r="A43" s="13" t="str">
        <f>inputPrYr!B26</f>
        <v>Hall</v>
      </c>
      <c r="B43" s="16"/>
      <c r="C43" s="10"/>
      <c r="D43" s="51">
        <v>0.606</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1.827</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12171636</v>
      </c>
    </row>
    <row r="52" spans="1:5" ht="15.75">
      <c r="A52" s="16" t="str">
        <f>inputPrYr!D6</f>
        <v>Elk City</v>
      </c>
      <c r="B52" s="16"/>
      <c r="C52" s="16"/>
      <c r="D52" s="20"/>
      <c r="E52" s="4">
        <v>756235</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12927871</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1049.4</v>
      </c>
    </row>
    <row r="59" spans="1:5" ht="15.75">
      <c r="A59" s="15" t="s">
        <v>648</v>
      </c>
      <c r="B59" s="16"/>
      <c r="C59" s="16"/>
      <c r="D59" s="40"/>
      <c r="E59" s="2">
        <v>16.43</v>
      </c>
    </row>
    <row r="60" spans="1:5" ht="15.75">
      <c r="A60" s="15" t="s">
        <v>508</v>
      </c>
      <c r="B60" s="16"/>
      <c r="C60" s="16"/>
      <c r="D60" s="40"/>
      <c r="E60" s="2">
        <v>181.7</v>
      </c>
    </row>
    <row r="61" spans="1:5" ht="15.75">
      <c r="A61" s="45" t="s">
        <v>553</v>
      </c>
      <c r="B61" s="46"/>
      <c r="C61" s="16"/>
      <c r="D61" s="40"/>
      <c r="E61" s="31"/>
    </row>
    <row r="62" spans="1:5" ht="15.75">
      <c r="A62" s="13" t="s">
        <v>550</v>
      </c>
      <c r="B62" s="16"/>
      <c r="C62" s="16"/>
      <c r="D62" s="40"/>
      <c r="E62" s="2">
        <v>0</v>
      </c>
    </row>
    <row r="63" spans="1:5" ht="15.75">
      <c r="A63" s="15" t="s">
        <v>551</v>
      </c>
      <c r="B63" s="16"/>
      <c r="C63" s="16"/>
      <c r="D63" s="40"/>
      <c r="E63" s="2">
        <v>0</v>
      </c>
    </row>
    <row r="64" spans="1:5" ht="15.75">
      <c r="A64" s="15" t="s">
        <v>552</v>
      </c>
      <c r="B64" s="16"/>
      <c r="C64" s="16"/>
      <c r="D64" s="40"/>
      <c r="E64" s="2">
        <v>0</v>
      </c>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32</v>
      </c>
    </row>
    <row r="77" spans="1:5" ht="15.75">
      <c r="A77" s="17" t="s">
        <v>556</v>
      </c>
      <c r="B77" s="17"/>
      <c r="C77" s="10"/>
      <c r="D77" s="10"/>
      <c r="E77" s="512">
        <v>0.07</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5575</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8900</v>
      </c>
      <c r="C88" s="33"/>
      <c r="D88" s="33"/>
      <c r="E88" s="33"/>
    </row>
    <row r="89" spans="1:5" ht="15.75">
      <c r="A89" s="62" t="str">
        <f>inputPrYr!B26</f>
        <v>Hall</v>
      </c>
      <c r="B89" s="4">
        <v>7100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10" t="s">
        <v>261</v>
      </c>
      <c r="C6" s="719"/>
      <c r="D6" s="719"/>
      <c r="E6" s="719"/>
      <c r="F6" s="719"/>
      <c r="G6" s="719"/>
      <c r="H6" s="719"/>
      <c r="I6" s="719"/>
      <c r="J6" s="719"/>
      <c r="K6" s="719"/>
      <c r="L6" s="425"/>
    </row>
    <row r="7" spans="1:12" ht="40.5" customHeight="1">
      <c r="A7" s="423"/>
      <c r="B7" s="728" t="s">
        <v>262</v>
      </c>
      <c r="C7" s="729"/>
      <c r="D7" s="729"/>
      <c r="E7" s="729"/>
      <c r="F7" s="729"/>
      <c r="G7" s="729"/>
      <c r="H7" s="729"/>
      <c r="I7" s="729"/>
      <c r="J7" s="729"/>
      <c r="K7" s="729"/>
      <c r="L7" s="423"/>
    </row>
    <row r="8" spans="1:12" ht="14.25">
      <c r="A8" s="423"/>
      <c r="B8" s="721" t="s">
        <v>263</v>
      </c>
      <c r="C8" s="721"/>
      <c r="D8" s="721"/>
      <c r="E8" s="721"/>
      <c r="F8" s="721"/>
      <c r="G8" s="721"/>
      <c r="H8" s="721"/>
      <c r="I8" s="721"/>
      <c r="J8" s="721"/>
      <c r="K8" s="721"/>
      <c r="L8" s="423"/>
    </row>
    <row r="9" spans="1:12" ht="14.25">
      <c r="A9" s="423"/>
      <c r="L9" s="423"/>
    </row>
    <row r="10" spans="1:12" ht="14.25">
      <c r="A10" s="423"/>
      <c r="B10" s="721" t="s">
        <v>264</v>
      </c>
      <c r="C10" s="721"/>
      <c r="D10" s="721"/>
      <c r="E10" s="721"/>
      <c r="F10" s="721"/>
      <c r="G10" s="721"/>
      <c r="H10" s="721"/>
      <c r="I10" s="721"/>
      <c r="J10" s="721"/>
      <c r="K10" s="721"/>
      <c r="L10" s="423"/>
    </row>
    <row r="11" spans="1:12" ht="14.25">
      <c r="A11" s="423"/>
      <c r="B11" s="426"/>
      <c r="C11" s="426"/>
      <c r="D11" s="426"/>
      <c r="E11" s="426"/>
      <c r="F11" s="426"/>
      <c r="G11" s="426"/>
      <c r="H11" s="426"/>
      <c r="I11" s="426"/>
      <c r="J11" s="426"/>
      <c r="K11" s="426"/>
      <c r="L11" s="423"/>
    </row>
    <row r="12" spans="1:12" ht="32.25" customHeight="1">
      <c r="A12" s="423"/>
      <c r="B12" s="711" t="s">
        <v>265</v>
      </c>
      <c r="C12" s="711"/>
      <c r="D12" s="711"/>
      <c r="E12" s="711"/>
      <c r="F12" s="711"/>
      <c r="G12" s="711"/>
      <c r="H12" s="711"/>
      <c r="I12" s="711"/>
      <c r="J12" s="711"/>
      <c r="K12" s="711"/>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8">
        <v>133685008</v>
      </c>
      <c r="G23" s="708"/>
      <c r="L23" s="423"/>
    </row>
    <row r="24" spans="1:12" ht="14.25">
      <c r="A24" s="423"/>
      <c r="L24" s="423"/>
    </row>
    <row r="25" spans="1:12" ht="14.25">
      <c r="A25" s="423"/>
      <c r="C25" s="722">
        <f>F23</f>
        <v>133685008</v>
      </c>
      <c r="D25" s="722"/>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16" t="s">
        <v>262</v>
      </c>
      <c r="C30" s="716"/>
      <c r="D30" s="716"/>
      <c r="E30" s="716"/>
      <c r="F30" s="716"/>
      <c r="G30" s="716"/>
      <c r="H30" s="716"/>
      <c r="I30" s="716"/>
      <c r="J30" s="716"/>
      <c r="K30" s="716"/>
      <c r="L30" s="423"/>
    </row>
    <row r="31" spans="1:12" ht="14.25">
      <c r="A31" s="423"/>
      <c r="B31" s="721" t="s">
        <v>276</v>
      </c>
      <c r="C31" s="721"/>
      <c r="D31" s="721"/>
      <c r="E31" s="721"/>
      <c r="F31" s="721"/>
      <c r="G31" s="721"/>
      <c r="H31" s="721"/>
      <c r="I31" s="721"/>
      <c r="J31" s="721"/>
      <c r="K31" s="721"/>
      <c r="L31" s="423"/>
    </row>
    <row r="32" spans="1:12" ht="14.25">
      <c r="A32" s="423"/>
      <c r="L32" s="423"/>
    </row>
    <row r="33" spans="1:12" ht="14.25">
      <c r="A33" s="423"/>
      <c r="B33" s="721" t="s">
        <v>277</v>
      </c>
      <c r="C33" s="721"/>
      <c r="D33" s="721"/>
      <c r="E33" s="721"/>
      <c r="F33" s="721"/>
      <c r="G33" s="721"/>
      <c r="H33" s="721"/>
      <c r="I33" s="721"/>
      <c r="J33" s="721"/>
      <c r="K33" s="721"/>
      <c r="L33" s="423"/>
    </row>
    <row r="34" spans="1:12" ht="14.25">
      <c r="A34" s="423"/>
      <c r="L34" s="423"/>
    </row>
    <row r="35" spans="1:12" ht="89.25" customHeight="1">
      <c r="A35" s="423"/>
      <c r="B35" s="711" t="s">
        <v>278</v>
      </c>
      <c r="C35" s="714"/>
      <c r="D35" s="714"/>
      <c r="E35" s="714"/>
      <c r="F35" s="714"/>
      <c r="G35" s="714"/>
      <c r="H35" s="714"/>
      <c r="I35" s="714"/>
      <c r="J35" s="714"/>
      <c r="K35" s="714"/>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23">
        <v>3120000</v>
      </c>
      <c r="D41" s="723"/>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8">
        <v>133685008</v>
      </c>
      <c r="C48" s="708"/>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24" t="s">
        <v>286</v>
      </c>
      <c r="H50" s="725"/>
      <c r="I50" s="435" t="s">
        <v>272</v>
      </c>
      <c r="J50" s="445">
        <f>B50/F50</f>
        <v>52.8690023342034</v>
      </c>
      <c r="K50" s="437"/>
      <c r="L50" s="423"/>
    </row>
    <row r="51" spans="1:15" ht="15" thickBot="1">
      <c r="A51" s="423"/>
      <c r="B51" s="438"/>
      <c r="C51" s="439"/>
      <c r="D51" s="439"/>
      <c r="E51" s="439"/>
      <c r="F51" s="439"/>
      <c r="G51" s="439"/>
      <c r="H51" s="439"/>
      <c r="I51" s="726" t="s">
        <v>287</v>
      </c>
      <c r="J51" s="726"/>
      <c r="K51" s="727"/>
      <c r="L51" s="423"/>
      <c r="O51" s="446"/>
    </row>
    <row r="52" spans="1:12" ht="40.5" customHeight="1">
      <c r="A52" s="423"/>
      <c r="B52" s="716" t="s">
        <v>262</v>
      </c>
      <c r="C52" s="716"/>
      <c r="D52" s="716"/>
      <c r="E52" s="716"/>
      <c r="F52" s="716"/>
      <c r="G52" s="716"/>
      <c r="H52" s="716"/>
      <c r="I52" s="716"/>
      <c r="J52" s="716"/>
      <c r="K52" s="716"/>
      <c r="L52" s="423"/>
    </row>
    <row r="53" spans="1:12" ht="14.25">
      <c r="A53" s="423"/>
      <c r="B53" s="721" t="s">
        <v>288</v>
      </c>
      <c r="C53" s="721"/>
      <c r="D53" s="721"/>
      <c r="E53" s="721"/>
      <c r="F53" s="721"/>
      <c r="G53" s="721"/>
      <c r="H53" s="721"/>
      <c r="I53" s="721"/>
      <c r="J53" s="721"/>
      <c r="K53" s="721"/>
      <c r="L53" s="423"/>
    </row>
    <row r="54" spans="1:12" ht="14.25">
      <c r="A54" s="423"/>
      <c r="B54" s="426"/>
      <c r="C54" s="426"/>
      <c r="D54" s="426"/>
      <c r="E54" s="426"/>
      <c r="F54" s="426"/>
      <c r="G54" s="426"/>
      <c r="H54" s="426"/>
      <c r="I54" s="426"/>
      <c r="J54" s="426"/>
      <c r="K54" s="426"/>
      <c r="L54" s="423"/>
    </row>
    <row r="55" spans="1:12" ht="14.25">
      <c r="A55" s="423"/>
      <c r="B55" s="710" t="s">
        <v>289</v>
      </c>
      <c r="C55" s="710"/>
      <c r="D55" s="710"/>
      <c r="E55" s="710"/>
      <c r="F55" s="710"/>
      <c r="G55" s="710"/>
      <c r="H55" s="710"/>
      <c r="I55" s="710"/>
      <c r="J55" s="710"/>
      <c r="K55" s="710"/>
      <c r="L55" s="423"/>
    </row>
    <row r="56" spans="1:12" ht="15" customHeight="1">
      <c r="A56" s="423"/>
      <c r="L56" s="423"/>
    </row>
    <row r="57" spans="1:24" ht="74.25" customHeight="1">
      <c r="A57" s="423"/>
      <c r="B57" s="711" t="s">
        <v>290</v>
      </c>
      <c r="C57" s="714"/>
      <c r="D57" s="714"/>
      <c r="E57" s="714"/>
      <c r="F57" s="714"/>
      <c r="G57" s="714"/>
      <c r="H57" s="714"/>
      <c r="I57" s="714"/>
      <c r="J57" s="714"/>
      <c r="K57" s="714"/>
      <c r="L57" s="423"/>
      <c r="M57" s="447"/>
      <c r="N57" s="448"/>
      <c r="O57" s="448"/>
      <c r="P57" s="448"/>
      <c r="Q57" s="448"/>
      <c r="R57" s="448"/>
      <c r="S57" s="448"/>
      <c r="T57" s="448"/>
      <c r="U57" s="448"/>
      <c r="V57" s="448"/>
      <c r="W57" s="448"/>
      <c r="X57" s="448"/>
    </row>
    <row r="58" spans="1:24" ht="15" customHeight="1">
      <c r="A58" s="423"/>
      <c r="B58" s="711"/>
      <c r="C58" s="714"/>
      <c r="D58" s="714"/>
      <c r="E58" s="714"/>
      <c r="F58" s="714"/>
      <c r="G58" s="714"/>
      <c r="H58" s="714"/>
      <c r="I58" s="714"/>
      <c r="J58" s="714"/>
      <c r="K58" s="714"/>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8">
        <v>133685008</v>
      </c>
      <c r="D74" s="708"/>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8">
        <v>5000</v>
      </c>
      <c r="D77" s="708"/>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8">
        <v>100000</v>
      </c>
      <c r="D80" s="708"/>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16" t="s">
        <v>262</v>
      </c>
      <c r="C85" s="716"/>
      <c r="D85" s="716"/>
      <c r="E85" s="716"/>
      <c r="F85" s="716"/>
      <c r="G85" s="716"/>
      <c r="H85" s="716"/>
      <c r="I85" s="716"/>
      <c r="J85" s="716"/>
      <c r="K85" s="716"/>
      <c r="L85" s="423"/>
    </row>
    <row r="86" spans="1:12" ht="14.25">
      <c r="A86" s="423"/>
      <c r="B86" s="710" t="s">
        <v>310</v>
      </c>
      <c r="C86" s="710"/>
      <c r="D86" s="710"/>
      <c r="E86" s="710"/>
      <c r="F86" s="710"/>
      <c r="G86" s="710"/>
      <c r="H86" s="710"/>
      <c r="I86" s="710"/>
      <c r="J86" s="710"/>
      <c r="K86" s="710"/>
      <c r="L86" s="423"/>
    </row>
    <row r="87" spans="1:12" ht="14.25">
      <c r="A87" s="423"/>
      <c r="B87" s="462"/>
      <c r="C87" s="462"/>
      <c r="D87" s="462"/>
      <c r="E87" s="462"/>
      <c r="F87" s="462"/>
      <c r="G87" s="462"/>
      <c r="H87" s="462"/>
      <c r="I87" s="462"/>
      <c r="J87" s="462"/>
      <c r="K87" s="462"/>
      <c r="L87" s="423"/>
    </row>
    <row r="88" spans="1:12" ht="14.25">
      <c r="A88" s="423"/>
      <c r="B88" s="710" t="s">
        <v>311</v>
      </c>
      <c r="C88" s="710"/>
      <c r="D88" s="710"/>
      <c r="E88" s="710"/>
      <c r="F88" s="710"/>
      <c r="G88" s="710"/>
      <c r="H88" s="710"/>
      <c r="I88" s="710"/>
      <c r="J88" s="710"/>
      <c r="K88" s="710"/>
      <c r="L88" s="423"/>
    </row>
    <row r="89" spans="1:12" ht="14.25">
      <c r="A89" s="423"/>
      <c r="B89" s="463"/>
      <c r="C89" s="463"/>
      <c r="D89" s="463"/>
      <c r="E89" s="463"/>
      <c r="F89" s="463"/>
      <c r="G89" s="463"/>
      <c r="H89" s="463"/>
      <c r="I89" s="463"/>
      <c r="J89" s="463"/>
      <c r="K89" s="463"/>
      <c r="L89" s="423"/>
    </row>
    <row r="90" spans="1:12" ht="45" customHeight="1">
      <c r="A90" s="423"/>
      <c r="B90" s="711" t="s">
        <v>312</v>
      </c>
      <c r="C90" s="711"/>
      <c r="D90" s="711"/>
      <c r="E90" s="711"/>
      <c r="F90" s="711"/>
      <c r="G90" s="711"/>
      <c r="H90" s="711"/>
      <c r="I90" s="711"/>
      <c r="J90" s="711"/>
      <c r="K90" s="711"/>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8">
        <v>133685008</v>
      </c>
      <c r="D94" s="708"/>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8">
        <v>50000</v>
      </c>
      <c r="D97" s="708"/>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8">
        <v>2500000</v>
      </c>
      <c r="D100" s="708"/>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16" t="s">
        <v>262</v>
      </c>
      <c r="C105" s="717"/>
      <c r="D105" s="717"/>
      <c r="E105" s="717"/>
      <c r="F105" s="717"/>
      <c r="G105" s="717"/>
      <c r="H105" s="717"/>
      <c r="I105" s="717"/>
      <c r="J105" s="717"/>
      <c r="K105" s="717"/>
      <c r="L105" s="423"/>
    </row>
    <row r="106" spans="1:12" ht="15" customHeight="1">
      <c r="A106" s="423"/>
      <c r="B106" s="718" t="s">
        <v>314</v>
      </c>
      <c r="C106" s="719"/>
      <c r="D106" s="719"/>
      <c r="E106" s="719"/>
      <c r="F106" s="719"/>
      <c r="G106" s="719"/>
      <c r="H106" s="719"/>
      <c r="I106" s="719"/>
      <c r="J106" s="719"/>
      <c r="K106" s="719"/>
      <c r="L106" s="423"/>
    </row>
    <row r="107" spans="1:12" ht="15" customHeight="1">
      <c r="A107" s="423"/>
      <c r="B107" s="468"/>
      <c r="C107" s="476"/>
      <c r="D107" s="476"/>
      <c r="E107" s="435"/>
      <c r="F107" s="445"/>
      <c r="G107" s="435"/>
      <c r="H107" s="435"/>
      <c r="I107" s="435"/>
      <c r="J107" s="457"/>
      <c r="K107" s="468"/>
      <c r="L107" s="423"/>
    </row>
    <row r="108" spans="1:12" ht="15" customHeight="1">
      <c r="A108" s="423"/>
      <c r="B108" s="718" t="s">
        <v>315</v>
      </c>
      <c r="C108" s="720"/>
      <c r="D108" s="720"/>
      <c r="E108" s="720"/>
      <c r="F108" s="720"/>
      <c r="G108" s="720"/>
      <c r="H108" s="720"/>
      <c r="I108" s="720"/>
      <c r="J108" s="720"/>
      <c r="K108" s="720"/>
      <c r="L108" s="423"/>
    </row>
    <row r="109" spans="1:12" ht="15" customHeight="1">
      <c r="A109" s="423"/>
      <c r="B109" s="468"/>
      <c r="C109" s="476"/>
      <c r="D109" s="476"/>
      <c r="E109" s="435"/>
      <c r="F109" s="445"/>
      <c r="G109" s="435"/>
      <c r="H109" s="435"/>
      <c r="I109" s="435"/>
      <c r="J109" s="457"/>
      <c r="K109" s="468"/>
      <c r="L109" s="423"/>
    </row>
    <row r="110" spans="1:12" ht="59.25" customHeight="1">
      <c r="A110" s="423"/>
      <c r="B110" s="713" t="s">
        <v>316</v>
      </c>
      <c r="C110" s="714"/>
      <c r="D110" s="714"/>
      <c r="E110" s="714"/>
      <c r="F110" s="714"/>
      <c r="G110" s="714"/>
      <c r="H110" s="714"/>
      <c r="I110" s="714"/>
      <c r="J110" s="714"/>
      <c r="K110" s="714"/>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8">
        <v>133685008</v>
      </c>
      <c r="D114" s="708"/>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8">
        <v>50000</v>
      </c>
      <c r="D117" s="708"/>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8">
        <v>2500000</v>
      </c>
      <c r="D120" s="708"/>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16" t="s">
        <v>262</v>
      </c>
      <c r="C125" s="716"/>
      <c r="D125" s="716"/>
      <c r="E125" s="716"/>
      <c r="F125" s="716"/>
      <c r="G125" s="716"/>
      <c r="H125" s="716"/>
      <c r="I125" s="716"/>
      <c r="J125" s="716"/>
      <c r="K125" s="716"/>
      <c r="L125" s="477"/>
    </row>
    <row r="126" spans="1:12" ht="14.25">
      <c r="A126" s="423"/>
      <c r="B126" s="710" t="s">
        <v>317</v>
      </c>
      <c r="C126" s="710"/>
      <c r="D126" s="710"/>
      <c r="E126" s="710"/>
      <c r="F126" s="710"/>
      <c r="G126" s="710"/>
      <c r="H126" s="710"/>
      <c r="I126" s="710"/>
      <c r="J126" s="710"/>
      <c r="K126" s="710"/>
      <c r="L126" s="477"/>
    </row>
    <row r="127" spans="1:12" ht="14.25">
      <c r="A127" s="423"/>
      <c r="B127" s="426"/>
      <c r="C127" s="426"/>
      <c r="D127" s="426"/>
      <c r="E127" s="426"/>
      <c r="F127" s="426"/>
      <c r="G127" s="426"/>
      <c r="H127" s="426"/>
      <c r="I127" s="426"/>
      <c r="J127" s="426"/>
      <c r="K127" s="426"/>
      <c r="L127" s="477"/>
    </row>
    <row r="128" spans="1:12" ht="14.25">
      <c r="A128" s="423"/>
      <c r="B128" s="710" t="s">
        <v>318</v>
      </c>
      <c r="C128" s="710"/>
      <c r="D128" s="710"/>
      <c r="E128" s="710"/>
      <c r="F128" s="710"/>
      <c r="G128" s="710"/>
      <c r="H128" s="710"/>
      <c r="I128" s="710"/>
      <c r="J128" s="710"/>
      <c r="K128" s="710"/>
      <c r="L128" s="477"/>
    </row>
    <row r="129" spans="1:12" ht="14.25">
      <c r="A129" s="423"/>
      <c r="B129" s="463"/>
      <c r="C129" s="463"/>
      <c r="D129" s="463"/>
      <c r="E129" s="463"/>
      <c r="F129" s="463"/>
      <c r="G129" s="463"/>
      <c r="H129" s="463"/>
      <c r="I129" s="463"/>
      <c r="J129" s="463"/>
      <c r="K129" s="463"/>
      <c r="L129" s="477"/>
    </row>
    <row r="130" spans="1:12" ht="74.25" customHeight="1">
      <c r="A130" s="423"/>
      <c r="B130" s="711" t="s">
        <v>319</v>
      </c>
      <c r="C130" s="711"/>
      <c r="D130" s="711"/>
      <c r="E130" s="711"/>
      <c r="F130" s="711"/>
      <c r="G130" s="711"/>
      <c r="H130" s="711"/>
      <c r="I130" s="711"/>
      <c r="J130" s="711"/>
      <c r="K130" s="711"/>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2" t="s">
        <v>320</v>
      </c>
      <c r="D133" s="712"/>
      <c r="E133" s="434"/>
      <c r="F133" s="435" t="s">
        <v>321</v>
      </c>
      <c r="G133" s="434"/>
      <c r="H133" s="712" t="s">
        <v>306</v>
      </c>
      <c r="I133" s="712"/>
      <c r="J133" s="434"/>
      <c r="K133" s="437"/>
      <c r="L133" s="423"/>
    </row>
    <row r="134" spans="1:12" ht="14.25">
      <c r="A134" s="423"/>
      <c r="B134" s="443" t="s">
        <v>299</v>
      </c>
      <c r="C134" s="708">
        <v>100000</v>
      </c>
      <c r="D134" s="708"/>
      <c r="E134" s="435" t="s">
        <v>661</v>
      </c>
      <c r="F134" s="435">
        <v>0.115</v>
      </c>
      <c r="G134" s="435" t="s">
        <v>272</v>
      </c>
      <c r="H134" s="703">
        <f>C134*F134</f>
        <v>11500</v>
      </c>
      <c r="I134" s="703"/>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09" t="s">
        <v>306</v>
      </c>
      <c r="D136" s="709"/>
      <c r="E136" s="454"/>
      <c r="F136" s="455" t="s">
        <v>322</v>
      </c>
      <c r="G136" s="455"/>
      <c r="H136" s="454"/>
      <c r="I136" s="454"/>
      <c r="J136" s="454" t="s">
        <v>323</v>
      </c>
      <c r="K136" s="456"/>
      <c r="L136" s="423"/>
    </row>
    <row r="137" spans="1:12" ht="14.25">
      <c r="A137" s="423"/>
      <c r="B137" s="443" t="s">
        <v>302</v>
      </c>
      <c r="C137" s="703">
        <f>H134</f>
        <v>11500</v>
      </c>
      <c r="D137" s="703"/>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00" t="s">
        <v>326</v>
      </c>
      <c r="C144" s="701"/>
      <c r="D144" s="701"/>
      <c r="E144" s="701"/>
      <c r="F144" s="701"/>
      <c r="G144" s="701"/>
      <c r="H144" s="701"/>
      <c r="I144" s="701"/>
      <c r="J144" s="701"/>
      <c r="K144" s="702"/>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03" t="s">
        <v>327</v>
      </c>
      <c r="D147" s="703"/>
      <c r="E147" s="435"/>
      <c r="F147" s="495" t="s">
        <v>328</v>
      </c>
      <c r="G147" s="435"/>
      <c r="H147" s="435"/>
      <c r="I147" s="435"/>
      <c r="J147" s="704" t="s">
        <v>329</v>
      </c>
      <c r="K147" s="705"/>
      <c r="L147" s="423"/>
    </row>
    <row r="148" spans="1:12" ht="14.25">
      <c r="A148" s="423"/>
      <c r="B148" s="443"/>
      <c r="C148" s="706">
        <v>52.869</v>
      </c>
      <c r="D148" s="706"/>
      <c r="E148" s="435" t="s">
        <v>661</v>
      </c>
      <c r="F148" s="500">
        <v>133685008</v>
      </c>
      <c r="G148" s="501" t="s">
        <v>273</v>
      </c>
      <c r="H148" s="435">
        <v>1000</v>
      </c>
      <c r="I148" s="435" t="s">
        <v>272</v>
      </c>
      <c r="J148" s="703">
        <f>C148*(F148/1000)</f>
        <v>7067792.687952</v>
      </c>
      <c r="K148" s="707"/>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126:K126"/>
    <mergeCell ref="C100:D100"/>
    <mergeCell ref="C103:D103"/>
    <mergeCell ref="B105:K105"/>
    <mergeCell ref="B106:K106"/>
    <mergeCell ref="B108:K108"/>
    <mergeCell ref="C123:D123"/>
    <mergeCell ref="B125:K125"/>
    <mergeCell ref="C117:D117"/>
    <mergeCell ref="C120:D120"/>
    <mergeCell ref="B128:K128"/>
    <mergeCell ref="B130:K130"/>
    <mergeCell ref="C133:D133"/>
    <mergeCell ref="H133:I133"/>
    <mergeCell ref="B86:K86"/>
    <mergeCell ref="B88:K88"/>
    <mergeCell ref="B90:K90"/>
    <mergeCell ref="C94:D94"/>
    <mergeCell ref="B110:K110"/>
    <mergeCell ref="C114:D114"/>
    <mergeCell ref="B144:K144"/>
    <mergeCell ref="C147:D147"/>
    <mergeCell ref="J147:K147"/>
    <mergeCell ref="C148:D148"/>
    <mergeCell ref="J148:K148"/>
    <mergeCell ref="C134:D134"/>
    <mergeCell ref="H134:I134"/>
    <mergeCell ref="C136:D136"/>
    <mergeCell ref="C137:D137"/>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840</v>
      </c>
      <c r="C5" s="392"/>
      <c r="D5" s="220" t="s">
        <v>10</v>
      </c>
    </row>
    <row r="6" spans="1:4" ht="15.75">
      <c r="A6" s="220"/>
      <c r="B6" s="393"/>
      <c r="C6" s="394"/>
      <c r="D6" s="220" t="s">
        <v>9</v>
      </c>
    </row>
    <row r="7" spans="1:4" ht="15.75">
      <c r="A7" s="220" t="s">
        <v>793</v>
      </c>
      <c r="B7" s="391" t="s">
        <v>841</v>
      </c>
      <c r="C7" s="395"/>
      <c r="D7" s="220"/>
    </row>
    <row r="8" spans="1:4" ht="15.75">
      <c r="A8" s="220"/>
      <c r="B8" s="220"/>
      <c r="C8" s="220"/>
      <c r="D8" s="220"/>
    </row>
    <row r="9" spans="1:5" ht="15.75">
      <c r="A9" s="220" t="s">
        <v>794</v>
      </c>
      <c r="B9" s="157" t="s">
        <v>842</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8">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0" t="s">
        <v>417</v>
      </c>
      <c r="B1" s="640"/>
      <c r="C1" s="640"/>
      <c r="D1" s="640"/>
      <c r="E1" s="640"/>
      <c r="F1" s="640"/>
      <c r="G1" s="66">
        <f>inputPrYr!D9</f>
        <v>2013</v>
      </c>
    </row>
    <row r="2" spans="2:6" s="66" customFormat="1" ht="15.75">
      <c r="B2" s="67"/>
      <c r="C2" s="67"/>
      <c r="D2" s="67"/>
      <c r="E2" s="67"/>
      <c r="F2" s="68"/>
    </row>
    <row r="3" spans="1:7" s="66" customFormat="1" ht="15.75">
      <c r="A3" s="644" t="str">
        <f>CONCATENATE("To the Clerk of ",inputPrYr!D4,", State of Kansas")</f>
        <v>To the Clerk of Montgomery County, State of Kansas</v>
      </c>
      <c r="B3" s="645"/>
      <c r="C3" s="645"/>
      <c r="D3" s="645"/>
      <c r="E3" s="645"/>
      <c r="F3" s="645"/>
      <c r="G3" s="645"/>
    </row>
    <row r="4" spans="1:6" s="66" customFormat="1" ht="15.75">
      <c r="A4" s="70" t="s">
        <v>499</v>
      </c>
      <c r="B4" s="67"/>
      <c r="C4" s="67"/>
      <c r="D4" s="67"/>
      <c r="E4" s="67"/>
      <c r="F4" s="67"/>
    </row>
    <row r="5" s="66" customFormat="1" ht="15.75">
      <c r="C5" s="599" t="str">
        <f>inputPrYr!D3</f>
        <v>Louisburg Township</v>
      </c>
    </row>
    <row r="6" spans="1:6" s="66" customFormat="1" ht="15.75">
      <c r="A6" s="649" t="s">
        <v>497</v>
      </c>
      <c r="B6" s="645"/>
      <c r="C6" s="645"/>
      <c r="D6" s="645"/>
      <c r="E6" s="645"/>
      <c r="F6" s="645"/>
    </row>
    <row r="7" spans="1:6" s="66" customFormat="1" ht="15.75" customHeight="1">
      <c r="A7" s="644" t="s">
        <v>498</v>
      </c>
      <c r="B7" s="650"/>
      <c r="C7" s="650"/>
      <c r="D7" s="650"/>
      <c r="E7" s="650"/>
      <c r="F7" s="650"/>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46" t="str">
        <f>CONCATENATE("",G1," Adopted Budget")</f>
        <v>2013 Adopted Budget</v>
      </c>
      <c r="E11" s="647"/>
      <c r="F11" s="648"/>
    </row>
    <row r="12" spans="1:6" s="66" customFormat="1" ht="15.75">
      <c r="A12" s="74"/>
      <c r="C12" s="72"/>
      <c r="D12" s="75" t="s">
        <v>649</v>
      </c>
      <c r="E12" s="641" t="str">
        <f>CONCATENATE("Amount of ",G1-1," Ad Valorem Tax")</f>
        <v>Amount of 2012 Ad Valorem Tax</v>
      </c>
      <c r="F12" s="76" t="s">
        <v>650</v>
      </c>
    </row>
    <row r="13" spans="3:6" s="66" customFormat="1" ht="15.75">
      <c r="C13" s="76" t="s">
        <v>651</v>
      </c>
      <c r="D13" s="525" t="s">
        <v>578</v>
      </c>
      <c r="E13" s="642"/>
      <c r="F13" s="78" t="s">
        <v>652</v>
      </c>
    </row>
    <row r="14" spans="1:6" s="66" customFormat="1" ht="15.75">
      <c r="A14" s="79" t="s">
        <v>653</v>
      </c>
      <c r="B14" s="80"/>
      <c r="C14" s="81" t="s">
        <v>654</v>
      </c>
      <c r="D14" s="526" t="s">
        <v>330</v>
      </c>
      <c r="E14" s="643"/>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5575</v>
      </c>
      <c r="E20" s="85">
        <f>IF(gen!$E$53&lt;&gt;0,gen!$E$53,0)</f>
        <v>5624.47</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f>IF(levypage10!$E$31&lt;&gt;0,levypage10!$E$31,"  ")</f>
        <v>8900</v>
      </c>
      <c r="E25" s="85">
        <f>IF(levypage10!$E$38&lt;&gt;0,levypage10!$E$38,"  ")</f>
        <v>7174</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7100</v>
      </c>
      <c r="E26" s="85">
        <f>IF(levypage10!$E$74&lt;&gt;0,levypage10!$E$74,"  ")</f>
        <v>5697</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21575</v>
      </c>
      <c r="E37" s="102">
        <f>SUM(E20:E36)</f>
        <v>18495.47</v>
      </c>
      <c r="F37" s="103">
        <f>IF(SUM(F20:F36)&gt;0,SUM(F20:F36),"")</f>
      </c>
    </row>
    <row r="38" spans="1:3" s="66" customFormat="1" ht="16.5" thickTop="1">
      <c r="A38" s="87" t="s">
        <v>515</v>
      </c>
      <c r="B38" s="83"/>
      <c r="C38" s="98">
        <f>summ!C52</f>
        <v>8</v>
      </c>
    </row>
    <row r="39" spans="1:5" s="66" customFormat="1" ht="15.75">
      <c r="A39" s="82" t="s">
        <v>571</v>
      </c>
      <c r="B39" s="83"/>
      <c r="C39" s="98">
        <f>IF(nhood!C39&gt;0,nhood!C39,"")</f>
        <v>9</v>
      </c>
      <c r="D39" s="104" t="s">
        <v>505</v>
      </c>
      <c r="E39" s="105" t="str">
        <f>IF(E37&gt;computation!J34,"Yes","No")</f>
        <v>No</v>
      </c>
    </row>
    <row r="40" spans="1:5" s="66" customFormat="1" ht="15.75">
      <c r="A40" s="87" t="s">
        <v>504</v>
      </c>
      <c r="B40" s="83"/>
      <c r="C40" s="98">
        <f>IF(Resolution!D50&gt;0,Resolution!D50,"")</f>
      </c>
      <c r="D40" s="106"/>
      <c r="E40" s="107"/>
    </row>
    <row r="41" spans="1:6" s="66" customFormat="1" ht="15.75">
      <c r="A41" s="82" t="s">
        <v>445</v>
      </c>
      <c r="B41" s="629" t="s">
        <v>471</v>
      </c>
      <c r="C41" s="630"/>
      <c r="D41" s="109"/>
      <c r="F41" s="74" t="s">
        <v>662</v>
      </c>
    </row>
    <row r="42" spans="1:6" s="66" customFormat="1" ht="15.75">
      <c r="A42" s="82" t="str">
        <f>inputPrYr!D3</f>
        <v>Louisburg Township</v>
      </c>
      <c r="B42" s="631"/>
      <c r="C42" s="632"/>
      <c r="D42" s="110"/>
      <c r="F42" s="74"/>
    </row>
    <row r="43" spans="1:6" s="66" customFormat="1" ht="15.75">
      <c r="A43" s="82" t="str">
        <f>inputPrYr!D6</f>
        <v>Elk City</v>
      </c>
      <c r="B43" s="631"/>
      <c r="C43" s="639"/>
      <c r="D43" s="110"/>
      <c r="F43" s="74"/>
    </row>
    <row r="44" spans="1:6" s="66" customFormat="1" ht="15.75">
      <c r="A44" s="82">
        <f>inputPrYr!D7</f>
        <v>0</v>
      </c>
      <c r="B44" s="631"/>
      <c r="C44" s="639"/>
      <c r="D44" s="110"/>
      <c r="F44" s="74"/>
    </row>
    <row r="45" spans="1:6" s="66" customFormat="1" ht="15.75">
      <c r="A45" s="82" t="s">
        <v>585</v>
      </c>
      <c r="B45" s="637">
        <f>SUM(B42:C44)</f>
        <v>0</v>
      </c>
      <c r="C45" s="638"/>
      <c r="D45" s="110"/>
      <c r="F45" s="74"/>
    </row>
    <row r="46" spans="1:6" s="66" customFormat="1" ht="15.75">
      <c r="A46" s="111"/>
      <c r="B46" s="633" t="str">
        <f>CONCATENATE("Nov. 1, ",G1-1," Valuation")</f>
        <v>Nov. 1, 2012 Valuation</v>
      </c>
      <c r="C46" s="634"/>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35" t="s">
        <v>664</v>
      </c>
      <c r="E59" s="636"/>
      <c r="F59" s="636"/>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19"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Louisburg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40"/>
      <c r="C3" s="640"/>
      <c r="D3" s="640"/>
      <c r="E3" s="640"/>
      <c r="F3" s="640"/>
      <c r="G3" s="640"/>
      <c r="H3" s="640"/>
      <c r="I3" s="640"/>
      <c r="J3" s="640"/>
    </row>
    <row r="4" spans="1:10" ht="15.75">
      <c r="A4" s="66"/>
      <c r="B4" s="66"/>
      <c r="C4" s="66"/>
      <c r="D4" s="66"/>
      <c r="E4" s="640"/>
      <c r="F4" s="640"/>
      <c r="G4" s="640"/>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22997</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22997</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8190</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97149</v>
      </c>
      <c r="F14" s="270"/>
      <c r="G14" s="194"/>
      <c r="H14" s="194"/>
      <c r="I14" s="274"/>
      <c r="J14" s="194"/>
    </row>
    <row r="15" spans="1:10" ht="15.75">
      <c r="A15" s="269"/>
      <c r="B15" s="66" t="s">
        <v>435</v>
      </c>
      <c r="C15" s="66" t="str">
        <f>CONCATENATE("Personal Property ",J1-2,"")</f>
        <v>Personal Property 2011</v>
      </c>
      <c r="D15" s="269" t="s">
        <v>430</v>
      </c>
      <c r="E15" s="273">
        <f>inputOth!E31</f>
        <v>128834</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69</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8259</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9945148</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9936889</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0.0008311454419989999</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19</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23016</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23016</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Louisburg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36"/>
      <c r="D6" s="636"/>
      <c r="E6" s="636"/>
      <c r="F6" s="636"/>
      <c r="G6" s="636"/>
      <c r="H6" s="636"/>
      <c r="I6" s="636"/>
      <c r="J6" s="636"/>
      <c r="K6" s="636"/>
    </row>
    <row r="7" spans="1:11" ht="16.5">
      <c r="A7" s="66"/>
      <c r="B7" s="640"/>
      <c r="C7" s="654"/>
      <c r="D7" s="654"/>
      <c r="E7" s="654"/>
      <c r="F7" s="654"/>
      <c r="G7" s="654"/>
      <c r="H7" s="654"/>
      <c r="I7" s="654"/>
      <c r="J7" s="654"/>
      <c r="K7" s="654"/>
    </row>
    <row r="8" spans="1:11" ht="16.5">
      <c r="A8" s="66"/>
      <c r="B8" s="640"/>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46"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f>IF(inputPrYr!E20&gt;0,inputPrYr!E20,"  ")</f>
        <v>5220</v>
      </c>
      <c r="E12" s="239">
        <f>IF(inputOth!D37&gt;0,inputOth!D37,"  ")</f>
        <v>0.404</v>
      </c>
      <c r="F12" s="240"/>
      <c r="G12" s="92">
        <f>IF(inputPrYr!E20=0,0,G25-SUM(G13:G22))</f>
        <v>238.4000000000001</v>
      </c>
      <c r="H12" s="241"/>
      <c r="I12" s="92">
        <f>IF(inputPrYr!E20=0,0,I27-SUM(I13:I22))</f>
        <v>3.4299999999999997</v>
      </c>
      <c r="J12" s="92">
        <f>IF(inputPrYr!E20=0,0,J29-SUM(J13:J22))</f>
        <v>40.69999999999999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9947</v>
      </c>
      <c r="E17" s="239">
        <f>IF(inputOth!D42&gt;0,inputOth!D42,"  ")</f>
        <v>0.817</v>
      </c>
      <c r="F17" s="240"/>
      <c r="G17" s="92">
        <f>IF(inputPrYr!E25=0,0,ROUND(D17*$G$33,0))</f>
        <v>454</v>
      </c>
      <c r="H17" s="241"/>
      <c r="I17" s="92">
        <f>IF(inputPrYr!$E$25=0,0,ROUND($D$17*$I$35,0))</f>
        <v>7</v>
      </c>
      <c r="J17" s="92">
        <f>IF(inputPrYr!E25=0,0,ROUND($D17*$J$37,0))</f>
        <v>79</v>
      </c>
      <c r="K17" s="92">
        <f>IF(inputPrYr!E25=0,0,ROUND($D17*$K$39,0))</f>
        <v>0</v>
      </c>
    </row>
    <row r="18" spans="1:11" ht="15.75">
      <c r="A18" s="66"/>
      <c r="B18" s="92" t="str">
        <f>IF(inputPrYr!$B26&gt;"  ",inputPrYr!$B26,"  ")</f>
        <v>Hall</v>
      </c>
      <c r="C18" s="238"/>
      <c r="D18" s="92">
        <f>IF(inputPrYr!E26&gt;0,inputPrYr!E26,"  ")</f>
        <v>7830</v>
      </c>
      <c r="E18" s="239">
        <f>IF(inputOth!D43&gt;0,inputOth!D43,"  ")</f>
        <v>0.606</v>
      </c>
      <c r="F18" s="240"/>
      <c r="G18" s="92">
        <f>IF(inputPrYr!E26=0,0,ROUND(D18*$G$33,0))</f>
        <v>357</v>
      </c>
      <c r="H18" s="241"/>
      <c r="I18" s="92">
        <f>IF(inputPrYr!$E$26=0,0,ROUND($D$18*$I$35,0))</f>
        <v>6</v>
      </c>
      <c r="J18" s="92">
        <f>IF(inputPrYr!E26=0,0,ROUND($D18*$J$37,0))</f>
        <v>62</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22997</v>
      </c>
      <c r="E23" s="244">
        <f>SUM(E12:E22)</f>
        <v>1.827</v>
      </c>
      <c r="F23" s="245"/>
      <c r="G23" s="243">
        <f t="shared" si="0"/>
        <v>1049.4</v>
      </c>
      <c r="H23" s="243"/>
      <c r="I23" s="243">
        <f t="shared" si="0"/>
        <v>16.43</v>
      </c>
      <c r="J23" s="243">
        <f t="shared" si="0"/>
        <v>181.7</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1049.4</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16.43</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181.7</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0.04563203896160369</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0.0007144410140453103</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0.007901030569204678</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Louisburg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0" t="s">
        <v>516</v>
      </c>
      <c r="B5" s="640"/>
      <c r="C5" s="640"/>
      <c r="D5" s="640"/>
      <c r="E5" s="640"/>
      <c r="F5" s="640"/>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2012-06-26T18:16:27Z</cp:lastPrinted>
  <dcterms:created xsi:type="dcterms:W3CDTF">1998-08-26T16:30:41Z</dcterms:created>
  <dcterms:modified xsi:type="dcterms:W3CDTF">2012-08-17T18:33:36Z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