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<sst xmlns="http://schemas.openxmlformats.org/spreadsheetml/2006/main" count="1497" uniqueCount="840">
  <si>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</si>
  <si>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</si>
  <si>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</si>
  <si>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</si>
  <si>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</si>
  <si>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</si>
  <si>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</si>
  <si>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</si>
  <si>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</si>
  <si>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</si>
  <si>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</si>
  <si>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</si>
  <si>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</si>
  <si>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</si>
  <si>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</si>
  <si>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</si>
  <si>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</si>
  <si>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</si>
  <si>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</si>
  <si>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</si>
  <si>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</si>
  <si>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</si>
  <si>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</si>
  <si>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</si>
  <si>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</si>
  <si>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</si>
  <si>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</si>
  <si>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</si>
  <si>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</si>
  <si>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</si>
  <si>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</si>
  <si>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</si>
  <si>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</si>
  <si>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</si>
  <si>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</si>
  <si>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</si>
  <si>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</si>
  <si>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</si>
  <si>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</si>
  <si>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</si>
  <si>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</si>
  <si>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</si>
  <si>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</si>
  <si>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</si>
  <si>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</si>
  <si>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</si>
  <si>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</si>
  <si>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</si>
  <si>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</si>
  <si>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</si>
  <si>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</si>
  <si>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</si>
  <si>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</si>
  <si>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</si>
  <si>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</si>
  <si>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</si>
  <si>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</si>
  <si>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</si>
  <si>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</si>
  <si>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</si>
  <si>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</si>
  <si>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</si>
  <si>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</si>
  <si>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</si>
  <si>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</si>
  <si>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</si>
  <si>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</si>
  <si>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</si>
  <si>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</si>
  <si>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</si>
  <si>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</si>
  <si>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</si>
  <si>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</si>
  <si>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</si>
  <si>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</si>
  <si>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</si>
  <si>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</si>
  <si>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</si>
  <si>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</si>
  <si>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</si>
  <si>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</si>
  <si>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</si>
  <si>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</si>
  <si>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</si>
  <si>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</si>
  <si>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</si>
  <si>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</si>
  <si>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</si>
  <si>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</si>
  <si>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</si>
  <si>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</si>
  <si>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</si>
  <si>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</si>
  <si>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</si>
  <si>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</si>
  <si>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</si>
  <si>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</si>
  <si>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</si>
  <si>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</si>
  <si>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</si>
  <si>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</si>
  <si>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</si>
  <si>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</si>
  <si>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</si>
  <si>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</si>
  <si>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</si>
  <si>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</si>
  <si>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</si>
  <si>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</si>
  <si>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</si>
  <si>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</si>
  <si>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</si>
  <si>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</si>
  <si>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</si>
  <si>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</si>
  <si>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</si>
  <si>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</si>
  <si>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</si>
  <si>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</si>
  <si>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</si>
  <si>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</si>
  <si>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</si>
  <si>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</si>
  <si>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</si>
  <si>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</si>
  <si>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</si>
  <si>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</si>
  <si>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</si>
  <si>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</si>
  <si>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</si>
  <si>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</si>
  <si>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</si>
  <si>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</si>
  <si>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</si>
  <si>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</si>
  <si>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</si>
  <si>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</si>
  <si>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</si>
  <si>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</si>
  <si>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</si>
  <si>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</si>
  <si>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</si>
  <si>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</si>
  <si>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</si>
  <si>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</si>
  <si>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</si>
  <si>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</si>
  <si>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</si>
  <si>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</si>
  <si>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</si>
  <si>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</si>
  <si>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</si>
  <si>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</si>
  <si>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</si>
  <si>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</si>
  <si>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</si>
  <si>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</si>
  <si>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</si>
  <si>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</si>
  <si>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</si>
  <si>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</si>
  <si>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</si>
  <si>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</si>
  <si>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</si>
  <si>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</si>
  <si>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</si>
  <si>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</si>
  <si>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</si>
  <si>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</si>
  <si>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</si>
  <si>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</si>
  <si>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</si>
  <si>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</si>
  <si>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</si>
  <si>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</si>
  <si>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</si>
  <si>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</si>
  <si>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</si>
  <si>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</si>
  <si>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</si>
  <si>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</si>
  <si>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</si>
  <si>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</si>
  <si>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</si>
  <si>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</si>
  <si>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</si>
  <si>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</si>
  <si>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</si>
  <si>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</si>
  <si>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</si>
  <si>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</si>
  <si>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</si>
  <si>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</si>
  <si>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</si>
  <si>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</si>
  <si>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</si>
  <si>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</si>
  <si>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</si>
  <si>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</si>
  <si>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</si>
  <si>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</si>
  <si>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</si>
  <si>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</si>
  <si>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</si>
  <si>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</si>
  <si>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</si>
  <si>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</si>
  <si>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</si>
  <si>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</si>
  <si>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</si>
  <si>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</si>
  <si>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</si>
  <si>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</si>
  <si>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</si>
  <si>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</si>
  <si>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</si>
  <si>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</si>
  <si>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</si>
  <si>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</si>
  <si>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</si>
  <si>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</si>
  <si>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</si>
  <si>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</si>
  <si>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</si>
  <si>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</si>
  <si>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</si>
  <si>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</si>
  <si>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</si>
  <si>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</si>
  <si>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</si>
  <si>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</si>
  <si>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</si>
  <si>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</si>
  <si>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</si>
  <si>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</si>
  <si>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</si>
  <si>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</si>
  <si>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</si>
  <si>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</si>
  <si>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</si>
  <si>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</si>
  <si>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</si>
  <si>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</si>
  <si>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</si>
  <si>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</si>
  <si>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</si>
  <si>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</si>
  <si>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</si>
  <si>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</si>
  <si>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</si>
  <si>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</si>
  <si>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</si>
  <si>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</si>
  <si>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</si>
  <si>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</si>
  <si>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</si>
  <si>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</si>
  <si>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</si>
  <si>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</si>
  <si>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</si>
  <si>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</si>
  <si>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</si>
  <si>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</si>
  <si>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</si>
  <si>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</si>
  <si>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</si>
  <si>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</si>
  <si>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</si>
  <si>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</si>
  <si>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</si>
  <si>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</si>
  <si>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</si>
  <si>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</si>
  <si>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</si>
  <si>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</si>
  <si>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</si>
  <si>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</si>
  <si>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</si>
  <si>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</si>
  <si>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</si>
  <si>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</si>
  <si>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</si>
  <si>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</si>
  <si>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</si>
  <si>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</si>
  <si>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</si>
  <si>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</si>
  <si>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</si>
  <si>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</si>
  <si>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</si>
  <si>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</si>
  <si>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</si>
  <si>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</si>
  <si>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</si>
  <si>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</si>
  <si>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</si>
  <si>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</si>
  <si>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</si>
  <si>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</si>
  <si>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</si>
  <si>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</si>
  <si>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</si>
  <si>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</si>
  <si>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</si>
  <si>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</si>
  <si>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</si>
  <si>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</si>
  <si>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</si>
  <si>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</si>
  <si>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</si>
  <si>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</si>
  <si>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</si>
  <si>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</si>
  <si>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</si>
  <si>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</si>
  <si>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</si>
  <si>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</si>
  <si>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</si>
  <si>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</si>
  <si>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</si>
  <si>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</si>
  <si>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</si>
  <si>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</si>
  <si>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</si>
  <si>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</si>
  <si>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</si>
  <si>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</si>
  <si>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</si>
  <si>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</si>
  <si>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</si>
  <si>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</si>
  <si>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</si>
  <si>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</si>
  <si>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</si>
  <si>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</si>
  <si>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</si>
  <si>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</si>
  <si>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</si>
  <si>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</si>
  <si>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</si>
  <si>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</si>
  <si>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</si>
  <si>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</si>
  <si>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</si>
  <si>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</si>
  <si>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</si>
  <si>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</si>
  <si>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</si>
  <si>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</si>
  <si>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</si>
  <si>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</si>
  <si>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</si>
  <si>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</si>
  <si>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</si>
  <si>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</si>
  <si>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</si>
  <si>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</si>
  <si>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</si>
  <si>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</si>
  <si>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</si>
  <si>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</si>
  <si>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</si>
  <si>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</si>
  <si>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</si>
  <si>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</si>
  <si>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</si>
  <si>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</si>
  <si>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</si>
  <si>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</si>
  <si>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</si>
  <si>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</si>
  <si>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</si>
  <si>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</si>
  <si>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</si>
  <si>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</si>
  <si>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</si>
  <si>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</si>
  <si>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</si>
  <si>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</si>
  <si>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</si>
  <si>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</si>
  <si>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</si>
  <si>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</si>
  <si>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</si>
  <si>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</si>
  <si>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</si>
  <si>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</si>
  <si>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</si>
  <si>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</si>
  <si>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</si>
  <si>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</si>
  <si>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</si>
  <si>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</si>
  <si>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</si>
  <si>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</si>
  <si>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</si>
  <si>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</si>
  <si>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</si>
  <si>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</si>
  <si>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</si>
  <si>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</si>
  <si>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</si>
  <si>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</si>
  <si>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</si>
  <si>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</si>
  <si>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</si>
  <si>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</si>
  <si>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</si>
  <si>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</si>
  <si>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</si>
  <si>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</si>
  <si>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</si>
  <si>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</si>
  <si>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</si>
  <si>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</si>
  <si>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</si>
  <si>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</si>
  <si>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</si>
  <si>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</si>
  <si>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</si>
  <si>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</si>
  <si>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</si>
  <si>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</si>
  <si>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</si>
  <si>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</si>
  <si>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</si>
  <si>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</si>
  <si>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</si>
  <si>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</si>
  <si>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</si>
  <si>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</si>
  <si>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</si>
  <si>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</si>
  <si>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</si>
  <si>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</si>
  <si>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</si>
  <si>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</si>
  <si>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</si>
  <si>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</si>
  <si>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</si>
  <si>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</si>
  <si>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</si>
  <si>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</si>
  <si>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</si>
  <si>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</si>
  <si>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</si>
  <si>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</si>
  <si>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</si>
  <si>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</si>
  <si>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</si>
  <si>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</si>
  <si>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</si>
  <si>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</si>
  <si>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</si>
  <si>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</si>
  <si>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</si>
  <si>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</si>
  <si>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</si>
  <si>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</si>
  <si>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</si>
  <si>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</si>
  <si>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</si>
  <si>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</si>
  <si>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</si>
  <si>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</si>
  <si>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</si>
  <si>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</si>
  <si>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</si>
  <si>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</si>
  <si>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</si>
  <si>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</si>
  <si>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</si>
  <si>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</si>
  <si>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</si>
  <si>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</si>
  <si>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</si>
  <si>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</si>
  <si>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</si>
  <si>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</si>
  <si>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</si>
  <si>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</si>
  <si>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</si>
  <si>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</si>
  <si>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</si>
  <si>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</si>
  <si>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</si>
  <si>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</si>
  <si>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</si>
  <si>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</si>
  <si>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</si>
  <si>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</si>
  <si>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</si>
  <si>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</si>
  <si>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</si>
  <si>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</si>
  <si>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</si>
  <si>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</si>
  <si>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</si>
  <si>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</si>
  <si>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</si>
  <si>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</si>
  <si>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</si>
  <si>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</si>
  <si>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</si>
  <si>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</si>
  <si>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</si>
  <si>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</si>
  <si>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</si>
  <si>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</si>
  <si>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</si>
  <si>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</si>
  <si>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</si>
  <si>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</si>
  <si>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</si>
  <si>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</si>
  <si>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</si>
  <si>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</si>
  <si>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</si>
  <si>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</si>
  <si>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</si>
  <si>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</si>
  <si>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</si>
  <si>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</si>
  <si>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</si>
  <si>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</si>
  <si>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</si>
  <si>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</si>
  <si>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</si>
  <si>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</si>
  <si>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</si>
  <si>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</si>
  <si>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</si>
  <si>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</si>
  <si>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</si>
  <si>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</si>
  <si>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</si>
  <si>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</si>
  <si>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</si>
  <si>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</si>
  <si>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</si>
  <si>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</si>
  <si>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</si>
  <si>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</si>
  <si>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</si>
  <si>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</si>
  <si>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</si>
  <si>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</si>
  <si>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</si>
  <si>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</si>
  <si>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</si>
  <si>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</si>
  <si>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</si>
  <si>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</si>
  <si>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</si>
  <si>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</si>
  <si>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</si>
  <si>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</si>
  <si>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</si>
  <si>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</si>
  <si>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</si>
  <si>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</si>
  <si>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</si>
  <si>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</si>
  <si>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</si>
  <si>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</si>
  <si>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</si>
  <si>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</si>
  <si>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</si>
  <si>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</si>
  <si>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</si>
  <si>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</si>
  <si>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</si>
  <si>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</si>
  <si>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</si>
  <si>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</si>
  <si>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</si>
  <si>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</si>
  <si>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</si>
  <si>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</si>
  <si>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</si>
  <si>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</si>
  <si>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</si>
  <si>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</si>
  <si>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</si>
  <si>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</si>
  <si>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</si>
  <si>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</si>
  <si>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</si>
  <si>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</si>
  <si>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</si>
  <si>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</si>
  <si>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</si>
  <si>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</si>
  <si>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</si>
  <si>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</si>
  <si>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</si>
  <si>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</si>
  <si>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</si>
  <si>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</si>
  <si>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</si>
  <si>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</si>
  <si>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</si>
  <si>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</si>
  <si>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</si>
  <si>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</si>
  <si>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</si>
  <si>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</si>
  <si>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</si>
  <si>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</si>
  <si>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</si>
  <si>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</si>
  <si>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</si>
  <si>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</si>
  <si>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</si>
  <si>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</si>
  <si>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</si>
  <si>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</si>
  <si>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</si>
  <si>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</si>
  <si>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</si>
  <si>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</si>
  <si>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</si>
  <si>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</si>
  <si>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</si>
  <si>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</si>
  <si>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</si>
  <si>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</si>
  <si>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</si>
  <si>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</si>
  <si>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</si>
  <si>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</si>
  <si>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</si>
  <si>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</si>
  <si>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</si>
  <si>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</si>
  <si>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</si>
  <si>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</si>
  <si>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</si>
  <si>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</si>
  <si>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</si>
  <si>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</si>
  <si>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</si>
  <si>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</si>
  <si>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</si>
  <si>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</si>
  <si>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</si>
  <si>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</si>
  <si>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</si>
  <si>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</si>
  <si>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</si>
  <si>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</si>
  <si>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</si>
  <si>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</si>
  <si>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</si>
  <si>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</si>
  <si>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</si>
  <si>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</si>
  <si>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</si>
  <si>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</si>
  <si>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</si>
  <si>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</si>
  <si>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</si>
  <si>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</si>
  <si>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</si>
  <si>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</si>
  <si>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</si>
  <si>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</si>
  <si>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</si>
  <si>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</si>
  <si>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</si>
  <si>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</si>
  <si>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</si>
  <si>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</si>
  <si>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</si>
  <si>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</si>
  <si>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</si>
  <si>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</si>
  <si>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</si>
  <si>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</si>
  <si>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</si>
  <si>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</si>
  <si>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</si>
  <si>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</si>
  <si>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</si>
  <si>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</si>
  <si>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</si>
  <si>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</si>
  <si>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</si>
  <si>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</si>
  <si>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</si>
  <si>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</si>
  <si>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</si>
  <si>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</si>
  <si>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</si>
  <si>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</si>
  <si>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</si>
  <si>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</si>
  <si>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</si>
  <si>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</si>
  <si>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</si>
  <si>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</si>
  <si>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</si>
  <si>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</si>
  <si>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</si>
  <si>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</si>
  <si>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</si>
  <si>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</si>
  <si>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</si>
  <si>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</si>
  <si>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</si>
  <si>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</si>
  <si>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</si>
  <si>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</si>
  <si>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</si>
  <si>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</si>
  <si>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</si>
  <si>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</si>
  <si>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</si>
  <si>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</si>
  <si>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</si>
  <si>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</si>
  <si>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</si>
  <si>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</si>
  <si>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</si>
  <si>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</si>
  <si>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</si>
  <si>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</si>
  <si>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</si>
  <si>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</si>
  <si>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</si>
  <si>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</si>
  <si>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</si>
  <si>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</si>
  <si>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</si>
  <si>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</si>
  <si>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</si>
  <si>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</si>
  <si>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</si>
  <si>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</si>
  <si>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</si>
  <si>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</si>
  <si>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</si>
  <si>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</si>
  <si>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</si>
  <si>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</si>
  <si>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</si>
  <si>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</si>
  <si>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</si>
  <si>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</si>
  <si>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</si>
  <si>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</si>
  <si>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</si>
  <si>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</si>
  <si>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</si>
  <si>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</si>
  <si>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</si>
  <si>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</si>
  <si>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</si>
  <si>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</si>
  <si>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</si>
  <si>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</si>
  <si>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</si>
  <si>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</si>
  <si>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</si>
  <si>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</si>
  <si>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</si>
  <si>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</si>
  <si>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</si>
  <si>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</si>
  <si>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</si>
  <si>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</si>
  <si>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</si>
  <si>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</si>
  <si>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</si>
  <si>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</si>
  <si>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</si>
  <si>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</si>
  <si>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</si>
  <si>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</si>
  <si>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</si>
  <si>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</si>
  <si>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</si>
  <si>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</si>
  <si>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</si>
  <si>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</si>
  <si>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</si>
  <si>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</si>
  <si>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</si>
  <si>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</si>
  <si>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</si>
  <si>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</si>
  <si>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</si>
  <si>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</si>
  <si>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</si>
  <si>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</si>
  <si>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</si>
  <si>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</si>
  <si>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</si>
  <si>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</si>
  <si>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</si>
  <si>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</si>
  <si>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</si>
  <si>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</si>
  <si>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</si>
  <si>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</si>
  <si>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</si>
  <si>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</si>
  <si>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</si>
  <si>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</si>
  <si>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</si>
  <si>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</si>
  <si>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</si>
  <si>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</si>
  <si>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</si>
  <si>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</si>
  <si>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</si>
  <si>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</si>
  <si>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</si>
  <si>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</si>
  <si>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</si>
  <si>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</si>
  <si>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</si>
  <si>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</si>
  <si>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</si>
  <si>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</si>
  <si>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</si>
  <si>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</si>
  <si>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</si>
  <si>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</si>
  <si>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</si>
  <si>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</si>
  <si>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</si>
  <si>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</si>
  <si>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</si>
  <si>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Cherry Township</t>
  </si>
  <si>
    <t>Publication</t>
  </si>
  <si>
    <t>Operations</t>
  </si>
  <si>
    <t>July 30, 2012</t>
  </si>
  <si>
    <t>7:00 PM</t>
  </si>
  <si>
    <t>Logan Park Building, Cherryvale,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</si>
</sst>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Cherry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3">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Cherry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1378.64</v>
      </c>
      <c r="D6" s="414">
        <f>C47</f>
        <v>1152.14</v>
      </c>
      <c r="E6" s="267">
        <f>D47</f>
        <v>123.1400000000001</v>
      </c>
    </row>
    <row r="7" spans="2:5" ht="15.75">
      <c r="B7" s="82" t="s">
        <v>467</v>
      </c>
      <c r="C7" s="414"/>
      <c r="D7" s="414"/>
      <c r="E7" s="328"/>
    </row>
    <row r="8" spans="2:5" ht="15.75">
      <c r="B8" s="82" t="s">
        <v>682</v>
      </c>
      <c r="C8" s="326">
        <v>0</v>
      </c>
      <c r="D8" s="414">
        <f>inputPrYr!E20</f>
        <v>0</v>
      </c>
      <c r="E8" s="328" t="s">
        <v>661</v>
      </c>
    </row>
    <row r="9" spans="2:6" ht="15.75">
      <c r="B9" s="82" t="s">
        <v>683</v>
      </c>
      <c r="C9" s="326">
        <v>0</v>
      </c>
      <c r="D9" s="326">
        <v>0</v>
      </c>
      <c r="E9" s="175">
        <v>0</v>
      </c>
      <c r="F9" s="160">
        <v>0</v>
      </c>
    </row>
    <row r="10" spans="2:5" ht="15.75">
      <c r="B10" s="82" t="s">
        <v>684</v>
      </c>
      <c r="C10" s="326">
        <v>0</v>
      </c>
      <c r="D10" s="326">
        <v>0</v>
      </c>
      <c r="E10" s="267">
        <f>mvalloc!G12</f>
        <v>0</v>
      </c>
    </row>
    <row r="11" spans="2:5" ht="15.75">
      <c r="B11" s="82" t="s">
        <v>685</v>
      </c>
      <c r="C11" s="326">
        <v>0</v>
      </c>
      <c r="D11" s="326">
        <v>0</v>
      </c>
      <c r="E11" s="267">
        <f>mvalloc!I12</f>
        <v>0</v>
      </c>
    </row>
    <row r="12" spans="2:5" ht="15.75">
      <c r="B12" s="329" t="s">
        <v>416</v>
      </c>
      <c r="C12" s="326">
        <v>0</v>
      </c>
      <c r="D12" s="326">
        <v>0</v>
      </c>
      <c r="E12" s="267">
        <f>mvalloc!J12</f>
        <v>0</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v>0</v>
      </c>
      <c r="D22" s="326">
        <v>0</v>
      </c>
      <c r="E22" s="175">
        <v>0</v>
      </c>
    </row>
    <row r="23" spans="2:5" ht="15.75">
      <c r="B23" s="332" t="s">
        <v>634</v>
      </c>
      <c r="C23" s="326">
        <v>0</v>
      </c>
      <c r="D23" s="326">
        <v>0</v>
      </c>
      <c r="E23" s="175">
        <v>0</v>
      </c>
    </row>
    <row r="24" spans="2:5" ht="15.75">
      <c r="B24" s="332" t="s">
        <v>635</v>
      </c>
      <c r="C24" s="416">
        <f>IF(C25*0.1&lt;C23,"Exceed 10% Rule","")</f>
      </c>
      <c r="D24" s="416">
        <f>IF(D25*0.1&lt;D23,"Exceed 10% Rule","")</f>
      </c>
      <c r="E24" s="336">
        <f>IF(E25*0.1+E53&lt;E23,"Exceed 10% Rule","")</f>
      </c>
    </row>
    <row r="25" spans="2:5" ht="15.75">
      <c r="B25" s="334" t="s">
        <v>689</v>
      </c>
      <c r="C25" s="417">
        <f>SUM(C8:C23)</f>
        <v>0</v>
      </c>
      <c r="D25" s="417">
        <f>SUM(D8:D23)</f>
        <v>0</v>
      </c>
      <c r="E25" s="335">
        <f>SUM(E8:E23)</f>
        <v>0</v>
      </c>
    </row>
    <row r="26" spans="2:5" ht="15.75">
      <c r="B26" s="100" t="s">
        <v>690</v>
      </c>
      <c r="C26" s="417">
        <f>C25+C6</f>
        <v>1378.64</v>
      </c>
      <c r="D26" s="417">
        <f>D25+D6</f>
        <v>1152.14</v>
      </c>
      <c r="E26" s="335">
        <f>E25+E6</f>
        <v>123.1400000000001</v>
      </c>
    </row>
    <row r="27" spans="2:5" ht="15.75">
      <c r="B27" s="82" t="s">
        <v>691</v>
      </c>
      <c r="C27" s="414"/>
      <c r="D27" s="414"/>
      <c r="E27" s="267"/>
    </row>
    <row r="28" spans="2:5" ht="15.75">
      <c r="B28" s="330"/>
      <c r="C28" s="326"/>
      <c r="D28" s="326"/>
      <c r="E28" s="175"/>
    </row>
    <row r="29" spans="2:5" ht="15.75">
      <c r="B29" s="331" t="s">
        <v>448</v>
      </c>
      <c r="C29" s="326"/>
      <c r="D29" s="326"/>
      <c r="E29" s="175"/>
    </row>
    <row r="30" spans="2:5" ht="15.75">
      <c r="B30" s="331" t="s">
        <v>472</v>
      </c>
      <c r="C30" s="326"/>
      <c r="D30" s="326"/>
      <c r="E30" s="175"/>
    </row>
    <row r="31" spans="2:5" ht="15.75">
      <c r="B31" s="331" t="s">
        <v>449</v>
      </c>
      <c r="C31" s="326"/>
      <c r="D31" s="326"/>
      <c r="E31" s="175"/>
    </row>
    <row r="32" spans="2:5" ht="15.75">
      <c r="B32" s="331" t="s">
        <v>702</v>
      </c>
      <c r="C32" s="326"/>
      <c r="D32" s="326"/>
      <c r="E32" s="175"/>
    </row>
    <row r="33" spans="2:5" ht="15.75">
      <c r="B33" s="330" t="s">
        <v>450</v>
      </c>
      <c r="C33" s="326"/>
      <c r="D33" s="326"/>
      <c r="E33" s="175"/>
    </row>
    <row r="34" spans="2:5" ht="15.75">
      <c r="B34" s="330" t="s">
        <v>473</v>
      </c>
      <c r="C34" s="326"/>
      <c r="D34" s="326"/>
      <c r="E34" s="175"/>
    </row>
    <row r="35" spans="2:5" ht="15.75">
      <c r="B35" s="331" t="s">
        <v>475</v>
      </c>
      <c r="C35" s="326">
        <v>81</v>
      </c>
      <c r="D35" s="326">
        <v>100</v>
      </c>
      <c r="E35" s="175">
        <v>100</v>
      </c>
    </row>
    <row r="36" spans="2:5" ht="15.75">
      <c r="B36" s="331" t="s">
        <v>835</v>
      </c>
      <c r="C36" s="326">
        <v>145.5</v>
      </c>
      <c r="D36" s="326">
        <v>150</v>
      </c>
      <c r="E36" s="175">
        <v>150</v>
      </c>
    </row>
    <row r="37" spans="2:5" ht="15.75">
      <c r="B37" s="330" t="s">
        <v>836</v>
      </c>
      <c r="C37" s="326"/>
      <c r="D37" s="326">
        <v>779</v>
      </c>
      <c r="E37" s="175">
        <v>1500</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123.1400000000001</v>
      </c>
      <c r="H42" s="538" t="str">
        <f>CONCATENATE("",E1-1," Ending Cash Balance (est.)")</f>
        <v>2012 Ending Cash Balance (est.)</v>
      </c>
      <c r="I42" s="539"/>
      <c r="J42" s="86"/>
    </row>
    <row r="43" spans="2:10" ht="15.75">
      <c r="B43" s="329" t="s">
        <v>636</v>
      </c>
      <c r="C43" s="326"/>
      <c r="D43" s="326"/>
      <c r="E43" s="186">
        <f>nhood!E6</f>
      </c>
      <c r="G43" s="537">
        <f>E25</f>
        <v>0</v>
      </c>
      <c r="H43" s="540" t="str">
        <f>CONCATENATE("",E1," Non-AV Receipts (est.)")</f>
        <v>2013 Non-AV Receipts (est.)</v>
      </c>
      <c r="I43" s="540"/>
      <c r="J43" s="86"/>
    </row>
    <row r="44" spans="2:10" ht="15.75">
      <c r="B44" s="329" t="s">
        <v>634</v>
      </c>
      <c r="C44" s="326"/>
      <c r="D44" s="326"/>
      <c r="E44" s="175"/>
      <c r="G44" s="541">
        <f>E53</f>
        <v>1626.86</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1750</v>
      </c>
      <c r="H45" s="540" t="str">
        <f>CONCATENATE("Total ",E1," Resources Available")</f>
        <v>Total 2013 Resources Available</v>
      </c>
      <c r="I45" s="539"/>
      <c r="J45" s="86"/>
    </row>
    <row r="46" spans="2:10" ht="15.75">
      <c r="B46" s="100" t="s">
        <v>692</v>
      </c>
      <c r="C46" s="417">
        <f>SUM(C28:C39,C41,C43:C44)</f>
        <v>226.5</v>
      </c>
      <c r="D46" s="417">
        <f>SUM(D28:D39,D41,D43:D44)</f>
        <v>1029</v>
      </c>
      <c r="E46" s="335">
        <f>SUM(E28:E39,E43:E44,E41)</f>
        <v>1750</v>
      </c>
      <c r="G46" s="542"/>
      <c r="H46" s="540"/>
      <c r="I46" s="540"/>
      <c r="J46" s="86"/>
    </row>
    <row r="47" spans="2:10" ht="15.75">
      <c r="B47" s="82" t="s">
        <v>466</v>
      </c>
      <c r="C47" s="418">
        <f>C26-C46</f>
        <v>1152.14</v>
      </c>
      <c r="D47" s="418">
        <f>D26-D46</f>
        <v>123.1400000000001</v>
      </c>
      <c r="E47" s="328" t="s">
        <v>661</v>
      </c>
      <c r="G47" s="541">
        <f>C46*0.05+C46</f>
        <v>237.825</v>
      </c>
      <c r="H47" s="540" t="str">
        <f>CONCATENATE("Less ",E1-2," Expenditures + 5%")</f>
        <v>Less 2011 Expenditures + 5%</v>
      </c>
      <c r="I47" s="539"/>
      <c r="J47" s="86"/>
    </row>
    <row r="48" spans="2:10" ht="15.75">
      <c r="B48" s="121" t="str">
        <f>CONCATENATE("",E1-2,"/",E1-1," Budget Authority Amount:")</f>
        <v>2011/2012 Budget Authority Amount:</v>
      </c>
      <c r="C48" s="362">
        <f>inputOth!B83</f>
        <v>350</v>
      </c>
      <c r="D48" s="69">
        <f>inputPrYr!D20</f>
        <v>1029</v>
      </c>
      <c r="E48" s="328" t="s">
        <v>661</v>
      </c>
      <c r="F48" s="337"/>
      <c r="G48" s="543">
        <f>G45-G47</f>
        <v>1512.175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1750</v>
      </c>
      <c r="G50" s="547">
        <f>IF(inputOth!E11=0,"",ROUND(gen!E53/inputOth!E11*1000,3))</f>
        <v>0.348</v>
      </c>
      <c r="H50" s="548" t="str">
        <f>CONCATENATE("Projected ",E1-1," Mill Rate (est.)")</f>
        <v>Projected 2012 Mill Rate (est.)</v>
      </c>
      <c r="I50" s="549"/>
      <c r="J50" s="550"/>
    </row>
    <row r="51" spans="2:10" ht="15.75">
      <c r="B51" s="528" t="str">
        <f>CONCATENATE(C71,"       ",D71)</f>
        <v>       </v>
      </c>
      <c r="C51" s="531"/>
      <c r="D51" s="530" t="s">
        <v>694</v>
      </c>
      <c r="E51" s="186">
        <f>IF(E50-E26&gt;0,E50-E26,0)</f>
        <v>1626.86</v>
      </c>
      <c r="G51" s="551"/>
      <c r="H51" s="551"/>
      <c r="I51" s="551"/>
      <c r="J51" s="551"/>
    </row>
    <row r="52" spans="2:10" ht="15.75">
      <c r="B52" s="216"/>
      <c r="C52" s="529" t="s">
        <v>333</v>
      </c>
      <c r="D52" s="533">
        <f>inputOth!$E$77</f>
        <v>0</v>
      </c>
      <c r="E52" s="267">
        <f>ROUND(IF(D52&gt;0,(E51*D52),0),0)</f>
        <v>0</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1626.86</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Cherry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Cherry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inputPrYr!B26</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inputPrYr!E26</f>
        <v>0</v>
      </c>
      <c r="E44" s="328" t="s">
        <v>661</v>
      </c>
    </row>
    <row r="45" spans="2:5" ht="15.75">
      <c r="B45" s="82" t="s">
        <v>683</v>
      </c>
      <c r="C45" s="326"/>
      <c r="D45" s="326"/>
      <c r="E45" s="175"/>
    </row>
    <row r="46" spans="2:5" ht="15.75">
      <c r="B46" s="82" t="s">
        <v>684</v>
      </c>
      <c r="C46" s="326"/>
      <c r="D46" s="326"/>
      <c r="E46" s="267">
        <f>mvalloc!G18</f>
        <v>0</v>
      </c>
    </row>
    <row r="47" spans="2:5" ht="15.75">
      <c r="B47" s="82" t="s">
        <v>685</v>
      </c>
      <c r="C47" s="326"/>
      <c r="D47" s="326"/>
      <c r="E47" s="267">
        <f>mvalloc!I18</f>
        <v>0</v>
      </c>
    </row>
    <row r="48" spans="2:5" ht="15.75">
      <c r="B48" s="82" t="s">
        <v>446</v>
      </c>
      <c r="C48" s="326"/>
      <c r="D48" s="326"/>
      <c r="E48" s="267">
        <f>mvalloc!J18</f>
        <v>0</v>
      </c>
    </row>
    <row r="49" spans="2:5" ht="15.75">
      <c r="B49" s="82" t="s">
        <v>510</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inputOth!$B89</f>
        <v>0</v>
      </c>
      <c r="D69" s="85">
        <f>inputPrYr!$D26</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Cherry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Cherry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Cherry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1029</v>
      </c>
      <c r="E20" s="175">
        <v>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0</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1029</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0</v>
      </c>
    </row>
    <row r="62" spans="1:5" ht="15.75">
      <c r="A62" s="192" t="str">
        <f>CONCATENATE("Assessed Valuation (",D9-2," budget column):")</f>
        <v>Assessed Valuation (2011 budget column):</v>
      </c>
      <c r="B62" s="168"/>
      <c r="C62" s="66"/>
      <c r="D62" s="66"/>
      <c r="E62" s="193">
        <v>4824855</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Cherry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8">
      <selection activeCell="D52" sqref="D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Cherry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July 30, 2012 at 7:00 PM at Logan Park Building, Cherryvale, KS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226.5</v>
      </c>
      <c r="C17" s="95" t="str">
        <f>IF(inputPrYr!D48&gt;0,inputPrYr!D48,"  ")</f>
        <v>  </v>
      </c>
      <c r="D17" s="92">
        <f>IF(gen!$D$46&lt;&gt;0,gen!$D$46,"  ")</f>
        <v>1029</v>
      </c>
      <c r="E17" s="95" t="str">
        <f>IF(inputOth!D37&gt;0,inputOth!D37,"  ")</f>
        <v>  </v>
      </c>
      <c r="F17" s="92">
        <f>IF(gen!$E$46&lt;&gt;0,gen!$E$46,"  ")</f>
        <v>1750</v>
      </c>
      <c r="G17" s="92">
        <f>IF(gen!$E$53&lt;&gt;0,gen!$E$53,"")</f>
        <v>1626.86</v>
      </c>
      <c r="H17" s="95">
        <f>IF(gen!E53&gt;0,ROUND(G17/F38*1000,3)," ")</f>
        <v>0.348</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4674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4674</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-1626.86</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226.5</v>
      </c>
      <c r="C34" s="504">
        <f t="shared" si="0"/>
        <v>0</v>
      </c>
      <c r="D34" s="503">
        <f t="shared" si="0"/>
        <v>1029</v>
      </c>
      <c r="E34" s="504">
        <f t="shared" si="0"/>
        <v>0</v>
      </c>
      <c r="F34" s="503">
        <f t="shared" si="0"/>
        <v>1750</v>
      </c>
      <c r="G34" s="503">
        <f t="shared" si="0"/>
        <v>1626.86</v>
      </c>
      <c r="H34" s="504">
        <f t="shared" si="0"/>
        <v>0.348</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226.5</v>
      </c>
      <c r="C36" s="66"/>
      <c r="D36" s="507">
        <f>D34-D35</f>
        <v>1029</v>
      </c>
      <c r="E36" s="66"/>
      <c r="F36" s="507">
        <f>F34-F35</f>
        <v>1750</v>
      </c>
      <c r="G36" s="66"/>
      <c r="H36" s="66"/>
      <c r="J36" s="576" t="str">
        <f>CONCATENATE("",H1," Ad Valorem Tax Rev(Township Only):")</f>
        <v>2013 Ad Valorem Tax Rev(Township Only):</v>
      </c>
      <c r="K36" s="10"/>
      <c r="L36" s="10"/>
      <c r="M36" s="579">
        <f>SUM(G19:G22)</f>
        <v>0</v>
      </c>
    </row>
    <row r="37" spans="1:13" ht="16.5" thickTop="1">
      <c r="A37" s="108" t="s">
        <v>392</v>
      </c>
      <c r="B37" s="236">
        <f>inputPrYr!E61</f>
        <v>0</v>
      </c>
      <c r="C37" s="213"/>
      <c r="D37" s="236">
        <f>inputPrYr!E31</f>
        <v>0</v>
      </c>
      <c r="E37" s="66"/>
      <c r="F37" s="508" t="s">
        <v>661</v>
      </c>
      <c r="G37" s="66"/>
      <c r="H37" s="66"/>
      <c r="J37" s="576" t="str">
        <f>CONCATENATE("",H1," Ad Valorem Tax Rev(Township Tot):")</f>
        <v>2013 Ad Valorem Tax Rev(Township Tot):</v>
      </c>
      <c r="K37" s="10"/>
      <c r="L37" s="10"/>
      <c r="M37" s="592">
        <f>SUM(G17,G18,G23,G24,G25,G26,G27)</f>
        <v>1626.86</v>
      </c>
    </row>
    <row r="38" spans="1:13" ht="15.75">
      <c r="A38" s="108" t="s">
        <v>585</v>
      </c>
      <c r="B38" s="92">
        <f>inputPrYr!E62</f>
        <v>4824855</v>
      </c>
      <c r="C38" s="213"/>
      <c r="D38" s="92">
        <f>inputOth!E54</f>
        <v>4919510</v>
      </c>
      <c r="E38" s="213"/>
      <c r="F38" s="92">
        <f>inputOth!E11</f>
        <v>4673726</v>
      </c>
      <c r="G38" s="66"/>
      <c r="H38" s="66"/>
      <c r="J38" s="576" t="str">
        <f>CONCATENATE("Total ",H1," Ad Valorem Tax Revenue:")</f>
        <v>Total 2013 Ad Valorem Tax Revenue:</v>
      </c>
      <c r="K38" s="73"/>
      <c r="L38" s="73"/>
      <c r="M38" s="593">
        <f>M36+M37</f>
        <v>1626.86</v>
      </c>
    </row>
    <row r="39" spans="1:14" ht="15.75">
      <c r="A39" s="82" t="s">
        <v>641</v>
      </c>
      <c r="B39" s="214"/>
      <c r="C39" s="66"/>
      <c r="D39" s="182"/>
      <c r="E39" s="66"/>
      <c r="F39" s="92">
        <f>inputOth!E8</f>
        <v>4673726</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0</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0</v>
      </c>
      <c r="O41" s="586"/>
    </row>
    <row r="42" spans="1:13" ht="15.75">
      <c r="A42" s="74" t="s">
        <v>394</v>
      </c>
      <c r="B42" s="215">
        <f>H1-3</f>
        <v>2010</v>
      </c>
      <c r="C42" s="66"/>
      <c r="D42" s="215">
        <f>H1-2</f>
        <v>2011</v>
      </c>
      <c r="E42" s="66"/>
      <c r="F42" s="215">
        <f>H1-1</f>
        <v>2012</v>
      </c>
      <c r="G42" s="66"/>
      <c r="H42" s="66"/>
      <c r="J42" s="573" t="s">
        <v>340</v>
      </c>
      <c r="K42" s="572"/>
      <c r="L42" s="572"/>
      <c r="M42" s="571">
        <f>M38-M41</f>
        <v>1626.86</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1626.86</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7</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38" sqref="C3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Cherry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4673726</v>
      </c>
      <c r="E20" s="66"/>
      <c r="F20" s="196"/>
    </row>
    <row r="21" spans="1:6" ht="15.75">
      <c r="A21" s="66"/>
      <c r="B21" s="66"/>
      <c r="C21" s="66"/>
      <c r="D21" s="66"/>
      <c r="E21" s="66"/>
      <c r="F21" s="196"/>
    </row>
    <row r="22" spans="1:6" ht="15.75">
      <c r="A22" s="66"/>
      <c r="B22" s="690" t="s">
        <v>782</v>
      </c>
      <c r="C22" s="690"/>
      <c r="D22" s="372">
        <f>IF(D20&gt;0,(D20*0.001),"")</f>
        <v>4673.726</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E48" sqref="E48"/>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Cherry Township </v>
      </c>
      <c r="I6">
        <f>CONCATENATE(I7)</f>
      </c>
    </row>
    <row r="7" spans="1:7" ht="15.75">
      <c r="A7" s="699" t="str">
        <f>CONCATENATE("   with respect to financing the ",inputPrYr!D9," annual budget for ",(inputPrYr!D3)," , ",(inputPrYr!D4)," , Kansas.")</f>
        <v>   with respect to financing the 2013 annual budget for Cherry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Cherry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Cherry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Cherry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Cherry Township of Montgomery County, Kansas that is our desire to notify the public of increased property taxes to finance the 2013 Cherry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Cherry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Cherry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v>9</v>
      </c>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3">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Cherry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4673726</v>
      </c>
    </row>
    <row r="9" spans="1:5" ht="15.75">
      <c r="A9" s="15">
        <f>inputPrYr!$D$6</f>
        <v>0</v>
      </c>
      <c r="B9" s="16"/>
      <c r="C9" s="16"/>
      <c r="D9" s="16"/>
      <c r="E9" s="35">
        <v>0</v>
      </c>
    </row>
    <row r="10" spans="1:5" ht="15.75">
      <c r="A10" s="15">
        <f>inputPrYr!$D$7</f>
        <v>0</v>
      </c>
      <c r="B10" s="16"/>
      <c r="C10" s="16"/>
      <c r="D10" s="16"/>
      <c r="E10" s="35">
        <v>0</v>
      </c>
    </row>
    <row r="11" spans="1:5" ht="15.75">
      <c r="A11" s="15" t="str">
        <f>CONCATENATE("Total Assessed Valuation for ",$E$1-1,"")</f>
        <v>Total Assessed Valuation for 2012</v>
      </c>
      <c r="B11" s="16"/>
      <c r="C11" s="16"/>
      <c r="D11" s="16"/>
      <c r="E11" s="54">
        <f>SUM(E8:E10)</f>
        <v>4673726</v>
      </c>
    </row>
    <row r="12" spans="1:5" ht="15.75">
      <c r="A12" s="55" t="str">
        <f>CONCATENATE("New Improvements for ",E1-1,":")</f>
        <v>New Improvements for 2012:</v>
      </c>
      <c r="B12" s="10"/>
      <c r="C12" s="10"/>
      <c r="D12" s="10"/>
      <c r="E12" s="34"/>
    </row>
    <row r="13" spans="1:5" ht="15.75">
      <c r="A13" s="13" t="s">
        <v>557</v>
      </c>
      <c r="B13" s="14"/>
      <c r="C13" s="14"/>
      <c r="D13" s="14"/>
      <c r="E13" s="53">
        <v>25472</v>
      </c>
    </row>
    <row r="14" spans="1:5" ht="15.75">
      <c r="A14" s="15">
        <f>inputPrYr!$D$6</f>
        <v>0</v>
      </c>
      <c r="B14" s="14"/>
      <c r="C14" s="14"/>
      <c r="D14" s="14"/>
      <c r="E14" s="3">
        <v>0</v>
      </c>
    </row>
    <row r="15" spans="1:5" ht="15.75">
      <c r="A15" s="15">
        <f>inputPrYr!$D$7</f>
        <v>0</v>
      </c>
      <c r="B15" s="14"/>
      <c r="C15" s="14"/>
      <c r="D15" s="14"/>
      <c r="E15" s="3">
        <v>0</v>
      </c>
    </row>
    <row r="16" spans="1:5" ht="15.75">
      <c r="A16" s="15" t="str">
        <f>CONCATENATE("Total New Improvements for ",$E$1-1,"")</f>
        <v>Total New Improvements for 2012</v>
      </c>
      <c r="B16" s="16"/>
      <c r="C16" s="16"/>
      <c r="D16" s="16"/>
      <c r="E16" s="52">
        <f>SUM(E13:E15)</f>
        <v>25472</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136798</v>
      </c>
    </row>
    <row r="19" spans="1:5" ht="15.75">
      <c r="A19" s="15">
        <f>inputPrYr!$D$6</f>
        <v>0</v>
      </c>
      <c r="B19" s="16"/>
      <c r="C19" s="16"/>
      <c r="D19" s="16"/>
      <c r="E19" s="3">
        <v>0</v>
      </c>
    </row>
    <row r="20" spans="1:5" ht="15.75">
      <c r="A20" s="15">
        <f>inputPrYr!$D$7</f>
        <v>0</v>
      </c>
      <c r="B20" s="16"/>
      <c r="C20" s="16"/>
      <c r="D20" s="16"/>
      <c r="E20" s="3">
        <v>0</v>
      </c>
    </row>
    <row r="21" spans="1:5" ht="15.75">
      <c r="A21" s="15" t="str">
        <f>CONCATENATE("Total Personal Property excluding oil, gas, and mobile homes for ",$E$1-1,"")</f>
        <v>Total Personal Property excluding oil, gas, and mobile homes for 2012</v>
      </c>
      <c r="B21" s="16"/>
      <c r="C21" s="16"/>
      <c r="D21" s="16"/>
      <c r="E21" s="52">
        <f>SUM(E18:E20)</f>
        <v>136798</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1393</v>
      </c>
    </row>
    <row r="24" spans="1:5" ht="15.75">
      <c r="A24" s="15">
        <f>inputPrYr!$D$6</f>
        <v>0</v>
      </c>
      <c r="B24" s="16"/>
      <c r="C24" s="16"/>
      <c r="D24" s="16"/>
      <c r="E24" s="3">
        <v>0</v>
      </c>
    </row>
    <row r="25" spans="1:5" ht="15.75">
      <c r="A25" s="15">
        <f>inputPrYr!$D$7</f>
        <v>0</v>
      </c>
      <c r="B25" s="16"/>
      <c r="C25" s="16"/>
      <c r="D25" s="16"/>
      <c r="E25" s="3">
        <v>0</v>
      </c>
    </row>
    <row r="26" spans="1:5" ht="15.75">
      <c r="A26" s="15" t="str">
        <f>CONCATENATE("Total Property that has changed in use for ",$E$1-1,"")</f>
        <v>Total Property that has changed in use for 2012</v>
      </c>
      <c r="B26" s="16"/>
      <c r="C26" s="16"/>
      <c r="D26" s="16"/>
      <c r="E26" s="52">
        <f>SUM(E23:E25)</f>
        <v>1393</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223658</v>
      </c>
    </row>
    <row r="29" spans="1:5" ht="15.75">
      <c r="A29" s="15">
        <f>inputPrYr!$D$6</f>
        <v>0</v>
      </c>
      <c r="B29" s="16"/>
      <c r="C29" s="16"/>
      <c r="D29" s="16"/>
      <c r="E29" s="3">
        <v>0</v>
      </c>
    </row>
    <row r="30" spans="1:5" ht="15.75">
      <c r="A30" s="15">
        <f>inputPrYr!$D$7</f>
        <v>0</v>
      </c>
      <c r="B30" s="16"/>
      <c r="C30" s="16"/>
      <c r="D30" s="16"/>
      <c r="E30" s="3">
        <v>0</v>
      </c>
    </row>
    <row r="31" spans="1:5" ht="15.75">
      <c r="A31" s="15" t="str">
        <f>CONCATENATE("Total Personal Property excluding oil, gas, and mobile homes for ",$E$1-2,"")</f>
        <v>Total Personal Property excluding oil, gas, and mobile homes for 2011</v>
      </c>
      <c r="B31" s="16"/>
      <c r="C31" s="16"/>
      <c r="D31" s="16"/>
      <c r="E31" s="52">
        <f>SUM(E28:E30)</f>
        <v>223658</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4919510</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4919510</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0</v>
      </c>
    </row>
    <row r="59" spans="1:5" ht="15.75">
      <c r="A59" s="15" t="s">
        <v>648</v>
      </c>
      <c r="B59" s="16"/>
      <c r="C59" s="16"/>
      <c r="D59" s="40"/>
      <c r="E59" s="2">
        <v>0</v>
      </c>
    </row>
    <row r="60" spans="1:5" ht="15.75">
      <c r="A60" s="15" t="s">
        <v>508</v>
      </c>
      <c r="B60" s="16"/>
      <c r="C60" s="16"/>
      <c r="D60" s="40"/>
      <c r="E60" s="2">
        <v>0</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v>
      </c>
    </row>
    <row r="77" spans="1:5" ht="15.75">
      <c r="A77" s="17" t="s">
        <v>556</v>
      </c>
      <c r="B77" s="17"/>
      <c r="C77" s="10"/>
      <c r="D77" s="10"/>
      <c r="E77" s="512">
        <v>0</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350</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837</v>
      </c>
      <c r="C5" s="392"/>
      <c r="D5" s="220" t="s">
        <v>10</v>
      </c>
    </row>
    <row r="6" spans="1:4" ht="15.75">
      <c r="A6" s="220"/>
      <c r="B6" s="393"/>
      <c r="C6" s="394"/>
      <c r="D6" s="220" t="s">
        <v>9</v>
      </c>
    </row>
    <row r="7" spans="1:4" ht="15.75">
      <c r="A7" s="220" t="s">
        <v>793</v>
      </c>
      <c r="B7" s="391" t="s">
        <v>838</v>
      </c>
      <c r="C7" s="395"/>
      <c r="D7" s="220"/>
    </row>
    <row r="8" spans="1:4" ht="15.75">
      <c r="A8" s="220"/>
      <c r="B8" s="220"/>
      <c r="C8" s="220"/>
      <c r="D8" s="220"/>
    </row>
    <row r="9" spans="1:5" ht="15.75">
      <c r="A9" s="220" t="s">
        <v>794</v>
      </c>
      <c r="B9" s="157" t="s">
        <v>839</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Cherry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1750</v>
      </c>
      <c r="E20" s="85">
        <f>IF(gen!$E$53&lt;&gt;0,gen!$E$53,0)</f>
        <v>1626.86</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1750</v>
      </c>
      <c r="E37" s="102">
        <f>SUM(E20:E36)</f>
        <v>1626.86</v>
      </c>
      <c r="F37" s="103">
        <f>IF(SUM(F20:F36)&gt;0,SUM(F20:F36),"")</f>
      </c>
    </row>
    <row r="38" spans="1:3" s="66" customFormat="1" ht="16.5" thickTop="1">
      <c r="A38" s="87" t="s">
        <v>515</v>
      </c>
      <c r="B38" s="83"/>
      <c r="C38" s="98">
        <f>summ!C52</f>
        <v>7</v>
      </c>
    </row>
    <row r="39" spans="1:5" s="66" customFormat="1" ht="15.75">
      <c r="A39" s="82" t="s">
        <v>571</v>
      </c>
      <c r="B39" s="83"/>
      <c r="C39" s="98">
        <f>IF(nhood!C39&gt;0,nhood!C39,"")</f>
        <v>8</v>
      </c>
      <c r="D39" s="104" t="s">
        <v>505</v>
      </c>
      <c r="E39" s="105" t="str">
        <f>IF(E37&gt;computation!J34,"Yes","No")</f>
        <v>Yes</v>
      </c>
    </row>
    <row r="40" spans="1:5" s="66" customFormat="1" ht="15.75">
      <c r="A40" s="87" t="s">
        <v>504</v>
      </c>
      <c r="B40" s="83"/>
      <c r="C40" s="98">
        <f>IF(Resolution!D50&gt;0,Resolution!D50,"")</f>
        <v>9</v>
      </c>
      <c r="D40" s="106"/>
      <c r="E40" s="107"/>
    </row>
    <row r="41" spans="1:6" s="66" customFormat="1" ht="15.75">
      <c r="A41" s="82" t="s">
        <v>445</v>
      </c>
      <c r="B41" s="640" t="s">
        <v>471</v>
      </c>
      <c r="C41" s="641"/>
      <c r="D41" s="109"/>
      <c r="F41" s="74" t="s">
        <v>662</v>
      </c>
    </row>
    <row r="42" spans="1:6" s="66" customFormat="1" ht="15.75">
      <c r="A42" s="82" t="str">
        <f>inputPrYr!D3</f>
        <v>Cherry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Cherry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0</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0</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25472</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136798</v>
      </c>
      <c r="F14" s="270"/>
      <c r="G14" s="194"/>
      <c r="H14" s="194"/>
      <c r="I14" s="274"/>
      <c r="J14" s="194"/>
    </row>
    <row r="15" spans="1:10" ht="15.75">
      <c r="A15" s="269"/>
      <c r="B15" s="66" t="s">
        <v>435</v>
      </c>
      <c r="C15" s="66" t="str">
        <f>CONCATENATE("Personal Property ",J1-2,"")</f>
        <v>Personal Property 2011</v>
      </c>
      <c r="D15" s="269" t="s">
        <v>430</v>
      </c>
      <c r="E15" s="273">
        <f>inputOth!E31</f>
        <v>223658</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1393</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26865</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4673726</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4646861</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0.005781322058051661</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0</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Cherry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t="str">
        <f>IF(inputPrYr!E20&gt;0,inputPrYr!E20,"  ")</f>
        <v>  </v>
      </c>
      <c r="E12" s="239" t="str">
        <f>IF(inputOth!D37&gt;0,inputOth!D37,"  ")</f>
        <v>  </v>
      </c>
      <c r="F12" s="240"/>
      <c r="G12" s="92">
        <f>IF(inputPrYr!E20=0,0,G25-SUM(G13:G22))</f>
        <v>0</v>
      </c>
      <c r="H12" s="241"/>
      <c r="I12" s="92">
        <f>IF(inputPrYr!E20=0,0,I27-SUM(I13:I22))</f>
        <v>0</v>
      </c>
      <c r="J12" s="92">
        <f>IF(inputPrYr!E20=0,0,J29-SUM(J13:J22))</f>
        <v>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0</v>
      </c>
      <c r="E23" s="244">
        <f>SUM(E12:E22)</f>
        <v>0</v>
      </c>
      <c r="F23" s="245"/>
      <c r="G23" s="243">
        <f t="shared" si="0"/>
        <v>0</v>
      </c>
      <c r="H23" s="243"/>
      <c r="I23" s="243">
        <f t="shared" si="0"/>
        <v>0</v>
      </c>
      <c r="J23" s="243">
        <f t="shared" si="0"/>
        <v>0</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0</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Cherry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2012-06-22T19:40:23Z</cp:lastPrinted>
  <dcterms:created xsi:type="dcterms:W3CDTF">1998-08-26T16:30:41Z</dcterms:created>
  <dcterms:modified xsi:type="dcterms:W3CDTF">2012-08-17T18:30:00Z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