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7"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<sst xmlns="http://schemas.openxmlformats.org/spreadsheetml/2006/main" count="1565" uniqueCount="947">
  <si>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</si>
  <si>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</si>
  <si>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</si>
  <si>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</si>
  <si>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</si>
  <si>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</si>
  <si>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</si>
  <si>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</si>
  <si>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</si>
  <si>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</si>
  <si>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</si>
  <si>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</si>
  <si>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</si>
  <si>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</si>
  <si>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</si>
  <si>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</si>
  <si>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</si>
  <si>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</si>
  <si>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</si>
  <si>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</si>
  <si>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</si>
  <si>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</si>
  <si>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</si>
  <si>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</si>
  <si>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</si>
  <si>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</si>
  <si>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</si>
  <si>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</si>
  <si>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</si>
  <si>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</si>
  <si>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</si>
  <si>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</si>
  <si>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</si>
  <si>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</si>
  <si>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</si>
  <si>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</si>
  <si>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</si>
  <si>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</si>
  <si>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</si>
  <si>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</si>
  <si>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</si>
  <si>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</si>
  <si>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</si>
  <si>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</si>
  <si>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</si>
  <si>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</si>
  <si>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</si>
  <si>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</si>
  <si>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</si>
  <si>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</si>
  <si>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</si>
  <si>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</si>
  <si>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</si>
  <si>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</si>
  <si>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</si>
  <si>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</si>
  <si>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</si>
  <si>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</si>
  <si>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</si>
  <si>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</si>
  <si>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</si>
  <si>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</si>
  <si>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</si>
  <si>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</si>
  <si>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</si>
  <si>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</si>
  <si>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</si>
  <si>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</si>
  <si>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</si>
  <si>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</si>
  <si>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</si>
  <si>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</si>
  <si>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</si>
  <si>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</si>
  <si>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</si>
  <si>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</si>
  <si>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</si>
  <si>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</si>
  <si>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</si>
  <si>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</si>
  <si>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</si>
  <si>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</si>
  <si>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</si>
  <si>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</si>
  <si>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</si>
  <si>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</si>
  <si>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</si>
  <si>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</si>
  <si>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</si>
  <si>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</si>
  <si>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</si>
  <si>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</si>
  <si>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</si>
  <si>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</si>
  <si>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</si>
  <si>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</si>
  <si>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</si>
  <si>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</si>
  <si>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</si>
  <si>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</si>
  <si>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</si>
  <si>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</si>
  <si>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</si>
  <si>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</si>
  <si>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</si>
  <si>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</si>
  <si>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</si>
  <si>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</si>
  <si>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</si>
  <si>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</si>
  <si>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</si>
  <si>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</si>
  <si>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</si>
  <si>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</si>
  <si>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</si>
  <si>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</si>
  <si>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</si>
  <si>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</si>
  <si>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</si>
  <si>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</si>
  <si>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</si>
  <si>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</si>
  <si>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</si>
  <si>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</si>
  <si>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</si>
  <si>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</si>
  <si>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</si>
  <si>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</si>
  <si>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</si>
  <si>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</si>
  <si>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</si>
  <si>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</si>
  <si>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</si>
  <si>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</si>
  <si>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</si>
  <si>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</si>
  <si>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</si>
  <si>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</si>
  <si>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</si>
  <si>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</si>
  <si>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</si>
  <si>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</si>
  <si>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</si>
  <si>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</si>
  <si>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</si>
  <si>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</si>
  <si>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</si>
  <si>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</si>
  <si>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</si>
  <si>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</si>
  <si>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</si>
  <si>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</si>
  <si>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</si>
  <si>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</si>
  <si>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</si>
  <si>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</si>
  <si>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</si>
  <si>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</si>
  <si>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</si>
  <si>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</si>
  <si>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</si>
  <si>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</si>
  <si>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</si>
  <si>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</si>
  <si>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</si>
  <si>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</si>
  <si>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</si>
  <si>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</si>
  <si>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</si>
  <si>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</si>
  <si>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</si>
  <si>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</si>
  <si>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</si>
  <si>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</si>
  <si>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</si>
  <si>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</si>
  <si>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</si>
  <si>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</si>
  <si>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</si>
  <si>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</si>
  <si>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</si>
  <si>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</si>
  <si>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</si>
  <si>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</si>
  <si>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</si>
  <si>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</si>
  <si>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</si>
  <si>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</si>
  <si>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</si>
  <si>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</si>
  <si>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</si>
  <si>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</si>
  <si>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</si>
  <si>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</si>
  <si>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</si>
  <si>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</si>
  <si>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</si>
  <si>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</si>
  <si>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</si>
  <si>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</si>
  <si>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</si>
  <si>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</si>
  <si>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</si>
  <si>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</si>
  <si>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</si>
  <si>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</si>
  <si>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</si>
  <si>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</si>
  <si>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</si>
  <si>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</si>
  <si>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</si>
  <si>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</si>
  <si>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</si>
  <si>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</si>
  <si>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</si>
  <si>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</si>
  <si>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</si>
  <si>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</si>
  <si>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</si>
  <si>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</si>
  <si>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</si>
  <si>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</si>
  <si>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</si>
  <si>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</si>
  <si>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</si>
  <si>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</si>
  <si>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</si>
  <si>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</si>
  <si>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</si>
  <si>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</si>
  <si>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</si>
  <si>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</si>
  <si>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</si>
  <si>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</si>
  <si>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</si>
  <si>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</si>
  <si>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</si>
  <si>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</si>
  <si>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</si>
  <si>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</si>
  <si>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</si>
  <si>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</si>
  <si>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</si>
  <si>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</si>
  <si>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</si>
  <si>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</si>
  <si>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</si>
  <si>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</si>
  <si>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</si>
  <si>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</si>
  <si>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</si>
  <si>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</si>
  <si>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</si>
  <si>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</si>
  <si>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</si>
  <si>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</si>
  <si>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</si>
  <si>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</si>
  <si>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</si>
  <si>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</si>
  <si>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</si>
  <si>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</si>
  <si>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</si>
  <si>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</si>
  <si>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</si>
  <si>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</si>
  <si>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</si>
  <si>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</si>
  <si>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</si>
  <si>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</si>
  <si>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</si>
  <si>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</si>
  <si>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</si>
  <si>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</si>
  <si>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</si>
  <si>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</si>
  <si>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</si>
  <si>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</si>
  <si>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</si>
  <si>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</si>
  <si>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</si>
  <si>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</si>
  <si>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</si>
  <si>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</si>
  <si>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</si>
  <si>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</si>
  <si>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</si>
  <si>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</si>
  <si>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</si>
  <si>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</si>
  <si>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</si>
  <si>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</si>
  <si>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</si>
  <si>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</si>
  <si>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</si>
  <si>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</si>
  <si>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</si>
  <si>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</si>
  <si>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</si>
  <si>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</si>
  <si>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</si>
  <si>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</si>
  <si>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</si>
  <si>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</si>
  <si>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</si>
  <si>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</si>
  <si>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</si>
  <si>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</si>
  <si>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</si>
  <si>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</si>
  <si>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</si>
  <si>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</si>
  <si>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</si>
  <si>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</si>
  <si>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</si>
  <si>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</si>
  <si>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</si>
  <si>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</si>
  <si>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</si>
  <si>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</si>
  <si>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</si>
  <si>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</si>
  <si>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</si>
  <si>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</si>
  <si>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</si>
  <si>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</si>
  <si>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</si>
  <si>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</si>
  <si>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</si>
  <si>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</si>
  <si>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</si>
  <si>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</si>
  <si>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</si>
  <si>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</si>
  <si>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</si>
  <si>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</si>
  <si>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</si>
  <si>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</si>
  <si>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</si>
  <si>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</si>
  <si>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</si>
  <si>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</si>
  <si>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</si>
  <si>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</si>
  <si>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</si>
  <si>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</si>
  <si>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</si>
  <si>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</si>
  <si>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</si>
  <si>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</si>
  <si>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</si>
  <si>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</si>
  <si>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</si>
  <si>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</si>
  <si>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</si>
  <si>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</si>
  <si>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</si>
  <si>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</si>
  <si>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</si>
  <si>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</si>
  <si>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</si>
  <si>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</si>
  <si>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</si>
  <si>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</si>
  <si>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</si>
  <si>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</si>
  <si>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</si>
  <si>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</si>
  <si>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</si>
  <si>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</si>
  <si>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</si>
  <si>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</si>
  <si>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</si>
  <si>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</si>
  <si>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</si>
  <si>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</si>
  <si>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</si>
  <si>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</si>
  <si>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</si>
  <si>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</si>
  <si>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</si>
  <si>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</si>
  <si>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</si>
  <si>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</si>
  <si>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</si>
  <si>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</si>
  <si>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</si>
  <si>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</si>
  <si>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</si>
  <si>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</si>
  <si>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</si>
  <si>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</si>
  <si>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</si>
  <si>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</si>
  <si>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</si>
  <si>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</si>
  <si>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</si>
  <si>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</si>
  <si>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</si>
  <si>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</si>
  <si>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</si>
  <si>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</si>
  <si>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</si>
  <si>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</si>
  <si>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</si>
  <si>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</si>
  <si>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</si>
  <si>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</si>
  <si>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</si>
  <si>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</si>
  <si>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</si>
  <si>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</si>
  <si>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</si>
  <si>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</si>
  <si>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</si>
  <si>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</si>
  <si>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</si>
  <si>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</si>
  <si>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</si>
  <si>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</si>
  <si>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</si>
  <si>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</si>
  <si>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</si>
  <si>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</si>
  <si>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</si>
  <si>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</si>
  <si>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</si>
  <si>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</si>
  <si>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</si>
  <si>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</si>
  <si>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</si>
  <si>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</si>
  <si>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</si>
  <si>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</si>
  <si>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</si>
  <si>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</si>
  <si>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</si>
  <si>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</si>
  <si>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</si>
  <si>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</si>
  <si>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</si>
  <si>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</si>
  <si>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</si>
  <si>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</si>
  <si>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</si>
  <si>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</si>
  <si>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</si>
  <si>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</si>
  <si>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</si>
  <si>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</si>
  <si>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</si>
  <si>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</si>
  <si>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</si>
  <si>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</si>
  <si>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</si>
  <si>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</si>
  <si>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</si>
  <si>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</si>
  <si>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</si>
  <si>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</si>
  <si>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</si>
  <si>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</si>
  <si>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</si>
  <si>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</si>
  <si>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</si>
  <si>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</si>
  <si>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</si>
  <si>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</si>
  <si>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</si>
  <si>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</si>
  <si>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</si>
  <si>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</si>
  <si>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</si>
  <si>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</si>
  <si>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</si>
  <si>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</si>
  <si>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</si>
  <si>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</si>
  <si>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</si>
  <si>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</si>
  <si>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</si>
  <si>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</si>
  <si>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</si>
  <si>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</si>
  <si>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</si>
  <si>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</si>
  <si>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</si>
  <si>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</si>
  <si>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</si>
  <si>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</si>
  <si>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</si>
  <si>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</si>
  <si>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</si>
  <si>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</si>
  <si>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</si>
  <si>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</si>
  <si>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</si>
  <si>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</si>
  <si>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</si>
  <si>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</si>
  <si>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</si>
  <si>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</si>
  <si>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</si>
  <si>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</si>
  <si>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</si>
  <si>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</si>
  <si>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</si>
  <si>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</si>
  <si>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</si>
  <si>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</si>
  <si>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</si>
  <si>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</si>
  <si>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</si>
  <si>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</si>
  <si>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</si>
  <si>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</si>
  <si>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</si>
  <si>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</si>
  <si>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</si>
  <si>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</si>
  <si>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</si>
  <si>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</si>
  <si>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</si>
  <si>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</si>
  <si>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</si>
  <si>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</si>
  <si>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</si>
  <si>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</si>
  <si>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</si>
  <si>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</si>
  <si>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</si>
  <si>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</si>
  <si>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</si>
  <si>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</si>
  <si>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</si>
  <si>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</si>
  <si>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</si>
  <si>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</si>
  <si>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</si>
  <si>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</si>
  <si>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</si>
  <si>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</si>
  <si>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</si>
  <si>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</si>
  <si>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</si>
  <si>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</si>
  <si>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</si>
  <si>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</si>
  <si>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</si>
  <si>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</si>
  <si>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</si>
  <si>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</si>
  <si>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</si>
  <si>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</si>
  <si>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</si>
  <si>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</si>
  <si>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</si>
  <si>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</si>
  <si>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</si>
  <si>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</si>
  <si>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</si>
  <si>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</si>
  <si>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</si>
  <si>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</si>
  <si>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</si>
  <si>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</si>
  <si>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</si>
  <si>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</si>
  <si>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</si>
  <si>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</si>
  <si>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</si>
  <si>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</si>
  <si>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</si>
  <si>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</si>
  <si>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</si>
  <si>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</si>
  <si>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</si>
  <si>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</si>
  <si>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</si>
  <si>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</si>
  <si>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</si>
  <si>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</si>
  <si>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</si>
  <si>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</si>
  <si>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</si>
  <si>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</si>
  <si>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</si>
  <si>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</si>
  <si>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</si>
  <si>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</si>
  <si>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</si>
  <si>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</si>
  <si>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</si>
  <si>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</si>
  <si>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</si>
  <si>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</si>
  <si>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</si>
  <si>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</si>
  <si>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</si>
  <si>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</si>
  <si>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</si>
  <si>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</si>
  <si>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</si>
  <si>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</si>
  <si>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</si>
  <si>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</si>
  <si>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</si>
  <si>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</si>
  <si>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</si>
  <si>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</si>
  <si>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</si>
  <si>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</si>
  <si>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</si>
  <si>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</si>
  <si>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</si>
  <si>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</si>
  <si>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</si>
  <si>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</si>
  <si>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</si>
  <si>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</si>
  <si>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</si>
  <si>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</si>
  <si>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</si>
  <si>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</si>
  <si>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</si>
  <si>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</si>
  <si>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</si>
  <si>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</si>
  <si>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</si>
  <si>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</si>
  <si>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</si>
  <si>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</si>
  <si>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</si>
  <si>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</si>
  <si>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</si>
  <si>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</si>
  <si>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</si>
  <si>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</si>
  <si>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</si>
  <si>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</si>
  <si>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</si>
  <si>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</si>
  <si>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</si>
  <si>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</si>
  <si>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</si>
  <si>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</si>
  <si>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</si>
  <si>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</si>
  <si>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</si>
  <si>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</si>
  <si>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</si>
  <si>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</si>
  <si>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</si>
  <si>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</si>
  <si>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</si>
  <si>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</si>
  <si>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</si>
  <si>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</si>
  <si>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</si>
  <si>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</si>
  <si>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</si>
  <si>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</si>
  <si>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</si>
  <si>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</si>
  <si>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</si>
  <si>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</si>
  <si>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</si>
  <si>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</si>
  <si>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</si>
  <si>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</si>
  <si>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</si>
  <si>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</si>
  <si>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</si>
  <si>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</si>
  <si>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</si>
  <si>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</si>
  <si>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</si>
  <si>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</si>
  <si>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</si>
  <si>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</si>
  <si>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</si>
  <si>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</si>
  <si>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</si>
  <si>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</si>
  <si>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</si>
  <si>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</si>
  <si>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</si>
  <si>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</si>
  <si>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</si>
  <si>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</si>
  <si>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</si>
  <si>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</si>
  <si>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</si>
  <si>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</si>
  <si>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</si>
  <si>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</si>
  <si>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</si>
  <si>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</si>
  <si>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</si>
  <si>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</si>
  <si>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</si>
  <si>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</si>
  <si>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</si>
  <si>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</si>
  <si>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</si>
  <si>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</si>
  <si>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</si>
  <si>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</si>
  <si>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</si>
  <si>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</si>
  <si>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</si>
  <si>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</si>
  <si>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</si>
  <si>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</si>
  <si>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</si>
  <si>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</si>
  <si>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</si>
  <si>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</si>
  <si>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</si>
  <si>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</si>
  <si>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</si>
  <si>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</si>
  <si>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</si>
  <si>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</si>
  <si>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</si>
  <si>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</si>
  <si>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</si>
  <si>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</si>
  <si>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</si>
  <si>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</si>
  <si>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</si>
  <si>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</si>
  <si>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</si>
  <si>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</si>
  <si>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</si>
  <si>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</si>
  <si>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</si>
  <si>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</si>
  <si>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</si>
  <si>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</si>
  <si>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</si>
  <si>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</si>
  <si>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</si>
  <si>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</si>
  <si>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</si>
  <si>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</si>
  <si>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</si>
  <si>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</si>
  <si>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</si>
  <si>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</si>
  <si>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</si>
  <si>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</si>
  <si>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</si>
  <si>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</si>
  <si>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</si>
  <si>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</si>
  <si>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</si>
  <si>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</si>
  <si>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</si>
  <si>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</si>
  <si>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</si>
  <si>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</si>
  <si>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</si>
  <si>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</si>
  <si>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</si>
  <si>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</si>
  <si>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</si>
  <si>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</si>
  <si>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</si>
  <si>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</si>
  <si>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</si>
  <si>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</si>
  <si>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</si>
  <si>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</si>
  <si>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</si>
  <si>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</si>
  <si>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</si>
  <si>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</si>
  <si>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</si>
  <si>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</si>
  <si>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</si>
  <si>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</si>
  <si>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</si>
  <si>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</si>
  <si>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</si>
  <si>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</si>
  <si>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</si>
  <si>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</si>
  <si>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</si>
  <si>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</si>
  <si>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</si>
  <si>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</si>
  <si>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</si>
  <si>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</si>
  <si>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</si>
  <si>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</si>
  <si>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</si>
  <si>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</si>
  <si>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</si>
  <si>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</si>
  <si>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</si>
  <si>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</si>
  <si>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</si>
  <si>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</si>
  <si>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</si>
  <si>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</si>
  <si>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</si>
  <si>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</si>
  <si>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</si>
  <si>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</si>
  <si>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</si>
  <si>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</si>
  <si>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</si>
  <si>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</si>
  <si>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</si>
  <si>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</si>
  <si>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</si>
  <si>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</si>
  <si>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</si>
  <si>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</si>
  <si>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</si>
  <si>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</si>
  <si>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</si>
  <si>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</si>
  <si>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</si>
  <si>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</si>
  <si>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</si>
  <si>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</si>
  <si>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</si>
  <si>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</si>
  <si>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</si>
  <si>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</si>
  <si>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</si>
  <si>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</si>
  <si>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</si>
  <si>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</si>
  <si>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</si>
  <si>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</si>
  <si>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</si>
  <si>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</si>
  <si>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</si>
  <si>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</si>
  <si>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</si>
  <si>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</si>
  <si>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</si>
  <si>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</si>
  <si>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</si>
  <si>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</si>
  <si>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</si>
  <si>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</si>
  <si>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</si>
  <si>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</si>
  <si>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</si>
  <si>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</si>
  <si>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</si>
  <si>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</si>
  <si>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</si>
  <si>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</si>
  <si>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</si>
  <si>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</si>
  <si>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</si>
  <si>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</si>
  <si>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</si>
  <si>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</si>
  <si>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</si>
  <si>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</si>
  <si>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</si>
  <si>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</si>
  <si>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</si>
  <si>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</si>
  <si>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</si>
  <si>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</si>
  <si>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</si>
  <si>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</si>
  <si>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</si>
  <si>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</si>
  <si>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</si>
  <si>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</si>
  <si>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</si>
  <si>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</si>
  <si>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</si>
  <si>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</si>
  <si>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</si>
  <si>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</si>
  <si>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</si>
  <si>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</si>
  <si>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</si>
  <si>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</si>
  <si>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</si>
  <si>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</si>
  <si>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</si>
  <si>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</si>
  <si>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</si>
  <si>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</si>
  <si>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</si>
  <si>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</si>
  <si>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</si>
  <si>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</si>
  <si>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</si>
  <si>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</si>
  <si>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</si>
  <si>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</si>
  <si>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</si>
  <si>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</si>
  <si>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</si>
  <si>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</si>
  <si>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</si>
  <si>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</si>
  <si>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</si>
  <si>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</si>
  <si>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</si>
  <si>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</si>
  <si>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</si>
  <si>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</si>
  <si>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</si>
  <si>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</si>
  <si>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</si>
  <si>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</si>
  <si>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</si>
  <si>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</si>
  <si>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</si>
  <si>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</si>
  <si>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</si>
  <si>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</si>
  <si>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</si>
  <si>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</si>
  <si>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</si>
  <si>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</si>
  <si>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</si>
  <si>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</si>
  <si>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</si>
  <si>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</si>
  <si>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</si>
  <si>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</si>
  <si>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Guittard Township </t>
  </si>
  <si>
    <t xml:space="preserve">Marshall County </t>
  </si>
  <si>
    <t>Shaun O'Neil</t>
  </si>
  <si>
    <t>Treasurer</t>
  </si>
  <si>
    <t xml:space="preserve">Per Diem </t>
  </si>
  <si>
    <t>Rent</t>
  </si>
  <si>
    <t>Salvage-old tube</t>
  </si>
  <si>
    <t>Repairs and Maintenance</t>
  </si>
  <si>
    <t>Machine Hire</t>
  </si>
  <si>
    <t>August 23, 2012</t>
  </si>
  <si>
    <t>1:00 p.m.</t>
  </si>
  <si>
    <t>Beattie Auditorium</t>
  </si>
  <si>
    <t xml:space="preserve">608 Whiting, Beattie,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</si>
</sst>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Guittard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Guittard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2470342</v>
      </c>
      <c r="F27" s="565"/>
      <c r="G27" s="570">
        <f>summ!G37</f>
        <v>2697236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8">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Guittard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7304.97</v>
      </c>
      <c r="D6" s="390">
        <f>C51</f>
        <v>7934.04</v>
      </c>
      <c r="E6" s="32">
        <f>D51</f>
        <v>3816.040000000001</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3679.03</v>
      </c>
      <c r="D14" s="29">
        <v>2082</v>
      </c>
      <c r="E14" s="32">
        <f>inputOth!E12</f>
        <v>1938.18</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3679.03</v>
      </c>
      <c r="D26" s="392">
        <f>SUM(D8:D24)</f>
        <v>2082</v>
      </c>
      <c r="E26" s="42">
        <f>SUM(E8:E24)</f>
        <v>1938.18</v>
      </c>
    </row>
    <row r="27" spans="2:5" ht="15.75">
      <c r="B27" s="43" t="s">
        <v>24</v>
      </c>
      <c r="C27" s="392">
        <f>C26+C6</f>
        <v>10984</v>
      </c>
      <c r="D27" s="392">
        <f>D26+D6</f>
        <v>10016.04</v>
      </c>
      <c r="E27" s="42">
        <f>E26+E6</f>
        <v>5754.220000000001</v>
      </c>
    </row>
    <row r="28" spans="2:5" ht="15.75">
      <c r="B28" s="27" t="s">
        <v>25</v>
      </c>
      <c r="C28" s="390"/>
      <c r="D28" s="390"/>
      <c r="E28" s="32"/>
    </row>
    <row r="29" spans="2:5" ht="15.75">
      <c r="B29" s="37" t="s">
        <v>938</v>
      </c>
      <c r="C29" s="29">
        <v>600</v>
      </c>
      <c r="D29" s="29">
        <v>600</v>
      </c>
      <c r="E29" s="34">
        <v>600</v>
      </c>
    </row>
    <row r="30" spans="2:5" ht="15.75">
      <c r="B30" s="38" t="s">
        <v>101</v>
      </c>
      <c r="C30" s="29"/>
      <c r="D30" s="29"/>
      <c r="E30" s="34"/>
    </row>
    <row r="31" spans="2:5" ht="15.75">
      <c r="B31" s="38" t="s">
        <v>125</v>
      </c>
      <c r="C31" s="29"/>
      <c r="D31" s="29"/>
      <c r="E31" s="34"/>
    </row>
    <row r="32" spans="2:5" ht="15.75">
      <c r="B32" s="38" t="s">
        <v>102</v>
      </c>
      <c r="C32" s="29">
        <v>948.32</v>
      </c>
      <c r="D32" s="29">
        <v>1300</v>
      </c>
      <c r="E32" s="34">
        <v>1100</v>
      </c>
    </row>
    <row r="33" spans="2:5" ht="15.75">
      <c r="B33" s="38" t="s">
        <v>36</v>
      </c>
      <c r="C33" s="29">
        <v>314.64</v>
      </c>
      <c r="D33" s="29">
        <v>1000</v>
      </c>
      <c r="E33" s="34">
        <v>1000</v>
      </c>
    </row>
    <row r="34" spans="2:5" ht="15.75">
      <c r="B34" s="37" t="s">
        <v>103</v>
      </c>
      <c r="C34" s="29"/>
      <c r="D34" s="29">
        <v>1500</v>
      </c>
      <c r="E34" s="34">
        <v>1500</v>
      </c>
    </row>
    <row r="35" spans="2:5" ht="15.75">
      <c r="B35" s="37" t="s">
        <v>126</v>
      </c>
      <c r="C35" s="29"/>
      <c r="D35" s="29">
        <v>1500</v>
      </c>
      <c r="E35" s="34"/>
    </row>
    <row r="36" spans="2:5" ht="15.75">
      <c r="B36" s="38" t="s">
        <v>128</v>
      </c>
      <c r="C36" s="29">
        <v>1187</v>
      </c>
      <c r="D36" s="29">
        <v>300</v>
      </c>
      <c r="E36" s="34">
        <v>1500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3049.96</v>
      </c>
      <c r="D50" s="384">
        <f>SUM(D29:D48)</f>
        <v>6200</v>
      </c>
      <c r="E50" s="47">
        <f>SUM(E29:E43,E45,E47:E48)</f>
        <v>5700</v>
      </c>
      <c r="G50" s="490">
        <f>D51</f>
        <v>3816.040000000001</v>
      </c>
      <c r="H50" s="491" t="str">
        <f>CONCATENATE("",E1-1," Ending Cash Balance (est.)")</f>
        <v>2012 Ending Cash Balance (est.)</v>
      </c>
      <c r="I50" s="492"/>
      <c r="J50" s="489"/>
    </row>
    <row r="51" spans="2:10" ht="15.75">
      <c r="B51" s="27" t="s">
        <v>119</v>
      </c>
      <c r="C51" s="385">
        <f>C27-C50</f>
        <v>7934.04</v>
      </c>
      <c r="D51" s="385">
        <f>SUM(D27-D50)</f>
        <v>3816.040000000001</v>
      </c>
      <c r="E51" s="33" t="s">
        <v>290</v>
      </c>
      <c r="G51" s="490">
        <f>E26</f>
        <v>1938.18</v>
      </c>
      <c r="H51" s="493" t="str">
        <f>CONCATENATE("",E1," Non-AV Receipts (est.)")</f>
        <v>2013 Non-AV Receipts (est.)</v>
      </c>
      <c r="I51" s="492"/>
      <c r="J51" s="489"/>
    </row>
    <row r="52" spans="2:11" ht="15.75">
      <c r="B52" s="48" t="str">
        <f>CONCATENATE("",E1-2,"/",E1-1," Budget Authority Amount:")</f>
        <v>2011/2012 Budget Authority Amount:</v>
      </c>
      <c r="C52" s="132">
        <f>inputOth!B46</f>
        <v>3050</v>
      </c>
      <c r="D52" s="161">
        <f>inputPrYr!D16</f>
        <v>6400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5754.220000000001</v>
      </c>
      <c r="H53" s="493" t="str">
        <f>CONCATENATE("Total ",E1," Resources Available")</f>
        <v>Total 2013 Resources Available</v>
      </c>
      <c r="I53" s="492"/>
      <c r="J53" s="489"/>
    </row>
    <row r="54" spans="2:10" ht="15.75">
      <c r="B54" s="399" t="str">
        <f>CONCATENATE(C72,"     ",D72)</f>
        <v>     </v>
      </c>
      <c r="C54" s="807" t="s">
        <v>624</v>
      </c>
      <c r="D54" s="808"/>
      <c r="E54" s="32">
        <f>E50+E53</f>
        <v>5700</v>
      </c>
      <c r="G54" s="495"/>
      <c r="H54" s="493"/>
      <c r="I54" s="493"/>
      <c r="J54" s="489"/>
    </row>
    <row r="55" spans="2:10" ht="15.75">
      <c r="B55" s="399" t="str">
        <f>CONCATENATE(C73,"     ",D73)</f>
        <v>     </v>
      </c>
      <c r="C55" s="60"/>
      <c r="D55" s="52" t="s">
        <v>28</v>
      </c>
      <c r="E55" s="46">
        <f>IF(E54-E27&gt;0,E54-E27,0)</f>
        <v>0</v>
      </c>
      <c r="G55" s="494">
        <f>ROUND(C50*0.05+C50,0)</f>
        <v>3202</v>
      </c>
      <c r="H55" s="493" t="str">
        <f>CONCATENATE("Less ",E1-2," Expenditures + 5%")</f>
        <v>Less 2011 Expenditures + 5%</v>
      </c>
      <c r="I55" s="492"/>
      <c r="J55" s="489"/>
    </row>
    <row r="56" spans="2:10" ht="15.75">
      <c r="B56" s="52"/>
      <c r="C56" s="403" t="s">
        <v>625</v>
      </c>
      <c r="D56" s="698">
        <f>inputOth!$E$40</f>
        <v>0</v>
      </c>
      <c r="E56" s="32">
        <f>ROUND(IF(D56&gt;0,(E55*D56),0),0)</f>
        <v>0</v>
      </c>
      <c r="G56" s="496">
        <f>G53-G55</f>
        <v>2552.220000000001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15.384</v>
      </c>
      <c r="H62" s="491" t="str">
        <f>CONCATENATE("Total ",E1," Mill Rate")</f>
        <v>Total 2013 Mill Rate</v>
      </c>
      <c r="I62" s="700"/>
      <c r="J62" s="713"/>
    </row>
    <row r="63" spans="2:10" ht="15.75">
      <c r="B63" s="12"/>
      <c r="G63" s="715">
        <f>summ!F32</f>
        <v>16.339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Guittard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15.384</v>
      </c>
      <c r="H45" s="641" t="str">
        <f>CONCATENATE("Total ",E1," Mill Rate")</f>
        <v>Total 2013 Mill Rate</v>
      </c>
      <c r="I45" s="665"/>
      <c r="J45" s="666"/>
    </row>
    <row r="46" spans="2:10" ht="15.75">
      <c r="B46" s="603" t="s">
        <v>144</v>
      </c>
      <c r="C46" s="608">
        <v>0</v>
      </c>
      <c r="D46" s="605">
        <f>C74</f>
        <v>0</v>
      </c>
      <c r="E46" s="606">
        <f>D74</f>
        <v>0</v>
      </c>
      <c r="F46" s="644"/>
      <c r="G46" s="668">
        <f>summ!F32</f>
        <v>16.339</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15.384</v>
      </c>
      <c r="H85" s="641" t="str">
        <f>CONCATENATE("Total ",E1," Mill Rate")</f>
        <v>Total 2013 Mill Rate</v>
      </c>
      <c r="I85" s="665"/>
      <c r="J85" s="666"/>
    </row>
    <row r="86" spans="7:10" ht="15.75">
      <c r="G86" s="668">
        <f>summ!F32</f>
        <v>16.339</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6">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Guittard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771.18</v>
      </c>
      <c r="D6" s="390">
        <f>C44</f>
        <v>0.2900000000081491</v>
      </c>
      <c r="E6" s="32">
        <f>D44</f>
        <v>402.29000000000815</v>
      </c>
    </row>
    <row r="7" spans="2:5" ht="15.75">
      <c r="B7" s="27" t="s">
        <v>120</v>
      </c>
      <c r="C7" s="390"/>
      <c r="D7" s="390"/>
      <c r="E7" s="33"/>
    </row>
    <row r="8" spans="2:5" ht="15.75">
      <c r="B8" s="27" t="s">
        <v>16</v>
      </c>
      <c r="C8" s="29">
        <v>38312.34</v>
      </c>
      <c r="D8" s="390">
        <f>IF(inputPrYr!H15&gt;0,inputPrYr!G19,inputPrYr!E19)</f>
        <v>40364</v>
      </c>
      <c r="E8" s="33" t="s">
        <v>290</v>
      </c>
    </row>
    <row r="9" spans="2:5" ht="15.75">
      <c r="B9" s="27" t="s">
        <v>17</v>
      </c>
      <c r="C9" s="29">
        <v>145.23</v>
      </c>
      <c r="D9" s="29"/>
      <c r="E9" s="34"/>
    </row>
    <row r="10" spans="2:5" ht="15.75">
      <c r="B10" s="27" t="s">
        <v>18</v>
      </c>
      <c r="C10" s="29">
        <v>4020.12</v>
      </c>
      <c r="D10" s="29">
        <v>4200</v>
      </c>
      <c r="E10" s="32">
        <f>mvalloc!G14</f>
        <v>3680</v>
      </c>
    </row>
    <row r="11" spans="2:5" ht="15.75">
      <c r="B11" s="27" t="s">
        <v>19</v>
      </c>
      <c r="C11" s="29">
        <v>82.27</v>
      </c>
      <c r="D11" s="29">
        <v>58</v>
      </c>
      <c r="E11" s="32">
        <f>mvalloc!I14</f>
        <v>77</v>
      </c>
    </row>
    <row r="12" spans="2:5" ht="15.75">
      <c r="B12" s="27" t="s">
        <v>99</v>
      </c>
      <c r="C12" s="29">
        <v>756.11</v>
      </c>
      <c r="D12" s="29">
        <v>745</v>
      </c>
      <c r="E12" s="32">
        <f>mvalloc!J14</f>
        <v>676</v>
      </c>
    </row>
    <row r="13" spans="2:5" ht="15.75">
      <c r="B13" s="27" t="s">
        <v>100</v>
      </c>
      <c r="C13" s="29">
        <v>1193.8</v>
      </c>
      <c r="D13" s="29">
        <v>1500</v>
      </c>
      <c r="E13" s="32">
        <f>inputOth!E36</f>
        <v>1100</v>
      </c>
    </row>
    <row r="14" spans="2:5" ht="15.75">
      <c r="B14" s="38" t="s">
        <v>939</v>
      </c>
      <c r="C14" s="29">
        <v>250</v>
      </c>
      <c r="D14" s="29"/>
      <c r="E14" s="34"/>
    </row>
    <row r="15" spans="2:5" ht="15.75">
      <c r="B15" s="38" t="s">
        <v>940</v>
      </c>
      <c r="C15" s="29">
        <v>114</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134.26</v>
      </c>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45008.130000000005</v>
      </c>
      <c r="D23" s="392">
        <f>SUM(D8:D21)</f>
        <v>46867</v>
      </c>
      <c r="E23" s="42">
        <f>SUM(E8:E21)</f>
        <v>5533</v>
      </c>
    </row>
    <row r="24" spans="2:5" ht="15.75">
      <c r="B24" s="43" t="s">
        <v>24</v>
      </c>
      <c r="C24" s="392">
        <f>C23+C6</f>
        <v>45779.310000000005</v>
      </c>
      <c r="D24" s="392">
        <f>D23+D6</f>
        <v>46867.29000000001</v>
      </c>
      <c r="E24" s="42">
        <f>E23+E6</f>
        <v>5935.290000000008</v>
      </c>
    </row>
    <row r="25" spans="2:5" ht="15.75">
      <c r="B25" s="27" t="s">
        <v>25</v>
      </c>
      <c r="C25" s="390"/>
      <c r="D25" s="390"/>
      <c r="E25" s="32"/>
    </row>
    <row r="26" spans="2:5" ht="15.75">
      <c r="B26" s="38" t="s">
        <v>938</v>
      </c>
      <c r="C26" s="29">
        <v>1524.26</v>
      </c>
      <c r="D26" s="29">
        <v>1800</v>
      </c>
      <c r="E26" s="34">
        <v>1800</v>
      </c>
    </row>
    <row r="27" spans="2:5" ht="15.75">
      <c r="B27" s="38" t="s">
        <v>125</v>
      </c>
      <c r="C27" s="29">
        <v>4152.32</v>
      </c>
      <c r="D27" s="29">
        <v>5150</v>
      </c>
      <c r="E27" s="34">
        <v>5150</v>
      </c>
    </row>
    <row r="28" spans="2:5" ht="15.75">
      <c r="B28" s="37" t="s">
        <v>102</v>
      </c>
      <c r="C28" s="29"/>
      <c r="D28" s="29"/>
      <c r="E28" s="34"/>
    </row>
    <row r="29" spans="2:5" ht="15.75">
      <c r="B29" s="38" t="s">
        <v>127</v>
      </c>
      <c r="C29" s="29">
        <v>2860.4</v>
      </c>
      <c r="D29" s="29">
        <v>1000</v>
      </c>
      <c r="E29" s="34">
        <v>1075</v>
      </c>
    </row>
    <row r="30" spans="2:5" ht="15.75">
      <c r="B30" s="38" t="s">
        <v>105</v>
      </c>
      <c r="C30" s="29">
        <v>1859.62</v>
      </c>
      <c r="D30" s="29">
        <v>8150</v>
      </c>
      <c r="E30" s="34">
        <v>8150</v>
      </c>
    </row>
    <row r="31" spans="2:5" ht="15.75">
      <c r="B31" s="38" t="s">
        <v>103</v>
      </c>
      <c r="C31" s="29">
        <v>19605.78</v>
      </c>
      <c r="D31" s="29">
        <v>12290</v>
      </c>
      <c r="E31" s="34">
        <v>12290</v>
      </c>
    </row>
    <row r="32" spans="2:5" ht="15.75">
      <c r="B32" s="38" t="s">
        <v>941</v>
      </c>
      <c r="C32" s="29">
        <v>6173.11</v>
      </c>
      <c r="D32" s="29">
        <v>8000</v>
      </c>
      <c r="E32" s="34">
        <v>8000</v>
      </c>
    </row>
    <row r="33" spans="2:5" ht="15.75">
      <c r="B33" s="38" t="s">
        <v>942</v>
      </c>
      <c r="C33" s="29">
        <v>6162.01</v>
      </c>
      <c r="D33" s="29">
        <v>7300</v>
      </c>
      <c r="E33" s="34">
        <v>7300</v>
      </c>
    </row>
    <row r="34" spans="2:10" ht="15.75">
      <c r="B34" s="37" t="s">
        <v>128</v>
      </c>
      <c r="C34" s="29">
        <v>1410.96</v>
      </c>
      <c r="D34" s="29">
        <v>2775</v>
      </c>
      <c r="E34" s="34">
        <v>3500</v>
      </c>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2030.56</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v>165</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45779.02</v>
      </c>
      <c r="D43" s="392">
        <f>SUM(D26:D38,D40:D41)</f>
        <v>46465</v>
      </c>
      <c r="E43" s="42">
        <f>SUM(E26:E38,E40:E41)</f>
        <v>47430</v>
      </c>
      <c r="G43" s="490">
        <f>D44</f>
        <v>402.29000000000815</v>
      </c>
      <c r="H43" s="491" t="str">
        <f>CONCATENATE("",E1-1," Ending Cash Balance (est.)")</f>
        <v>2012 Ending Cash Balance (est.)</v>
      </c>
      <c r="I43" s="492"/>
      <c r="J43" s="489"/>
    </row>
    <row r="44" spans="2:10" ht="15.75">
      <c r="B44" s="27" t="s">
        <v>119</v>
      </c>
      <c r="C44" s="385">
        <f>C24-C43</f>
        <v>0.2900000000081491</v>
      </c>
      <c r="D44" s="385">
        <f>D24-D43</f>
        <v>402.29000000000815</v>
      </c>
      <c r="E44" s="33" t="s">
        <v>290</v>
      </c>
      <c r="G44" s="490">
        <f>E23</f>
        <v>5533</v>
      </c>
      <c r="H44" s="493" t="str">
        <f>CONCATENATE("",E1," Non-AV Receipts (est.)")</f>
        <v>2013 Non-AV Receipts (est.)</v>
      </c>
      <c r="I44" s="492"/>
      <c r="J44" s="489"/>
    </row>
    <row r="45" spans="2:11" ht="15.75">
      <c r="B45" s="48" t="str">
        <f>CONCATENATE("",E1-2,"/",E1-1," Budget Authority Amount:")</f>
        <v>2011/2012 Budget Authority Amount:</v>
      </c>
      <c r="C45" s="132">
        <f>inputOth!B49</f>
        <v>47376</v>
      </c>
      <c r="D45" s="161">
        <f>inputPrYr!D19</f>
        <v>46916</v>
      </c>
      <c r="E45" s="33" t="s">
        <v>290</v>
      </c>
      <c r="F45" s="50"/>
      <c r="G45" s="494">
        <f>IF(D49&gt;0,E48,E50)</f>
        <v>41494.70999999999</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47430</v>
      </c>
      <c r="H46" s="493" t="str">
        <f>CONCATENATE("Total ",E1," Resources Available")</f>
        <v>Total 2013 Resources Available</v>
      </c>
      <c r="I46" s="492"/>
      <c r="J46" s="489"/>
    </row>
    <row r="47" spans="2:10" ht="15.75">
      <c r="B47" s="399" t="str">
        <f>CONCATENATE(C74,"     ",D74)</f>
        <v>     </v>
      </c>
      <c r="C47" s="807" t="s">
        <v>624</v>
      </c>
      <c r="D47" s="808"/>
      <c r="E47" s="32">
        <f>E43+E46</f>
        <v>47430</v>
      </c>
      <c r="G47" s="495"/>
      <c r="H47" s="493"/>
      <c r="I47" s="493"/>
      <c r="J47" s="489"/>
    </row>
    <row r="48" spans="2:10" ht="15.75">
      <c r="B48" s="399" t="str">
        <f>CONCATENATE(C75,"     ",D75)</f>
        <v>     </v>
      </c>
      <c r="C48" s="60"/>
      <c r="D48" s="52" t="s">
        <v>28</v>
      </c>
      <c r="E48" s="46">
        <f>IF(E47-E24&gt;0,E47-E24,0)</f>
        <v>41494.70999999999</v>
      </c>
      <c r="G48" s="494">
        <f>ROUND(C43*0.05+C43,0)</f>
        <v>48068</v>
      </c>
      <c r="H48" s="493" t="str">
        <f>CONCATENATE("Less ",E1-2," Expenditures + 5%")</f>
        <v>Less 2011 Expenditures + 5%</v>
      </c>
      <c r="I48" s="492"/>
      <c r="J48" s="489"/>
    </row>
    <row r="49" spans="2:10" ht="15.75">
      <c r="B49" s="52"/>
      <c r="C49" s="403" t="s">
        <v>625</v>
      </c>
      <c r="D49" s="698">
        <f>inputOth!$E$40</f>
        <v>0</v>
      </c>
      <c r="E49" s="32">
        <f>ROUND(IF(D49&gt;0,(E48*D49),0),0)</f>
        <v>0</v>
      </c>
      <c r="G49" s="496">
        <f>G46-G48</f>
        <v>-638</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41494.70999999999</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15.384</v>
      </c>
      <c r="H53" s="491" t="str">
        <f>CONCATENATE("",E1," Fund Mill Rate")</f>
        <v>2013 Fund Mill Rate</v>
      </c>
      <c r="I53" s="700"/>
      <c r="J53" s="713"/>
    </row>
    <row r="54" spans="2:10" ht="15.75">
      <c r="B54" s="71" t="s">
        <v>31</v>
      </c>
      <c r="C54" s="404" t="str">
        <f>CONCATENATE("",E1-2," Actual Year")</f>
        <v>2011 Actual Year</v>
      </c>
      <c r="D54" s="14"/>
      <c r="E54" s="14"/>
      <c r="G54" s="715">
        <f>summ!F21</f>
        <v>16.339</v>
      </c>
      <c r="H54" s="491" t="str">
        <f>CONCATENATE("",E1-1," Fund Mill Rate")</f>
        <v>2012 Fund Mill Rate</v>
      </c>
      <c r="I54" s="700"/>
      <c r="J54" s="713"/>
    </row>
    <row r="55" spans="2:10" ht="15.75">
      <c r="B55" s="72" t="s">
        <v>14</v>
      </c>
      <c r="C55" s="538">
        <v>13438.33</v>
      </c>
      <c r="D55" s="14"/>
      <c r="E55" s="14"/>
      <c r="G55" s="716">
        <f>summ!I32</f>
        <v>15.384</v>
      </c>
      <c r="H55" s="491" t="str">
        <f>CONCATENATE("Total ",E1," Mill Rate")</f>
        <v>Total 2013 Mill Rate</v>
      </c>
      <c r="I55" s="700"/>
      <c r="J55" s="713"/>
    </row>
    <row r="56" spans="2:10" ht="15.75">
      <c r="B56" s="72" t="s">
        <v>33</v>
      </c>
      <c r="C56" s="132"/>
      <c r="D56" s="14"/>
      <c r="E56" s="14"/>
      <c r="G56" s="715">
        <f>summ!F32</f>
        <v>16.339</v>
      </c>
      <c r="H56" s="717" t="str">
        <f>CONCATENATE("Total ",E1-1," Mill Rate")</f>
        <v>Total 2012 Mill Rate</v>
      </c>
      <c r="I56" s="718"/>
      <c r="J56" s="719"/>
    </row>
    <row r="57" spans="2:5" ht="15.75">
      <c r="B57" s="72" t="s">
        <v>34</v>
      </c>
      <c r="C57" s="402">
        <f>C38</f>
        <v>2030.56</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v>972.15</v>
      </c>
      <c r="D62" s="14"/>
      <c r="E62" s="14"/>
    </row>
    <row r="63" spans="2:5" ht="15.75">
      <c r="B63" s="77" t="s">
        <v>24</v>
      </c>
      <c r="C63" s="132">
        <f>SUM(C55:C62)</f>
        <v>16441.04</v>
      </c>
      <c r="D63" s="14"/>
      <c r="E63" s="14"/>
    </row>
    <row r="64" spans="2:5" ht="15.75">
      <c r="B64" s="77" t="s">
        <v>26</v>
      </c>
      <c r="C64" s="538"/>
      <c r="D64" s="14"/>
      <c r="E64" s="14"/>
    </row>
    <row r="65" spans="2:5" ht="15.75">
      <c r="B65" s="77" t="s">
        <v>27</v>
      </c>
      <c r="C65" s="401">
        <f>SUM(C63-C64)</f>
        <v>16441.04</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Guittard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15.384</v>
      </c>
      <c r="H45" s="641" t="str">
        <f>CONCATENATE("Total ",E1," Mill Rate")</f>
        <v>Total 2013 Mill Rate</v>
      </c>
      <c r="I45" s="665"/>
      <c r="J45" s="666"/>
      <c r="K45" s="591"/>
    </row>
    <row r="46" spans="2:11" ht="15.75">
      <c r="B46" s="27" t="s">
        <v>118</v>
      </c>
      <c r="C46" s="29"/>
      <c r="D46" s="390">
        <f>C74</f>
        <v>0</v>
      </c>
      <c r="E46" s="32">
        <f>D74</f>
        <v>0</v>
      </c>
      <c r="G46" s="668">
        <f>summ!F32</f>
        <v>16.339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15.384</v>
      </c>
      <c r="H85" s="641" t="str">
        <f>CONCATENATE("Total ",E1," Mill Rate")</f>
        <v>Total 2013 Mill Rate</v>
      </c>
      <c r="I85" s="665"/>
      <c r="J85" s="666"/>
      <c r="K85" s="591"/>
    </row>
    <row r="86" spans="7:11" ht="15.75">
      <c r="G86" s="668">
        <f>summ!F32</f>
        <v>16.339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Guittard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15.384</v>
      </c>
      <c r="H45" s="641" t="str">
        <f>CONCATENATE("Total ",E1," Mill Rate")</f>
        <v>Total 2013 Mill Rate</v>
      </c>
      <c r="I45" s="665"/>
      <c r="J45" s="666"/>
      <c r="K45" s="591"/>
    </row>
    <row r="46" spans="2:11" ht="15.75">
      <c r="B46" s="27" t="s">
        <v>118</v>
      </c>
      <c r="C46" s="29"/>
      <c r="D46" s="390">
        <f>C74</f>
        <v>0</v>
      </c>
      <c r="E46" s="32">
        <f>D74</f>
        <v>0</v>
      </c>
      <c r="G46" s="668">
        <f>summ!F32</f>
        <v>16.339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15.384</v>
      </c>
      <c r="H85" s="641" t="str">
        <f>CONCATENATE("Total ",E1," Mill Rate")</f>
        <v>Total 2013 Mill Rate</v>
      </c>
      <c r="I85" s="665"/>
      <c r="J85" s="666"/>
      <c r="K85" s="591"/>
    </row>
    <row r="86" spans="7:11" ht="15.75">
      <c r="G86" s="668">
        <f>summ!F32</f>
        <v>16.339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Guittard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15.384</v>
      </c>
      <c r="H45" s="641" t="str">
        <f>CONCATENATE("Total ",E1," Mill Rate")</f>
        <v>Total 2013 Mill Rate</v>
      </c>
      <c r="I45" s="665"/>
      <c r="J45" s="666"/>
      <c r="K45" s="591"/>
    </row>
    <row r="46" spans="2:11" ht="15.75">
      <c r="B46" s="27" t="s">
        <v>118</v>
      </c>
      <c r="C46" s="29"/>
      <c r="D46" s="390">
        <f>C74</f>
        <v>0</v>
      </c>
      <c r="E46" s="32">
        <f>D74</f>
        <v>0</v>
      </c>
      <c r="G46" s="668">
        <f>summ!F32</f>
        <v>16.339</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15.384</v>
      </c>
      <c r="H85" s="641" t="str">
        <f>CONCATENATE("Total ",E1," Mill Rate")</f>
        <v>Total 2013 Mill Rate</v>
      </c>
      <c r="I85" s="665"/>
      <c r="J85" s="666"/>
      <c r="K85" s="591"/>
    </row>
    <row r="86" spans="7:11" ht="15.75">
      <c r="G86" s="668">
        <f>summ!F32</f>
        <v>16.339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Guittard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Guittard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6400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46916</v>
      </c>
      <c r="E19" s="187">
        <v>40364</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40364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53316</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16.811</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16.811</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39190</v>
      </c>
    </row>
    <row r="55" spans="1:5" ht="15.75">
      <c r="A55" s="327" t="str">
        <f>CONCATENATE("Assessed Valuation (",D5-2," budget column)")</f>
        <v>Assessed Valuation (2011 budget column)</v>
      </c>
      <c r="B55" s="328"/>
      <c r="C55" s="267"/>
      <c r="D55" s="28"/>
      <c r="E55" s="187">
        <v>2331213</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3">
      <selection activeCell="A1" sqref="A1:I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Guittard Township </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August 23, 2012 at 1:00 p.m. at Beattie Auditorium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608 Whiting, Beattie,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3049.96</v>
      </c>
      <c r="D18" s="530" t="str">
        <f>IF(inputPrYr!D42&gt;0,inputPrYr!D42,"  ")</f>
        <v>  </v>
      </c>
      <c r="E18" s="32">
        <f>IF(gen!$D$50&lt;&gt;0,gen!$D$50,"  ")</f>
        <v>6200</v>
      </c>
      <c r="F18" s="235" t="str">
        <f>IF(inputOth!D17&gt;0,inputOth!D17,"  ")</f>
        <v>  </v>
      </c>
      <c r="G18" s="32">
        <f>IF(gen!$E$50&lt;&gt;0,gen!$E$50,"  ")</f>
        <v>5700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45779.02</v>
      </c>
      <c r="D21" s="530">
        <f>IF(inputPrYr!D45&gt;0,inputPrYr!D45,"  ")</f>
        <v>16.811</v>
      </c>
      <c r="E21" s="32">
        <f>IF(road!$D$43&lt;&gt;0,road!$D$43,"  ")</f>
        <v>46465</v>
      </c>
      <c r="F21" s="235">
        <f>IF(inputOth!D20&gt;0,inputOth!D20,"  ")</f>
        <v>16.339</v>
      </c>
      <c r="G21" s="32">
        <f>IF(road!$E$43&lt;&gt;0,road!$E$43,"  ")</f>
        <v>47430</v>
      </c>
      <c r="H21" s="32">
        <f>IF(road!$E$50&lt;&gt;0,road!$E$50,"  ")</f>
        <v>41494.70999999999</v>
      </c>
      <c r="I21" s="532">
        <f>IF(road!E50&gt;0,ROUND(H21/$G$37*1000,3)," ")</f>
        <v>15.384</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2697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16.339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2575.290000000008</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48828.979999999996</v>
      </c>
      <c r="D32" s="482">
        <f t="shared" si="0"/>
        <v>16.811</v>
      </c>
      <c r="E32" s="533">
        <f t="shared" si="0"/>
        <v>52665</v>
      </c>
      <c r="F32" s="482">
        <f t="shared" si="0"/>
        <v>16.339</v>
      </c>
      <c r="G32" s="533">
        <f t="shared" si="0"/>
        <v>53130</v>
      </c>
      <c r="H32" s="533">
        <f t="shared" si="0"/>
        <v>41494.70999999999</v>
      </c>
      <c r="I32" s="536">
        <f t="shared" si="0"/>
        <v>15.384</v>
      </c>
      <c r="K32" s="838" t="str">
        <f>CONCATENATE("Impact On Keeping The Same Mill Rate As For ",I1-1,"")</f>
        <v>Impact On Keeping The Same Mill Rate As For 2012</v>
      </c>
      <c r="L32" s="839"/>
      <c r="M32" s="839"/>
      <c r="N32" s="840"/>
    </row>
    <row r="33" spans="2:14" ht="15.75">
      <c r="B33" s="274" t="s">
        <v>44</v>
      </c>
      <c r="C33" s="32">
        <f>transfer!C29</f>
        <v>2030.56</v>
      </c>
      <c r="D33" s="14"/>
      <c r="E33" s="32">
        <f>transfer!D29</f>
        <v>0</v>
      </c>
      <c r="F33" s="61"/>
      <c r="G33" s="32">
        <f>transfer!E29</f>
        <v>0</v>
      </c>
      <c r="H33" s="14"/>
      <c r="I33" s="14"/>
      <c r="K33" s="513"/>
      <c r="L33" s="507"/>
      <c r="M33" s="507"/>
      <c r="N33" s="514"/>
    </row>
    <row r="34" spans="2:14" ht="16.5" thickBot="1">
      <c r="B34" s="274" t="s">
        <v>45</v>
      </c>
      <c r="C34" s="534">
        <f>C32-C33</f>
        <v>46798.42</v>
      </c>
      <c r="D34" s="14"/>
      <c r="E34" s="534">
        <f>E32-E33</f>
        <v>52665</v>
      </c>
      <c r="F34" s="14"/>
      <c r="G34" s="534">
        <f>G32-G33</f>
        <v>53130</v>
      </c>
      <c r="H34" s="14"/>
      <c r="I34" s="14"/>
      <c r="K34" s="513" t="str">
        <f>CONCATENATE("",I1," Ad Valorem Tax Revenue:")</f>
        <v>2013 Ad Valorem Tax Revenue:</v>
      </c>
      <c r="L34" s="507"/>
      <c r="M34" s="507"/>
      <c r="N34" s="508">
        <f>H32</f>
        <v>41494.70999999999</v>
      </c>
    </row>
    <row r="35" spans="2:14" ht="16.5" thickTop="1">
      <c r="B35" s="274" t="s">
        <v>46</v>
      </c>
      <c r="C35" s="535">
        <f>inputPrYr!E54</f>
        <v>39190</v>
      </c>
      <c r="D35" s="61"/>
      <c r="E35" s="535">
        <f>inputPrYr!E26</f>
        <v>40364</v>
      </c>
      <c r="F35" s="14"/>
      <c r="G35" s="526" t="s">
        <v>290</v>
      </c>
      <c r="H35" s="14"/>
      <c r="I35" s="14"/>
      <c r="K35" s="513" t="str">
        <f>CONCATENATE("",I1-1," Ad Valorem Tax Revenue:")</f>
        <v>2012 Ad Valorem Tax Revenue:</v>
      </c>
      <c r="L35" s="507"/>
      <c r="M35" s="507"/>
      <c r="N35" s="521">
        <f>ROUND(G37*N27/1000,0)</f>
        <v>44070</v>
      </c>
    </row>
    <row r="36" spans="2:14" ht="15.75">
      <c r="B36" s="274" t="s">
        <v>47</v>
      </c>
      <c r="C36" s="55"/>
      <c r="D36" s="61"/>
      <c r="E36" s="55"/>
      <c r="F36" s="61"/>
      <c r="G36" s="14"/>
      <c r="H36" s="14"/>
      <c r="I36" s="14"/>
      <c r="K36" s="518" t="s">
        <v>718</v>
      </c>
      <c r="L36" s="519"/>
      <c r="M36" s="519"/>
      <c r="N36" s="511">
        <f>N34-N35</f>
        <v>-2575.290000000008</v>
      </c>
    </row>
    <row r="37" spans="2:14" ht="15.75">
      <c r="B37" s="274" t="s">
        <v>48</v>
      </c>
      <c r="C37" s="32">
        <f>inputPrYr!E55</f>
        <v>2331213</v>
      </c>
      <c r="D37" s="14"/>
      <c r="E37" s="32">
        <f>inputOth!E29</f>
        <v>2470342</v>
      </c>
      <c r="F37" s="14"/>
      <c r="G37" s="32">
        <f>inputOth!E7</f>
        <v>2697236</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15.384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Shaun O'Neil</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Guittard Township </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41330</v>
      </c>
      <c r="D9" s="131">
        <f t="shared" si="0"/>
        <v>15.323093715195853</v>
      </c>
      <c r="E9" s="132">
        <f t="shared" si="1"/>
        <v>165</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41330</v>
      </c>
      <c r="D16" s="135">
        <f>SUM(D6:D15)</f>
        <v>15.323093715195853</v>
      </c>
      <c r="E16" s="134">
        <f>SUM(E6:E15)</f>
        <v>165</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2697236</v>
      </c>
      <c r="E19" s="14"/>
      <c r="F19" s="129"/>
    </row>
    <row r="20" spans="1:6" ht="15.75">
      <c r="A20" s="14"/>
      <c r="B20" s="14"/>
      <c r="C20" s="14"/>
      <c r="D20" s="14"/>
      <c r="E20" s="14"/>
      <c r="F20" s="129"/>
    </row>
    <row r="21" spans="1:6" ht="15.75">
      <c r="A21" s="14"/>
      <c r="B21" s="847" t="s">
        <v>366</v>
      </c>
      <c r="C21" s="847"/>
      <c r="D21" s="137">
        <f>IF(D19&gt;0,(D19*0.001),"")</f>
        <v>2697.236</v>
      </c>
      <c r="E21" s="14"/>
      <c r="F21" s="129"/>
    </row>
    <row r="22" spans="1:6" ht="15.75">
      <c r="A22" s="14"/>
      <c r="B22" s="48"/>
      <c r="C22" s="48"/>
      <c r="D22" s="138"/>
      <c r="E22" s="14"/>
      <c r="F22" s="129"/>
    </row>
    <row r="23" spans="1:6" ht="15.75">
      <c r="A23" s="845" t="s">
        <v>368</v>
      </c>
      <c r="B23" s="772"/>
      <c r="C23" s="772"/>
      <c r="D23" s="139">
        <f>inputOth!E13</f>
        <v>10744</v>
      </c>
      <c r="E23" s="140"/>
      <c r="F23" s="140"/>
    </row>
    <row r="24" spans="1:6" ht="15.75">
      <c r="A24" s="140"/>
      <c r="B24" s="140"/>
      <c r="C24" s="140"/>
      <c r="D24" s="141"/>
      <c r="E24" s="140"/>
      <c r="F24" s="140"/>
    </row>
    <row r="25" spans="1:6" ht="15.75">
      <c r="A25" s="140"/>
      <c r="B25" s="845" t="s">
        <v>369</v>
      </c>
      <c r="C25" s="846"/>
      <c r="D25" s="142">
        <f>IF(D23&gt;0,(D23*0.001),"")</f>
        <v>10.744</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Guittard Township  </v>
      </c>
      <c r="I6">
        <f>CONCATENATE(I7)</f>
      </c>
    </row>
    <row r="7" spans="1:7" ht="15.75">
      <c r="A7" s="857" t="str">
        <f>CONCATENATE("   with respect to financing the ",inputPrYr!D5," annual budget for ",(inputPrYr!D2)," , ",(inputPrYr!D3)," , Kansas.")</f>
        <v>   with respect to financing the 2013 annual budget for Guittard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Guittard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Guittard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Guittard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Guittard Township  of Marshall County , Kansas that is our desire to notify the public of increased property taxes to finance the 2013 Guittard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Guittard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Guittard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7">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Guittard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2697236</v>
      </c>
    </row>
    <row r="8" spans="1:5" ht="15.75">
      <c r="A8" s="22" t="str">
        <f>CONCATENATE("New Improvements for ",E1-1,"")</f>
        <v>New Improvements for 2012</v>
      </c>
      <c r="B8" s="19"/>
      <c r="C8" s="19"/>
      <c r="D8" s="19"/>
      <c r="E8" s="283">
        <v>62832</v>
      </c>
    </row>
    <row r="9" spans="1:5" ht="15.75">
      <c r="A9" s="22" t="str">
        <f>CONCATENATE("Personal Property excluding oil, gas, and mobile homes - ",E1-1,"")</f>
        <v>Personal Property excluding oil, gas, and mobile homes - 2012</v>
      </c>
      <c r="B9" s="19"/>
      <c r="C9" s="19"/>
      <c r="D9" s="19"/>
      <c r="E9" s="283">
        <v>95926</v>
      </c>
    </row>
    <row r="10" spans="1:5" ht="15.75">
      <c r="A10" s="22" t="str">
        <f>CONCATENATE("Property that has changed in use for ",E1-1,"")</f>
        <v>Property that has changed in use for 2012</v>
      </c>
      <c r="B10" s="19"/>
      <c r="C10" s="19"/>
      <c r="D10" s="19"/>
      <c r="E10" s="283">
        <v>10984</v>
      </c>
    </row>
    <row r="11" spans="1:5" ht="15.75">
      <c r="A11" s="22" t="str">
        <f>CONCATENATE("Personal Property excluding oil, gas, and mobile homes- ",E1-2,"")</f>
        <v>Personal Property excluding oil, gas, and mobile homes- 2011</v>
      </c>
      <c r="B11" s="19"/>
      <c r="C11" s="19"/>
      <c r="D11" s="19"/>
      <c r="E11" s="283">
        <v>101727</v>
      </c>
    </row>
    <row r="12" spans="1:5" ht="15.75">
      <c r="A12" s="22" t="str">
        <f>CONCATENATE("Gross earnings (intangible) tax estimate for ",E1,"")</f>
        <v>Gross earnings (intangible) tax estimate for 2013</v>
      </c>
      <c r="B12" s="19"/>
      <c r="C12" s="19"/>
      <c r="D12" s="19"/>
      <c r="E12" s="283">
        <v>1938.18</v>
      </c>
    </row>
    <row r="13" spans="1:5" ht="15.75">
      <c r="A13" s="22" t="str">
        <f>CONCATENATE("Neighborhood Revitalization - ",E1,"")</f>
        <v>Neighborhood Revitalization - 2013</v>
      </c>
      <c r="B13" s="19"/>
      <c r="C13" s="19"/>
      <c r="D13" s="19"/>
      <c r="E13" s="283">
        <v>10744</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16.339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16.339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2470342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3679.5</v>
      </c>
    </row>
    <row r="33" spans="1:5" ht="15.75">
      <c r="A33" s="296" t="s">
        <v>277</v>
      </c>
      <c r="B33" s="267"/>
      <c r="C33" s="267"/>
      <c r="D33" s="31"/>
      <c r="E33" s="34">
        <v>77.34</v>
      </c>
    </row>
    <row r="34" spans="1:5" ht="15.75">
      <c r="A34" s="296" t="s">
        <v>160</v>
      </c>
      <c r="B34" s="267"/>
      <c r="C34" s="267"/>
      <c r="D34" s="31"/>
      <c r="E34" s="34">
        <v>676.47</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3050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47376</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943</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13, 2012</v>
      </c>
      <c r="E9" s="356"/>
      <c r="F9" s="356"/>
      <c r="J9" s="721" t="s">
        <v>849</v>
      </c>
    </row>
    <row r="10" spans="1:10" ht="15.75">
      <c r="A10" s="357" t="s">
        <v>374</v>
      </c>
      <c r="B10" s="359" t="s">
        <v>944</v>
      </c>
      <c r="C10" s="363"/>
      <c r="D10" s="357"/>
      <c r="E10" s="356"/>
      <c r="F10" s="356"/>
      <c r="J10" s="721" t="s">
        <v>850</v>
      </c>
    </row>
    <row r="11" spans="1:10" ht="15.75">
      <c r="A11" s="357"/>
      <c r="B11" s="357"/>
      <c r="C11" s="357"/>
      <c r="D11" s="357"/>
      <c r="E11" s="356"/>
      <c r="F11" s="356"/>
      <c r="J11" s="721" t="s">
        <v>851</v>
      </c>
    </row>
    <row r="12" spans="1:10" ht="15.75">
      <c r="A12" s="357" t="s">
        <v>375</v>
      </c>
      <c r="B12" s="364" t="s">
        <v>945</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41134</v>
      </c>
    </row>
    <row r="22" spans="1:7" ht="15.75">
      <c r="A22" s="357" t="s">
        <v>374</v>
      </c>
      <c r="B22" s="357" t="s">
        <v>379</v>
      </c>
      <c r="C22" s="357"/>
      <c r="D22" s="357"/>
      <c r="E22" s="357"/>
      <c r="G22" s="724">
        <f>IF(B8="","",MONTH(G21))</f>
        <v>8</v>
      </c>
    </row>
    <row r="23" spans="1:7" ht="15.75">
      <c r="A23" s="357"/>
      <c r="B23" s="357"/>
      <c r="C23" s="357"/>
      <c r="D23" s="357"/>
      <c r="E23" s="357"/>
      <c r="G23" s="725">
        <f>IF(B8="","",DAY(G21))</f>
        <v>13</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F27" sqref="F2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Guittard Township </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5700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47430</v>
      </c>
      <c r="F24" s="732">
        <f>IF(road!$E$50&lt;&gt;0,road!$E$50,"  ")</f>
        <v>41494.70999999999</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53130</v>
      </c>
      <c r="F35" s="734">
        <f>SUM(F21:F30)</f>
        <v>41494.70999999999</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Guittard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40364</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40364</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62832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95926</v>
      </c>
      <c r="F14" s="246"/>
      <c r="G14" s="55"/>
      <c r="H14" s="55"/>
      <c r="I14" s="53"/>
      <c r="J14" s="55"/>
    </row>
    <row r="15" spans="1:10" ht="15.75">
      <c r="A15" s="245"/>
      <c r="B15" s="14" t="s">
        <v>87</v>
      </c>
      <c r="C15" s="14" t="str">
        <f>CONCATENATE("Personal Property ",J1-2,"")</f>
        <v>Personal Property 2011</v>
      </c>
      <c r="D15" s="245" t="s">
        <v>82</v>
      </c>
      <c r="E15" s="249">
        <f>inputOth!E11</f>
        <v>101727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10984</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73816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2697236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2623420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0.028137316937432818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1136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41500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41500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Guittard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40364</v>
      </c>
      <c r="E14" s="131">
        <f>IF(inputOth!D20&gt;0,inputOth!D20,"  ")</f>
        <v>16.339</v>
      </c>
      <c r="F14" s="727"/>
      <c r="G14" s="161">
        <f>IF(inputPrYr!E19=0,0,ROUND(D14*$G$30,0))</f>
        <v>3680</v>
      </c>
      <c r="H14" s="728"/>
      <c r="I14" s="161">
        <f>IF(inputPrYr!$E$19=0,0,ROUND($D$14*$I$32,0))</f>
        <v>77</v>
      </c>
      <c r="J14" s="161">
        <f>IF(inputPrYr!E19=0,0,ROUND($D14*$J$34,0))</f>
        <v>676</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40364</v>
      </c>
      <c r="E21" s="730">
        <f>SUM(E11:E20)</f>
        <v>16.339</v>
      </c>
      <c r="F21" s="731"/>
      <c r="G21" s="729">
        <f>SUM(G11:G20)</f>
        <v>3680</v>
      </c>
      <c r="H21" s="729"/>
      <c r="I21" s="729">
        <f>SUM(I11:I20)</f>
        <v>77</v>
      </c>
      <c r="J21" s="729">
        <f>SUM(J11:J20)</f>
        <v>676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3679.5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77.34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676.47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0.091157962540878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0.0019160638192448718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0.01675924090773957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Guittard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2030.56</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2030.56</v>
      </c>
      <c r="D27" s="228">
        <f>SUM(D10:D26)</f>
        <v>0</v>
      </c>
      <c r="E27" s="228">
        <f>SUM(E10:E26)</f>
        <v>0</v>
      </c>
      <c r="F27" s="129"/>
    </row>
    <row r="28" spans="1:6" ht="15.75">
      <c r="A28" s="129"/>
      <c r="B28" s="227" t="s">
        <v>610</v>
      </c>
      <c r="C28" s="129"/>
      <c r="D28" s="224"/>
      <c r="E28" s="224"/>
      <c r="F28" s="129"/>
    </row>
    <row r="29" spans="1:6" ht="15.75">
      <c r="A29" s="129"/>
      <c r="B29" s="179" t="s">
        <v>177</v>
      </c>
      <c r="C29" s="229">
        <f>C27</f>
        <v>2030.56</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2012-08-06T15:57:44Z</cp:lastPrinted>
  <dcterms:created xsi:type="dcterms:W3CDTF">1998-08-26T16:30:41Z</dcterms:created>
  <dcterms:modified xsi:type="dcterms:W3CDTF">2012-08-06T16:00:25Z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