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summ" sheetId="13" r:id="rId13"/>
    <sheet name="DebtService"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3">'DebtService'!$B$1:$E$62</definedName>
    <definedName name="_xlnm.Print_Area" localSheetId="11">'gen'!$B$1:$E$61</definedName>
    <definedName name="_xlnm.Print_Area" localSheetId="1">'inputPrYr'!$A$1:$E$83</definedName>
    <definedName name="_xlnm.Print_Area" localSheetId="14">'road'!$B$1:$F$68</definedName>
    <definedName name="_xlnm.Print_Area" localSheetId="12">'summ'!$B$1:$I$37</definedName>
  </definedNames>
  <calcPr fullCalcOnLoad="1"/>
</workbook>
</file>

<file path=xl/sharedStrings.xml><?xml version="1.0" encoding="utf-8"?>
<sst xmlns="http://schemas.openxmlformats.org/spreadsheetml/2006/main" count="1366" uniqueCount="820">
  <si>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</si>
  <si>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</si>
  <si>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</si>
  <si>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</si>
  <si>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</si>
  <si>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</si>
  <si>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</si>
  <si>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</si>
  <si>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</si>
  <si>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</si>
  <si>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</si>
  <si>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</si>
  <si>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</si>
  <si>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</si>
  <si>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</si>
  <si>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</si>
  <si>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</si>
  <si>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</si>
  <si>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</si>
  <si>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</si>
  <si>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</si>
  <si>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</si>
  <si>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</si>
  <si>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</si>
  <si>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</si>
  <si>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</si>
  <si>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</si>
  <si>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</si>
  <si>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</si>
  <si>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</si>
  <si>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</si>
  <si>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</si>
  <si>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</si>
  <si>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</si>
  <si>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</si>
  <si>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</si>
  <si>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</si>
  <si>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</si>
  <si>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</si>
  <si>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</si>
  <si>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</si>
  <si>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</si>
  <si>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</si>
  <si>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</si>
  <si>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</si>
  <si>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</si>
  <si>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</si>
  <si>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</si>
  <si>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</si>
  <si>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</si>
  <si>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</si>
  <si>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</si>
  <si>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</si>
  <si>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</si>
  <si>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</si>
  <si>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</si>
  <si>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</si>
  <si>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</si>
  <si>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</si>
  <si>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</si>
  <si>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</si>
  <si>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</si>
  <si>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</si>
  <si>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</si>
  <si>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</si>
  <si>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</si>
  <si>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</si>
  <si>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</si>
  <si>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</si>
  <si>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</si>
  <si>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</si>
  <si>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</si>
  <si>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</si>
  <si>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</si>
  <si>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</si>
  <si>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</si>
  <si>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</si>
  <si>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</si>
  <si>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</si>
  <si>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</si>
  <si>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</si>
  <si>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</si>
  <si>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</si>
  <si>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</si>
  <si>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</si>
  <si>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</si>
  <si>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</si>
  <si>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</si>
  <si>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</si>
  <si>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</si>
  <si>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</si>
  <si>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</si>
  <si>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</si>
  <si>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</si>
  <si>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</si>
  <si>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</si>
  <si>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</si>
  <si>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</si>
  <si>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</si>
  <si>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</si>
  <si>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</si>
  <si>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</si>
  <si>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</si>
  <si>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</si>
  <si>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</si>
  <si>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</si>
  <si>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</si>
  <si>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</si>
  <si>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</si>
  <si>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</si>
  <si>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</si>
  <si>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</si>
  <si>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</si>
  <si>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</si>
  <si>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</si>
  <si>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</si>
  <si>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</si>
  <si>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</si>
  <si>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</si>
  <si>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</si>
  <si>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</si>
  <si>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</si>
  <si>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</si>
  <si>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</si>
  <si>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</si>
  <si>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</si>
  <si>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</si>
  <si>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</si>
  <si>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</si>
  <si>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</si>
  <si>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</si>
  <si>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</si>
  <si>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</si>
  <si>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</si>
  <si>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</si>
  <si>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</si>
  <si>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</si>
  <si>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</si>
  <si>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</si>
  <si>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</si>
  <si>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</si>
  <si>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</si>
  <si>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</si>
  <si>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</si>
  <si>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</si>
  <si>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</si>
  <si>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</si>
  <si>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</si>
  <si>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</si>
  <si>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</si>
  <si>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</si>
  <si>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</si>
  <si>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</si>
  <si>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</si>
  <si>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</si>
  <si>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</si>
  <si>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</si>
  <si>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</si>
  <si>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</si>
  <si>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</si>
  <si>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</si>
  <si>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</si>
  <si>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</si>
  <si>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</si>
  <si>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</si>
  <si>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</si>
  <si>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</si>
  <si>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</si>
  <si>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</si>
  <si>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</si>
  <si>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</si>
  <si>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</si>
  <si>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</si>
  <si>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</si>
  <si>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</si>
  <si>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</si>
  <si>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</si>
  <si>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</si>
  <si>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</si>
  <si>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</si>
  <si>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</si>
  <si>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</si>
  <si>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</si>
  <si>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</si>
  <si>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</si>
  <si>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</si>
  <si>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</si>
  <si>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</si>
  <si>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</si>
  <si>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</si>
  <si>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</si>
  <si>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</si>
  <si>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</si>
  <si>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</si>
  <si>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</si>
  <si>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</si>
  <si>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</si>
  <si>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</si>
  <si>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</si>
  <si>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</si>
  <si>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</si>
  <si>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</si>
  <si>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</si>
  <si>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</si>
  <si>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</si>
  <si>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</si>
  <si>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</si>
  <si>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</si>
  <si>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</si>
  <si>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</si>
  <si>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</si>
  <si>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</si>
  <si>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</si>
  <si>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</si>
  <si>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</si>
  <si>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</si>
  <si>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</si>
  <si>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</si>
  <si>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</si>
  <si>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</si>
  <si>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</si>
  <si>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</si>
  <si>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</si>
  <si>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</si>
  <si>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</si>
  <si>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</si>
  <si>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</si>
  <si>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</si>
  <si>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</si>
  <si>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</si>
  <si>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</si>
  <si>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</si>
  <si>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</si>
  <si>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</si>
  <si>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</si>
  <si>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</si>
  <si>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</si>
  <si>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</si>
  <si>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</si>
  <si>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</si>
  <si>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</si>
  <si>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</si>
  <si>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</si>
  <si>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</si>
  <si>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</si>
  <si>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</si>
  <si>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</si>
  <si>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</si>
  <si>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</si>
  <si>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</si>
  <si>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</si>
  <si>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</si>
  <si>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</si>
  <si>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</si>
  <si>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</si>
  <si>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</si>
  <si>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</si>
  <si>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</si>
  <si>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</si>
  <si>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</si>
  <si>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</si>
  <si>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</si>
  <si>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</si>
  <si>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</si>
  <si>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</si>
  <si>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</si>
  <si>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</si>
  <si>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</si>
  <si>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</si>
  <si>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</si>
  <si>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</si>
  <si>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</si>
  <si>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</si>
  <si>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</si>
  <si>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</si>
  <si>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</si>
  <si>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</si>
  <si>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</si>
  <si>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</si>
  <si>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</si>
  <si>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</si>
  <si>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</si>
  <si>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</si>
  <si>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</si>
  <si>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</si>
  <si>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</si>
  <si>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</si>
  <si>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</si>
  <si>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</si>
  <si>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</si>
  <si>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</si>
  <si>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</si>
  <si>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</si>
  <si>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</si>
  <si>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</si>
  <si>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</si>
  <si>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</si>
  <si>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</si>
  <si>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</si>
  <si>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</si>
  <si>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</si>
  <si>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</si>
  <si>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</si>
  <si>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</si>
  <si>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</si>
  <si>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</si>
  <si>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</si>
  <si>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</si>
  <si>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</si>
  <si>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</si>
  <si>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</si>
  <si>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</si>
  <si>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</si>
  <si>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</si>
  <si>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</si>
  <si>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</si>
  <si>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</si>
  <si>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</si>
  <si>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</si>
  <si>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</si>
  <si>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</si>
  <si>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</si>
  <si>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</si>
  <si>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</si>
  <si>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</si>
  <si>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</si>
  <si>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</si>
  <si>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</si>
  <si>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</si>
  <si>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</si>
  <si>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</si>
  <si>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</si>
  <si>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</si>
  <si>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</si>
  <si>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</si>
  <si>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</si>
  <si>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</si>
  <si>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</si>
  <si>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</si>
  <si>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</si>
  <si>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</si>
  <si>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</si>
  <si>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</si>
  <si>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</si>
  <si>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</si>
  <si>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</si>
  <si>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</si>
  <si>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</si>
  <si>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</si>
  <si>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</si>
  <si>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</si>
  <si>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</si>
  <si>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</si>
  <si>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</si>
  <si>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</si>
  <si>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</si>
  <si>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</si>
  <si>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</si>
  <si>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</si>
  <si>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</si>
  <si>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</si>
  <si>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</si>
  <si>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</si>
  <si>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</si>
  <si>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</si>
  <si>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</si>
  <si>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</si>
  <si>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</si>
  <si>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</si>
  <si>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</si>
  <si>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</si>
  <si>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</si>
  <si>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</si>
  <si>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</si>
  <si>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</si>
  <si>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</si>
  <si>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</si>
  <si>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</si>
  <si>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</si>
  <si>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</si>
  <si>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</si>
  <si>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</si>
  <si>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</si>
  <si>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</si>
  <si>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</si>
  <si>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</si>
  <si>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</si>
  <si>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</si>
  <si>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</si>
  <si>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</si>
  <si>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</si>
  <si>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</si>
  <si>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</si>
  <si>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</si>
  <si>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</si>
  <si>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</si>
  <si>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</si>
  <si>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</si>
  <si>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</si>
  <si>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</si>
  <si>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</si>
  <si>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</si>
  <si>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</si>
  <si>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</si>
  <si>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</si>
  <si>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</si>
  <si>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</si>
  <si>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</si>
  <si>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</si>
  <si>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</si>
  <si>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</si>
  <si>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</si>
  <si>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</si>
  <si>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</si>
  <si>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</si>
  <si>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</si>
  <si>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</si>
  <si>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</si>
  <si>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</si>
  <si>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</si>
  <si>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</si>
  <si>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</si>
  <si>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</si>
  <si>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</si>
  <si>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</si>
  <si>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</si>
  <si>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</si>
  <si>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</si>
  <si>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</si>
  <si>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</si>
  <si>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</si>
  <si>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</si>
  <si>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</si>
  <si>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</si>
  <si>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</si>
  <si>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</si>
  <si>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</si>
  <si>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</si>
  <si>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</si>
  <si>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</si>
  <si>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</si>
  <si>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</si>
  <si>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</si>
  <si>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</si>
  <si>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</si>
  <si>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</si>
  <si>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</si>
  <si>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</si>
  <si>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</si>
  <si>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</si>
  <si>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</si>
  <si>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</si>
  <si>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</si>
  <si>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</si>
  <si>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</si>
  <si>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</si>
  <si>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</si>
  <si>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</si>
  <si>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</si>
  <si>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</si>
  <si>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</si>
  <si>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</si>
  <si>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</si>
  <si>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</si>
  <si>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</si>
  <si>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</si>
  <si>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</si>
  <si>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</si>
  <si>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</si>
  <si>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</si>
  <si>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</si>
  <si>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</si>
  <si>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</si>
  <si>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</si>
  <si>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</si>
  <si>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</si>
  <si>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</si>
  <si>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</si>
  <si>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</si>
  <si>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</si>
  <si>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</si>
  <si>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</si>
  <si>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</si>
  <si>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</si>
  <si>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</si>
  <si>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</si>
  <si>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</si>
  <si>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</si>
  <si>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</si>
  <si>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</si>
  <si>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</si>
  <si>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</si>
  <si>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</si>
  <si>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</si>
  <si>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</si>
  <si>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</si>
  <si>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</si>
  <si>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</si>
  <si>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</si>
  <si>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</si>
  <si>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</si>
  <si>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</si>
  <si>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</si>
  <si>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</si>
  <si>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</si>
  <si>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</si>
  <si>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</si>
  <si>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</si>
  <si>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</si>
  <si>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</si>
  <si>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</si>
  <si>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</si>
  <si>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</si>
  <si>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</si>
  <si>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</si>
  <si>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</si>
  <si>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</si>
  <si>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</si>
  <si>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</si>
  <si>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</si>
  <si>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</si>
  <si>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</si>
  <si>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</si>
  <si>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</si>
  <si>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</si>
  <si>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</si>
  <si>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</si>
  <si>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</si>
  <si>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</si>
  <si>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</si>
  <si>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</si>
  <si>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</si>
  <si>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</si>
  <si>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</si>
  <si>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</si>
  <si>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</si>
  <si>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</si>
  <si>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</si>
  <si>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</si>
  <si>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</si>
  <si>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</si>
  <si>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</si>
  <si>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</si>
  <si>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</si>
  <si>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</si>
  <si>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</si>
  <si>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</si>
  <si>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</si>
  <si>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</si>
  <si>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</si>
  <si>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</si>
  <si>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</si>
  <si>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</si>
  <si>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</si>
  <si>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</si>
  <si>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</si>
  <si>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</si>
  <si>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</si>
  <si>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</si>
  <si>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</si>
  <si>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</si>
  <si>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</si>
  <si>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</si>
  <si>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</si>
  <si>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</si>
  <si>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</si>
  <si>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</si>
  <si>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</si>
  <si>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</si>
  <si>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</si>
  <si>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</si>
  <si>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</si>
  <si>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</si>
  <si>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</si>
  <si>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</si>
  <si>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</si>
  <si>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</si>
  <si>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</si>
  <si>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</si>
  <si>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</si>
  <si>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</si>
  <si>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</si>
  <si>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</si>
  <si>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</si>
  <si>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</si>
  <si>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</si>
  <si>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</si>
  <si>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</si>
  <si>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</si>
  <si>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</si>
  <si>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</si>
  <si>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</si>
  <si>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</si>
  <si>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</si>
  <si>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</si>
  <si>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</si>
  <si>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</si>
  <si>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</si>
  <si>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</si>
  <si>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</si>
  <si>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</si>
  <si>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</si>
  <si>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</si>
  <si>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</si>
  <si>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</si>
  <si>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</si>
  <si>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</si>
  <si>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</si>
  <si>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</si>
  <si>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</si>
  <si>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</si>
  <si>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</si>
  <si>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</si>
  <si>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</si>
  <si>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</si>
  <si>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</si>
  <si>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</si>
  <si>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</si>
  <si>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</si>
  <si>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</si>
  <si>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</si>
  <si>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</si>
  <si>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</si>
  <si>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</si>
  <si>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</si>
  <si>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</si>
  <si>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</si>
  <si>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</si>
  <si>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</si>
  <si>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</si>
  <si>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</si>
  <si>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</si>
  <si>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</si>
  <si>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</si>
  <si>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</si>
  <si>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</si>
  <si>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</si>
  <si>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</si>
  <si>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</si>
  <si>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</si>
  <si>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</si>
  <si>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</si>
  <si>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</si>
  <si>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</si>
  <si>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</si>
  <si>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</si>
  <si>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</si>
  <si>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</si>
  <si>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</si>
  <si>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</si>
  <si>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</si>
  <si>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</si>
  <si>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</si>
  <si>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</si>
  <si>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</si>
  <si>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</si>
  <si>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</si>
  <si>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</si>
  <si>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</si>
  <si>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</si>
  <si>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</si>
  <si>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</si>
  <si>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</si>
  <si>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</si>
  <si>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</si>
  <si>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</si>
  <si>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</si>
  <si>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</si>
  <si>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</si>
  <si>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</si>
  <si>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</si>
  <si>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</si>
  <si>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</si>
  <si>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</si>
  <si>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</si>
  <si>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</si>
  <si>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</si>
  <si>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</si>
  <si>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</si>
  <si>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</si>
  <si>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</si>
  <si>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</si>
  <si>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</si>
  <si>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</si>
  <si>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</si>
  <si>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</si>
  <si>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</si>
  <si>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</si>
  <si>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</si>
  <si>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</si>
  <si>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</si>
  <si>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</si>
  <si>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</si>
  <si>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</si>
  <si>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</si>
  <si>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</si>
  <si>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</si>
  <si>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</si>
  <si>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</si>
  <si>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</si>
  <si>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</si>
  <si>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</si>
  <si>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</si>
  <si>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</si>
  <si>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</si>
  <si>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</si>
  <si>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</si>
  <si>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</si>
  <si>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</si>
  <si>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</si>
  <si>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</si>
  <si>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</si>
  <si>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</si>
  <si>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</si>
  <si>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</si>
  <si>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</si>
  <si>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</si>
  <si>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</si>
  <si>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</si>
  <si>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</si>
  <si>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</si>
  <si>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</si>
  <si>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</si>
  <si>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</si>
  <si>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</si>
  <si>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</si>
  <si>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</si>
  <si>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</si>
  <si>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</si>
  <si>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</si>
  <si>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</si>
  <si>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</si>
  <si>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</si>
  <si>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</si>
  <si>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</si>
  <si>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</si>
  <si>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</si>
  <si>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</si>
  <si>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</si>
  <si>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</si>
  <si>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</si>
  <si>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</si>
  <si>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</si>
  <si>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</si>
  <si>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</si>
  <si>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</si>
  <si>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</si>
  <si>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</si>
  <si>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</si>
  <si>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</si>
  <si>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</si>
  <si>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</si>
  <si>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</si>
  <si>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</si>
  <si>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</si>
  <si>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</si>
  <si>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</si>
  <si>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</si>
  <si>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</si>
  <si>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</si>
  <si>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</si>
  <si>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</si>
  <si>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</si>
  <si>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</si>
  <si>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</si>
  <si>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</si>
  <si>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</si>
  <si>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</si>
  <si>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</si>
  <si>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</si>
  <si>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</si>
  <si>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</si>
  <si>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</si>
  <si>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</si>
  <si>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</si>
  <si>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</si>
  <si>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</si>
  <si>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</si>
  <si>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</si>
  <si>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</si>
  <si>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</si>
  <si>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</si>
  <si>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</si>
  <si>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</si>
  <si>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</si>
  <si>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</si>
  <si>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</si>
  <si>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</si>
  <si>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</si>
  <si>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</si>
  <si>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</si>
  <si>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</si>
  <si>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</si>
  <si>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</si>
  <si>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</si>
  <si>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</si>
  <si>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</si>
  <si>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</si>
  <si>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</si>
  <si>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</si>
  <si>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</si>
  <si>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</si>
  <si>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</si>
  <si>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</si>
  <si>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</si>
  <si>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</si>
  <si>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</si>
  <si>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</si>
  <si>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</si>
  <si>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Neosho Township</t>
  </si>
  <si>
    <t>Labette County</t>
  </si>
  <si>
    <t>General Expense</t>
  </si>
  <si>
    <t>North Township Fire Contract</t>
  </si>
  <si>
    <t>Special Equipment and Machinery</t>
  </si>
  <si>
    <t>6:00 p.m.</t>
  </si>
  <si>
    <t>Neosho Township Fire Department</t>
  </si>
  <si>
    <t>the Office of the County Clerk</t>
  </si>
  <si>
    <t>July 30, 2012</t>
  </si>
  <si>
    <t>Transfer Special Machinery and Equipment</t>
  </si>
  <si>
    <t xml:space="preserve"> /s/  Sylvia McKinney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</si>
</sst>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746</v>
      </c>
    </row>
    <row r="40" ht="57.75" customHeight="1">
      <c r="A40" s="371" t="s">
        <v>189</v>
      </c>
    </row>
    <row r="41" ht="10.5" customHeight="1">
      <c r="A41" s="360"/>
    </row>
    <row r="42" ht="65.25" customHeight="1">
      <c r="A42" s="360" t="s">
        <v>747</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598" t="s">
        <v>749</v>
      </c>
    </row>
    <row r="71" ht="57" customHeight="1">
      <c r="A71" s="598" t="s">
        <v>750</v>
      </c>
    </row>
    <row r="72" ht="60" customHeight="1">
      <c r="A72" s="360" t="s">
        <v>751</v>
      </c>
    </row>
    <row r="73" ht="117.75" customHeight="1">
      <c r="A73" s="360" t="s">
        <v>752</v>
      </c>
    </row>
    <row r="74" ht="59.25" customHeight="1">
      <c r="A74" s="360" t="s">
        <v>753</v>
      </c>
    </row>
    <row r="75" ht="59.25" customHeight="1">
      <c r="A75" s="598"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598" t="s">
        <v>765</v>
      </c>
    </row>
    <row r="95" ht="75" customHeight="1">
      <c r="A95" s="598" t="s">
        <v>766</v>
      </c>
    </row>
    <row r="96" ht="33.75" customHeight="1">
      <c r="A96" s="360" t="s">
        <v>767</v>
      </c>
    </row>
    <row r="97" ht="51.75" customHeight="1">
      <c r="A97" s="360" t="s">
        <v>768</v>
      </c>
    </row>
    <row r="98" ht="14.25" customHeight="1"/>
    <row r="99" ht="69.75" customHeight="1">
      <c r="A99" s="360" t="s">
        <v>620</v>
      </c>
    </row>
    <row r="101" ht="54" customHeight="1">
      <c r="A101" s="598" t="s">
        <v>769</v>
      </c>
    </row>
    <row r="102" ht="85.5" customHeight="1">
      <c r="A102" s="598" t="s">
        <v>770</v>
      </c>
    </row>
    <row r="103" ht="99" customHeight="1">
      <c r="A103" s="598"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Neosho Township</v>
      </c>
      <c r="B1" s="179"/>
      <c r="C1" s="179"/>
      <c r="D1" s="179"/>
      <c r="E1" s="179"/>
      <c r="F1" s="179"/>
      <c r="G1" s="179"/>
      <c r="H1" s="179"/>
      <c r="I1" s="14"/>
      <c r="J1" s="14"/>
      <c r="K1" s="15">
        <f>inputPrYr!D5</f>
        <v>2012</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0">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Neosho Township</v>
      </c>
      <c r="C1" s="14"/>
      <c r="D1" s="14"/>
      <c r="E1" s="15">
        <f>inputPrYr!D5</f>
        <v>2012</v>
      </c>
    </row>
    <row r="2" spans="2:5" ht="15.75">
      <c r="B2" s="17"/>
      <c r="C2" s="14"/>
      <c r="D2" s="14"/>
      <c r="E2" s="18"/>
    </row>
    <row r="3" spans="2:5" ht="15.75">
      <c r="B3" s="597" t="s">
        <v>745</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v>2502</v>
      </c>
      <c r="D6" s="418">
        <f>C51</f>
        <v>5790</v>
      </c>
      <c r="E6" s="32">
        <f>D51</f>
        <v>3348</v>
      </c>
    </row>
    <row r="7" spans="2:5" ht="15.75">
      <c r="B7" s="27" t="s">
        <v>122</v>
      </c>
      <c r="C7" s="418"/>
      <c r="D7" s="418"/>
      <c r="E7" s="33"/>
    </row>
    <row r="8" spans="2:5" ht="15.75">
      <c r="B8" s="27" t="s">
        <v>16</v>
      </c>
      <c r="C8" s="29">
        <v>44540</v>
      </c>
      <c r="D8" s="418">
        <f>inputPrYr!E16</f>
        <v>19816</v>
      </c>
      <c r="E8" s="33" t="s">
        <v>298</v>
      </c>
    </row>
    <row r="9" spans="2:5" ht="15.75">
      <c r="B9" s="27" t="s">
        <v>17</v>
      </c>
      <c r="C9" s="29"/>
      <c r="D9" s="29">
        <v>60</v>
      </c>
      <c r="E9" s="34"/>
    </row>
    <row r="10" spans="2:5" ht="15.75">
      <c r="B10" s="27" t="s">
        <v>18</v>
      </c>
      <c r="C10" s="29"/>
      <c r="D10" s="29">
        <v>1212</v>
      </c>
      <c r="E10" s="32">
        <f>mvalloc!G11</f>
        <v>1222</v>
      </c>
    </row>
    <row r="11" spans="2:5" ht="15.75">
      <c r="B11" s="27" t="s">
        <v>19</v>
      </c>
      <c r="C11" s="29"/>
      <c r="D11" s="29">
        <v>23</v>
      </c>
      <c r="E11" s="32">
        <f>mvalloc!I11</f>
        <v>22</v>
      </c>
    </row>
    <row r="12" spans="2:5" ht="15.75">
      <c r="B12" s="35" t="s">
        <v>71</v>
      </c>
      <c r="C12" s="29"/>
      <c r="D12" s="29">
        <v>96</v>
      </c>
      <c r="E12" s="32">
        <f>mvalloc!J11</f>
        <v>96</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t="s">
        <v>812</v>
      </c>
      <c r="C17" s="29"/>
      <c r="D17" s="29">
        <v>13500</v>
      </c>
      <c r="E17" s="34">
        <v>13500</v>
      </c>
    </row>
    <row r="18" spans="2:5" ht="15.75">
      <c r="B18" s="37"/>
      <c r="C18" s="29"/>
      <c r="D18" s="29"/>
      <c r="E18" s="34"/>
    </row>
    <row r="19" spans="2:5" ht="15.75">
      <c r="B19" s="38"/>
      <c r="C19" s="29"/>
      <c r="D19" s="29"/>
      <c r="E19" s="34"/>
    </row>
    <row r="20" spans="2:5" ht="15.75">
      <c r="B20" s="38" t="s">
        <v>813</v>
      </c>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44540</v>
      </c>
      <c r="D26" s="420">
        <f>SUM(D8:D24)</f>
        <v>34707</v>
      </c>
      <c r="E26" s="42">
        <f>SUM(E8:E24)</f>
        <v>14840</v>
      </c>
    </row>
    <row r="27" spans="2:5" ht="15.75">
      <c r="B27" s="43" t="s">
        <v>24</v>
      </c>
      <c r="C27" s="420">
        <f>C26+C6</f>
        <v>47042</v>
      </c>
      <c r="D27" s="420">
        <f>D26+D6</f>
        <v>40497</v>
      </c>
      <c r="E27" s="42">
        <f>E26+E6</f>
        <v>18188</v>
      </c>
    </row>
    <row r="28" spans="2:5" ht="15.75">
      <c r="B28" s="27" t="s">
        <v>25</v>
      </c>
      <c r="C28" s="418"/>
      <c r="D28" s="418"/>
      <c r="E28" s="32"/>
    </row>
    <row r="29" spans="2:5" ht="15.75">
      <c r="B29" s="37" t="s">
        <v>811</v>
      </c>
      <c r="C29" s="29">
        <v>41252</v>
      </c>
      <c r="D29" s="29">
        <v>29149</v>
      </c>
      <c r="E29" s="34">
        <v>31080</v>
      </c>
    </row>
    <row r="30" spans="2:5" ht="15.75">
      <c r="B30" s="38"/>
      <c r="C30" s="29"/>
      <c r="D30" s="29"/>
      <c r="E30" s="34"/>
    </row>
    <row r="31" spans="2:5" ht="15.75">
      <c r="B31" s="38" t="s">
        <v>818</v>
      </c>
      <c r="C31" s="29"/>
      <c r="D31" s="29">
        <v>8000</v>
      </c>
      <c r="E31" s="34">
        <v>8000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50" t="str">
        <f>CONCATENATE("Projected Carryover Into ",E1+1,"")</f>
        <v>Projected Carryover Into 2013</v>
      </c>
      <c r="H49" s="651"/>
      <c r="I49" s="651"/>
      <c r="J49" s="632"/>
    </row>
    <row r="50" spans="2:10" ht="15.75">
      <c r="B50" s="43" t="s">
        <v>26</v>
      </c>
      <c r="C50" s="412">
        <f>SUM(C29:C48)</f>
        <v>41252</v>
      </c>
      <c r="D50" s="412">
        <f>SUM(D29:D48)</f>
        <v>37149</v>
      </c>
      <c r="E50" s="47">
        <f>SUM(E29:E43,E45,E47:E48)</f>
        <v>39080</v>
      </c>
      <c r="G50" s="534"/>
      <c r="H50" s="535"/>
      <c r="I50" s="535"/>
      <c r="J50" s="536"/>
    </row>
    <row r="51" spans="2:10" ht="15.75">
      <c r="B51" s="27" t="s">
        <v>121</v>
      </c>
      <c r="C51" s="413">
        <f>C27-C50</f>
        <v>5790</v>
      </c>
      <c r="D51" s="413">
        <f>SUM(D27-D50)</f>
        <v>3348</v>
      </c>
      <c r="E51" s="33" t="s">
        <v>298</v>
      </c>
      <c r="G51" s="537">
        <f>D51</f>
        <v>3348</v>
      </c>
      <c r="H51" s="538" t="str">
        <f>CONCATENATE("",E1-1," Ending Cash Balance (est.)")</f>
        <v>2011 Ending Cash Balance (est.)</v>
      </c>
      <c r="I51" s="539"/>
      <c r="J51" s="536"/>
    </row>
    <row r="52" spans="2:10" ht="15.75">
      <c r="B52" s="48" t="str">
        <f>CONCATENATE("",E1-2,"/",E1-1," Budget Authority Amount:")</f>
        <v>2010/2011 Budget Authority Amount:</v>
      </c>
      <c r="C52" s="143">
        <f>inputOth!B46</f>
        <v>32089</v>
      </c>
      <c r="D52" s="172">
        <f>inputPrYr!D16</f>
        <v>37149</v>
      </c>
      <c r="E52" s="33" t="s">
        <v>298</v>
      </c>
      <c r="F52" s="50"/>
      <c r="G52" s="537">
        <f>E26</f>
        <v>14840</v>
      </c>
      <c r="H52" s="540" t="str">
        <f>CONCATENATE("",E1," Non-AV Receipts (est.)")</f>
        <v>2012 Non-AV Receipts (est.)</v>
      </c>
      <c r="I52" s="540"/>
      <c r="J52" s="536"/>
    </row>
    <row r="53" spans="2:10" ht="15.75">
      <c r="B53" s="48"/>
      <c r="C53" s="646" t="s">
        <v>642</v>
      </c>
      <c r="D53" s="647"/>
      <c r="E53" s="34"/>
      <c r="F53" s="533">
        <f>IF(E50/0.95-E50&lt;E53,"Exceeds 5%","")</f>
      </c>
      <c r="G53" s="541">
        <f>E57</f>
        <v>20892</v>
      </c>
      <c r="H53" s="540" t="str">
        <f>CONCATENATE("",E1," Ad Valorem Tax (est.)")</f>
        <v>2012 Ad Valorem Tax (est.)</v>
      </c>
      <c r="I53" s="540"/>
      <c r="J53" s="536"/>
    </row>
    <row r="54" spans="2:10" ht="15.75">
      <c r="B54" s="436" t="str">
        <f>CONCATENATE(C72,"     ",D72)</f>
        <v>See Tab A     </v>
      </c>
      <c r="C54" s="648" t="s">
        <v>643</v>
      </c>
      <c r="D54" s="649"/>
      <c r="E54" s="32">
        <f>E50+E53</f>
        <v>39080</v>
      </c>
      <c r="G54" s="537">
        <f>SUM(G51:G53)</f>
        <v>39080</v>
      </c>
      <c r="H54" s="540" t="str">
        <f>CONCATENATE("Total ",E1," Resources Available")</f>
        <v>Total 2012 Resources Available</v>
      </c>
      <c r="I54" s="539"/>
      <c r="J54" s="536"/>
    </row>
    <row r="55" spans="2:10" ht="15.75">
      <c r="B55" s="436" t="str">
        <f>CONCATENATE(C73,"     ",D73)</f>
        <v>     </v>
      </c>
      <c r="C55" s="60"/>
      <c r="D55" s="52" t="s">
        <v>28</v>
      </c>
      <c r="E55" s="46">
        <f>IF(E54-E27&gt;0,E54-E27,0)</f>
        <v>20892</v>
      </c>
      <c r="G55" s="542"/>
      <c r="H55" s="540"/>
      <c r="I55" s="540"/>
      <c r="J55" s="536"/>
    </row>
    <row r="56" spans="2:10" ht="15.75">
      <c r="B56" s="52"/>
      <c r="C56" s="440" t="s">
        <v>644</v>
      </c>
      <c r="D56" s="432">
        <f>inputOth!$E$40</f>
        <v>0</v>
      </c>
      <c r="E56" s="32">
        <f>ROUND(IF(D56&gt;0,(E55*D56),0),0)</f>
        <v>0</v>
      </c>
      <c r="G56" s="541">
        <f>C50*0.05+C50</f>
        <v>43314.6</v>
      </c>
      <c r="H56" s="540" t="str">
        <f>CONCATENATE("Less ",E1-2," Expenditures + 5%")</f>
        <v>Less 2010 Expenditures + 5%</v>
      </c>
      <c r="I56" s="539"/>
      <c r="J56" s="536"/>
    </row>
    <row r="57" spans="2:10" ht="15.75">
      <c r="B57" s="14"/>
      <c r="C57" s="644" t="str">
        <f>CONCATENATE("Amount of  ",$E$1-1," Ad Valorem Tax")</f>
        <v>Amount of  2011 Ad Valorem Tax</v>
      </c>
      <c r="D57" s="645"/>
      <c r="E57" s="46">
        <f>E55+E56</f>
        <v>20892</v>
      </c>
      <c r="G57" s="543">
        <f>G54-G56</f>
        <v>-4234.5999999999985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4.474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0" t="str">
        <f>CONCATENATE("Desired Carryover Into ",E1+1,"")</f>
        <v>Desired Carryover Into 2013</v>
      </c>
      <c r="H61" s="652"/>
      <c r="I61" s="652"/>
      <c r="J61" s="632"/>
    </row>
    <row r="62" spans="7:10" ht="15.75">
      <c r="G62" s="551"/>
      <c r="H62" s="535"/>
      <c r="I62" s="540"/>
      <c r="J62" s="552"/>
    </row>
    <row r="63" spans="2:10" ht="15.75">
      <c r="B63" s="12"/>
      <c r="G63" s="553" t="s">
        <v>740</v>
      </c>
      <c r="H63" s="540"/>
      <c r="I63" s="540"/>
      <c r="J63" s="554">
        <v>0</v>
      </c>
    </row>
    <row r="64" spans="7:10" ht="15.75">
      <c r="G64" s="551" t="s">
        <v>741</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N96"/>
  <sheetViews>
    <sheetView zoomScale="75" zoomScaleNormal="75" zoomScalePageLayoutView="0" workbookViewId="0" topLeftCell="A7">
      <selection activeCell="B34" sqref="B34:C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29" t="s">
        <v>38</v>
      </c>
      <c r="C3" s="629"/>
      <c r="D3" s="629"/>
      <c r="E3" s="629"/>
      <c r="F3" s="629"/>
      <c r="G3" s="629"/>
      <c r="H3" s="629"/>
      <c r="I3" s="629"/>
    </row>
    <row r="4" spans="2:9" ht="15.75">
      <c r="B4" s="662" t="str">
        <f>inputPrYr!D2</f>
        <v>Neosho Township</v>
      </c>
      <c r="C4" s="662"/>
      <c r="D4" s="662"/>
      <c r="E4" s="662"/>
      <c r="F4" s="662"/>
      <c r="G4" s="662"/>
      <c r="H4" s="662"/>
      <c r="I4" s="662"/>
    </row>
    <row r="5" spans="2:9" ht="15.75">
      <c r="B5" s="662" t="str">
        <f>inputPrYr!D3</f>
        <v>Labette County</v>
      </c>
      <c r="C5" s="662"/>
      <c r="D5" s="662"/>
      <c r="E5" s="662"/>
      <c r="F5" s="662"/>
      <c r="G5" s="662"/>
      <c r="H5" s="662"/>
      <c r="I5" s="662"/>
    </row>
    <row r="6" spans="2:9" ht="15.75">
      <c r="B6" s="661" t="str">
        <f>CONCATENATE("will meet on ",inputBudSum!B5," at ",inputBudSum!B7," at ",inputBudSum!B9," for the purpose of hearing and")</f>
        <v>will meet on July 30, 2012 at 6:00 p.m. at Neosho Township Fire Department for the purpose of hearing and</v>
      </c>
      <c r="C6" s="661"/>
      <c r="D6" s="661"/>
      <c r="E6" s="661"/>
      <c r="F6" s="661"/>
      <c r="G6" s="661"/>
      <c r="H6" s="661"/>
      <c r="I6" s="661"/>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1" t="str">
        <f>CONCATENATE("Amount of ",I1-1," Ad Valorem Tax")</f>
        <v>Amount of 2011 Ad Valorem Tax</v>
      </c>
      <c r="I14" s="23" t="s">
        <v>39</v>
      </c>
      <c r="J14" s="160"/>
    </row>
    <row r="15" spans="2:10" ht="15.75">
      <c r="B15" s="14"/>
      <c r="C15" s="167"/>
      <c r="D15" s="167" t="s">
        <v>40</v>
      </c>
      <c r="E15" s="167"/>
      <c r="F15" s="167" t="s">
        <v>40</v>
      </c>
      <c r="G15" s="167" t="s">
        <v>216</v>
      </c>
      <c r="H15" s="659"/>
      <c r="I15" s="167" t="s">
        <v>40</v>
      </c>
      <c r="J15" s="160"/>
    </row>
    <row r="16" spans="2:10" ht="15.75">
      <c r="B16" s="25" t="s">
        <v>294</v>
      </c>
      <c r="C16" s="26" t="s">
        <v>41</v>
      </c>
      <c r="D16" s="26" t="s">
        <v>42</v>
      </c>
      <c r="E16" s="26" t="s">
        <v>41</v>
      </c>
      <c r="F16" s="26" t="s">
        <v>42</v>
      </c>
      <c r="G16" s="26" t="s">
        <v>744</v>
      </c>
      <c r="H16" s="660"/>
      <c r="I16" s="26" t="s">
        <v>42</v>
      </c>
      <c r="J16" s="160"/>
    </row>
    <row r="17" spans="2:10" ht="15.75">
      <c r="B17" s="96" t="str">
        <f>inputPrYr!B16</f>
        <v>General</v>
      </c>
      <c r="C17" s="67">
        <f>IF(gen!$C$50&lt;&gt;0,gen!$C$50,"  ")</f>
        <v>41252</v>
      </c>
      <c r="D17" s="586">
        <f>IF(inputPrYr!D41&gt;0,inputPrYr!D41,"  ")</f>
        <v>4.441</v>
      </c>
      <c r="E17" s="32">
        <f>IF(gen!$D$50&lt;&gt;0,gen!$D$50,"  ")</f>
        <v>37149</v>
      </c>
      <c r="F17" s="253">
        <f>IF(inputOth!D17&gt;0,inputOth!D17,"  ")</f>
        <v>4.477</v>
      </c>
      <c r="G17" s="32">
        <f>IF(gen!$E$50&lt;&gt;0,gen!$E$50,"  ")</f>
        <v>39080</v>
      </c>
      <c r="H17" s="32">
        <f>IF(gen!$E$57&lt;&gt;0,gen!$E$57," ")</f>
        <v>20892</v>
      </c>
      <c r="I17" s="588">
        <f>IF(gen!E57&gt;0,ROUND(H17/$G$25*1000,3)," ")</f>
        <v>4.474</v>
      </c>
      <c r="J17" s="160"/>
    </row>
    <row r="18" spans="2:14" ht="15.75">
      <c r="B18" s="96" t="str">
        <f>IF((inputPrYr!$B33&gt;"  "),(nonbud!$A3),"  ")</f>
        <v>  </v>
      </c>
      <c r="C18" s="67" t="str">
        <f>IF((nonbud!$K$28)&lt;&gt;0,(nonbud!$K$28),"  ")</f>
        <v>  </v>
      </c>
      <c r="D18" s="168"/>
      <c r="E18" s="32"/>
      <c r="F18" s="168"/>
      <c r="G18" s="32"/>
      <c r="H18" s="32"/>
      <c r="I18" s="168"/>
      <c r="K18" s="580" t="e">
        <f>IF($N$18&lt;0,"Reduced By:","")</f>
        <v>#REF!</v>
      </c>
      <c r="L18" s="557"/>
      <c r="M18" s="557"/>
      <c r="N18" s="581" t="e">
        <f>IF(N24&gt;0,N24*-1,0)</f>
        <v>#REF!</v>
      </c>
    </row>
    <row r="19" spans="2:14" ht="16.5" thickBot="1">
      <c r="B19" s="83" t="s">
        <v>296</v>
      </c>
      <c r="C19" s="530" t="str">
        <f>IF(road!C64&lt;&gt;0,road!C64,"  ")</f>
        <v>  </v>
      </c>
      <c r="D19" s="531"/>
      <c r="E19" s="587"/>
      <c r="F19" s="531"/>
      <c r="G19" s="587"/>
      <c r="H19" s="587"/>
      <c r="I19" s="531"/>
      <c r="K19" s="577"/>
      <c r="L19" s="577"/>
      <c r="M19" s="577"/>
      <c r="N19" s="577"/>
    </row>
    <row r="20" spans="2:14" ht="15.75">
      <c r="B20" s="83" t="s">
        <v>297</v>
      </c>
      <c r="C20" s="589">
        <f aca="true" t="shared" si="0" ref="C20:I20">SUM(C17:C19)</f>
        <v>41252</v>
      </c>
      <c r="D20" s="529">
        <f t="shared" si="0"/>
        <v>4.441</v>
      </c>
      <c r="E20" s="589">
        <f t="shared" si="0"/>
        <v>37149</v>
      </c>
      <c r="F20" s="529">
        <f t="shared" si="0"/>
        <v>4.477</v>
      </c>
      <c r="G20" s="589">
        <f t="shared" si="0"/>
        <v>39080</v>
      </c>
      <c r="H20" s="589">
        <f t="shared" si="0"/>
        <v>20892</v>
      </c>
      <c r="I20" s="592">
        <f t="shared" si="0"/>
        <v>4.474</v>
      </c>
      <c r="K20" s="654" t="str">
        <f>CONCATENATE("Impact On Keeping The Same Mill Rate As For ",I1-1,"")</f>
        <v>Impact On Keeping The Same Mill Rate As For 2011</v>
      </c>
      <c r="L20" s="655"/>
      <c r="M20" s="655"/>
      <c r="N20" s="656"/>
    </row>
    <row r="21" spans="2:14" ht="15.75">
      <c r="B21" s="83" t="s">
        <v>43</v>
      </c>
      <c r="C21" s="32">
        <f>transfer!C29</f>
        <v>0</v>
      </c>
      <c r="D21" s="14"/>
      <c r="E21" s="32">
        <f>transfer!D29</f>
        <v>0</v>
      </c>
      <c r="F21" s="62"/>
      <c r="G21" s="32">
        <f>transfer!E29</f>
        <v>0</v>
      </c>
      <c r="H21" s="14"/>
      <c r="I21" s="14"/>
      <c r="K21" s="572"/>
      <c r="L21" s="568"/>
      <c r="M21" s="568"/>
      <c r="N21" s="573"/>
    </row>
    <row r="22" spans="2:14" ht="16.5" thickBot="1">
      <c r="B22" s="83" t="s">
        <v>44</v>
      </c>
      <c r="C22" s="590">
        <f>C20-C21</f>
        <v>41252</v>
      </c>
      <c r="D22" s="14"/>
      <c r="E22" s="590">
        <f>E20-E21</f>
        <v>37149</v>
      </c>
      <c r="F22" s="14"/>
      <c r="G22" s="590">
        <f>G20-G21</f>
        <v>39080</v>
      </c>
      <c r="H22" s="14"/>
      <c r="I22" s="14"/>
      <c r="K22" s="572" t="str">
        <f>CONCATENATE("",I1," Ad Valorem Tax Revenue:")</f>
        <v>2012 Ad Valorem Tax Revenue:</v>
      </c>
      <c r="L22" s="568"/>
      <c r="M22" s="568"/>
      <c r="N22" s="569">
        <f>H20</f>
        <v>20892</v>
      </c>
    </row>
    <row r="23" spans="2:14" ht="16.5" thickTop="1">
      <c r="B23" s="83" t="s">
        <v>45</v>
      </c>
      <c r="C23" s="591">
        <f>inputPrYr!E52</f>
        <v>19188</v>
      </c>
      <c r="D23" s="62"/>
      <c r="E23" s="591">
        <f>inputPrYr!E25</f>
        <v>19816</v>
      </c>
      <c r="F23" s="14"/>
      <c r="G23" s="582" t="s">
        <v>298</v>
      </c>
      <c r="H23" s="14"/>
      <c r="I23" s="14"/>
      <c r="K23" s="572" t="str">
        <f>CONCATENATE("",I1-1," Ad Valorem Tax Revenue:")</f>
        <v>2011 Ad Valorem Tax Revenue:</v>
      </c>
      <c r="L23" s="568"/>
      <c r="M23" s="568"/>
      <c r="N23" s="578" t="e">
        <f>ROUND(G25*#REF!/1000,0)</f>
        <v>#REF!</v>
      </c>
    </row>
    <row r="24" spans="2:14" ht="15.75">
      <c r="B24" s="279" t="s">
        <v>46</v>
      </c>
      <c r="C24" s="55"/>
      <c r="D24" s="62"/>
      <c r="E24" s="55"/>
      <c r="F24" s="62"/>
      <c r="G24" s="14"/>
      <c r="H24" s="14"/>
      <c r="I24" s="14"/>
      <c r="K24" s="575" t="s">
        <v>742</v>
      </c>
      <c r="L24" s="576"/>
      <c r="M24" s="576"/>
      <c r="N24" s="570" t="e">
        <f>N22-N23</f>
        <v>#REF!</v>
      </c>
    </row>
    <row r="25" spans="2:14" ht="15.75">
      <c r="B25" s="600" t="s">
        <v>47</v>
      </c>
      <c r="C25" s="31">
        <f>inputPrYr!E53</f>
        <v>4283580</v>
      </c>
      <c r="D25" s="14"/>
      <c r="E25" s="32">
        <f>inputOth!E28</f>
        <v>4427488</v>
      </c>
      <c r="F25" s="14"/>
      <c r="G25" s="32">
        <f>inputOth!E7</f>
        <v>4669419</v>
      </c>
      <c r="H25" s="14"/>
      <c r="I25" s="14"/>
      <c r="K25" s="571"/>
      <c r="L25" s="571"/>
      <c r="M25" s="571"/>
      <c r="N25" s="577"/>
    </row>
    <row r="26" spans="2:14" ht="15.75">
      <c r="B26" s="22" t="s">
        <v>48</v>
      </c>
      <c r="C26" s="14"/>
      <c r="D26" s="14"/>
      <c r="E26" s="14"/>
      <c r="F26" s="14"/>
      <c r="G26" s="14"/>
      <c r="H26" s="14"/>
      <c r="I26" s="14"/>
      <c r="K26" s="654" t="s">
        <v>743</v>
      </c>
      <c r="L26" s="657"/>
      <c r="M26" s="657"/>
      <c r="N26" s="658"/>
    </row>
    <row r="27" spans="2:14" ht="15.75">
      <c r="B27" s="22" t="s">
        <v>49</v>
      </c>
      <c r="C27" s="171">
        <f>I1-3</f>
        <v>2009</v>
      </c>
      <c r="D27" s="14"/>
      <c r="E27" s="171">
        <f>I1-2</f>
        <v>2010</v>
      </c>
      <c r="F27" s="14"/>
      <c r="G27" s="171">
        <f>I1-1</f>
        <v>2011</v>
      </c>
      <c r="H27" s="14"/>
      <c r="I27" s="14"/>
      <c r="K27" s="572"/>
      <c r="L27" s="568"/>
      <c r="M27" s="568"/>
      <c r="N27" s="573"/>
    </row>
    <row r="28" spans="2:14" ht="15.75">
      <c r="B28" s="22" t="s">
        <v>50</v>
      </c>
      <c r="C28" s="172">
        <f>inputPrYr!D57</f>
        <v>0</v>
      </c>
      <c r="D28" s="59"/>
      <c r="E28" s="172">
        <f>inputPrYr!E57</f>
        <v>0</v>
      </c>
      <c r="F28" s="59"/>
      <c r="G28" s="172">
        <f>'debt-lease'!E11</f>
        <v>0</v>
      </c>
      <c r="H28" s="14"/>
      <c r="I28" s="14"/>
      <c r="K28" s="572" t="str">
        <f>CONCATENATE("Current ",I1," Estimated Mill Rate:")</f>
        <v>Current 2012 Estimated Mill Rate:</v>
      </c>
      <c r="L28" s="568"/>
      <c r="M28" s="568"/>
      <c r="N28" s="574">
        <f>I20</f>
        <v>4.474</v>
      </c>
    </row>
    <row r="29" spans="2:14" ht="15.75">
      <c r="B29" s="22" t="s">
        <v>21</v>
      </c>
      <c r="C29" s="172">
        <f>inputPrYr!D58</f>
        <v>0</v>
      </c>
      <c r="D29" s="59"/>
      <c r="E29" s="172">
        <f>inputPrYr!E58</f>
        <v>0</v>
      </c>
      <c r="F29" s="59"/>
      <c r="G29" s="172">
        <f>'debt-lease'!E15</f>
        <v>0</v>
      </c>
      <c r="H29" s="14"/>
      <c r="I29" s="14"/>
      <c r="K29" s="572" t="str">
        <f>CONCATENATE("Desired ",I1," Mill Rate:")</f>
        <v>Desired 2012 Mill Rate:</v>
      </c>
      <c r="L29" s="568"/>
      <c r="M29" s="568"/>
      <c r="N29" s="579">
        <v>0</v>
      </c>
    </row>
    <row r="30" spans="2:14" ht="15.75">
      <c r="B30" s="22" t="s">
        <v>794</v>
      </c>
      <c r="C30" s="172">
        <f>inputPrYr!D59</f>
        <v>0</v>
      </c>
      <c r="D30" s="59"/>
      <c r="E30" s="172">
        <f>inputPrYr!E59</f>
        <v>0</v>
      </c>
      <c r="F30" s="59"/>
      <c r="G30" s="172">
        <f>'debt-lease'!F36</f>
        <v>0</v>
      </c>
      <c r="H30" s="14"/>
      <c r="I30" s="14"/>
      <c r="K30" s="572" t="str">
        <f>CONCATENATE("",I1," Ad Valorem Tax:")</f>
        <v>2012 Ad Valorem Tax:</v>
      </c>
      <c r="L30" s="568"/>
      <c r="M30" s="568"/>
      <c r="N30" s="578">
        <f>ROUND(G25*N29/1000,0)</f>
        <v>0</v>
      </c>
    </row>
    <row r="31" spans="2:14" ht="16.5" thickBot="1">
      <c r="B31" s="22" t="s">
        <v>51</v>
      </c>
      <c r="C31" s="173">
        <f>SUM(C28:C30)</f>
        <v>0</v>
      </c>
      <c r="D31" s="59"/>
      <c r="E31" s="173">
        <f>SUM(E28:E30)</f>
        <v>0</v>
      </c>
      <c r="F31" s="59"/>
      <c r="G31" s="173">
        <f>SUM(G28:G30)</f>
        <v>0</v>
      </c>
      <c r="H31" s="14"/>
      <c r="I31" s="14"/>
      <c r="K31" s="575" t="str">
        <f>CONCATENATE("",I1," Tax Levy Fund Exp. Changed By:")</f>
        <v>2012 Tax Levy Fund Exp. Changed By:</v>
      </c>
      <c r="L31" s="576"/>
      <c r="M31" s="576"/>
      <c r="N31" s="570">
        <f>IF(N29=0,0,(N30-H20))</f>
        <v>0</v>
      </c>
    </row>
    <row r="32" spans="2:9" ht="16.5" thickTop="1">
      <c r="B32" s="22" t="s">
        <v>52</v>
      </c>
      <c r="C32" s="14"/>
      <c r="D32" s="14"/>
      <c r="E32" s="14"/>
      <c r="F32" s="14"/>
      <c r="G32" s="14"/>
      <c r="H32" s="14"/>
      <c r="I32" s="14"/>
    </row>
    <row r="33" spans="2:9" ht="15.75">
      <c r="B33" s="14"/>
      <c r="C33" s="14"/>
      <c r="D33" s="14"/>
      <c r="E33" s="14"/>
      <c r="F33" s="14"/>
      <c r="G33" s="14"/>
      <c r="H33" s="14"/>
      <c r="I33" s="14"/>
    </row>
    <row r="34" spans="2:9" ht="15.75">
      <c r="B34" s="653" t="s">
        <v>819</v>
      </c>
      <c r="C34" s="653"/>
      <c r="D34" s="14"/>
      <c r="E34" s="14"/>
      <c r="F34" s="14"/>
      <c r="G34" s="14"/>
      <c r="H34" s="14"/>
      <c r="I34" s="14"/>
    </row>
    <row r="35" spans="2:9" ht="15.75">
      <c r="B35" s="158" t="s">
        <v>53</v>
      </c>
      <c r="C35" s="156"/>
      <c r="D35" s="14"/>
      <c r="E35" s="14"/>
      <c r="F35" s="14"/>
      <c r="G35" s="14"/>
      <c r="H35" s="14"/>
      <c r="I35" s="14"/>
    </row>
    <row r="36" spans="2:9" ht="15.75">
      <c r="B36" s="14"/>
      <c r="C36" s="14"/>
      <c r="D36" s="14"/>
      <c r="E36" s="14"/>
      <c r="F36" s="14"/>
      <c r="G36" s="14"/>
      <c r="H36" s="14"/>
      <c r="I36" s="14"/>
    </row>
    <row r="37" spans="2:9" ht="15.75">
      <c r="B37" s="14"/>
      <c r="C37" s="52" t="s">
        <v>9</v>
      </c>
      <c r="D37" s="92"/>
      <c r="E37" s="14"/>
      <c r="F37" s="14"/>
      <c r="G37" s="14"/>
      <c r="H37" s="14"/>
      <c r="I37" s="14"/>
    </row>
    <row r="38" spans="2:4" ht="15.75">
      <c r="B38" s="91"/>
      <c r="C38" s="91"/>
      <c r="D38" s="91"/>
    </row>
    <row r="40" spans="2:8" ht="15.75">
      <c r="B40" s="91"/>
      <c r="C40" s="91"/>
      <c r="D40" s="91"/>
      <c r="E40" s="91"/>
      <c r="F40" s="91"/>
      <c r="G40" s="91"/>
      <c r="H40" s="91"/>
    </row>
    <row r="41" ht="15.75">
      <c r="I41" s="91"/>
    </row>
    <row r="62" spans="2:7" ht="15.75">
      <c r="B62" s="91"/>
      <c r="C62" s="91"/>
      <c r="D62" s="91"/>
      <c r="E62" s="91"/>
      <c r="F62" s="91"/>
      <c r="G62" s="91"/>
    </row>
    <row r="69" spans="2:8" ht="15.75">
      <c r="B69" s="91"/>
      <c r="C69" s="91"/>
      <c r="D69" s="91"/>
      <c r="E69" s="91"/>
      <c r="F69" s="91"/>
      <c r="G69" s="91"/>
      <c r="H69" s="91"/>
    </row>
    <row r="70" ht="15.75">
      <c r="I70" s="91"/>
    </row>
    <row r="75" spans="2:8" ht="15.75">
      <c r="B75" s="91"/>
      <c r="C75" s="91"/>
      <c r="D75" s="91"/>
      <c r="E75" s="91"/>
      <c r="F75" s="91"/>
      <c r="G75" s="91"/>
      <c r="H75" s="91"/>
    </row>
    <row r="76" ht="15.75">
      <c r="I76" s="91"/>
    </row>
    <row r="96" spans="2:8" ht="15.75">
      <c r="B96" s="91"/>
      <c r="C96" s="91"/>
      <c r="D96" s="91"/>
      <c r="E96" s="91"/>
      <c r="F96" s="91"/>
      <c r="G96" s="91"/>
      <c r="H96" s="91"/>
    </row>
  </sheetData>
  <sheetProtection/>
  <mergeCells count="8">
    <mergeCell ref="B34:C34"/>
    <mergeCell ref="K20:N20"/>
    <mergeCell ref="K26:N26"/>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Neosho Township</v>
      </c>
      <c r="C1" s="14"/>
      <c r="D1" s="14"/>
      <c r="E1" s="61">
        <f>inputPrYr!$D$5</f>
        <v>2012</v>
      </c>
    </row>
    <row r="2" spans="2:5" ht="15.75">
      <c r="B2" s="14"/>
      <c r="C2" s="14"/>
      <c r="D2" s="14"/>
      <c r="E2" s="52"/>
    </row>
    <row r="3" spans="2:5" ht="15.75">
      <c r="B3" s="17"/>
      <c r="C3" s="62"/>
      <c r="D3" s="62"/>
      <c r="E3" s="63"/>
    </row>
    <row r="4" spans="2:5" ht="15.75">
      <c r="B4" s="597" t="s">
        <v>745</v>
      </c>
      <c r="C4" s="64"/>
      <c r="D4" s="64"/>
      <c r="E4" s="64"/>
    </row>
    <row r="5" spans="2:5" ht="15.75">
      <c r="B5" s="22" t="s">
        <v>10</v>
      </c>
      <c r="C5" s="416" t="s">
        <v>11</v>
      </c>
      <c r="D5" s="419" t="s">
        <v>12</v>
      </c>
      <c r="E5" s="23" t="s">
        <v>13</v>
      </c>
    </row>
    <row r="6" spans="2:5" ht="15.75">
      <c r="B6" s="24" t="s">
        <v>308</v>
      </c>
      <c r="C6" s="417" t="str">
        <f>CONCATENATE("Actual ",$E$1-2,"")</f>
        <v>Actual 2010</v>
      </c>
      <c r="D6" s="417" t="str">
        <f>CONCATENATE("Estimate ",$E$1-1,"")</f>
        <v>Estimate 2011</v>
      </c>
      <c r="E6" s="26" t="str">
        <f>CONCATENATE("Year ",$E$1,"")</f>
        <v>Year 2012</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63" t="str">
        <f>CONCATENATE("Projected Carryover Into ",E1+1,"")</f>
        <v>Projected Carryover Into 2013</v>
      </c>
      <c r="H52" s="664"/>
      <c r="I52" s="665"/>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298</v>
      </c>
      <c r="F55" s="50"/>
      <c r="G55" s="561">
        <f>E29</f>
        <v>0</v>
      </c>
      <c r="H55" s="563" t="str">
        <f>CONCATENATE("",E1," Non-AV Receipts (est.)")</f>
        <v>2012 Non-AV Receipts (est.)</v>
      </c>
      <c r="I55" s="536"/>
    </row>
    <row r="56" spans="2:9" ht="15.75">
      <c r="B56" s="48"/>
      <c r="C56" s="646" t="s">
        <v>642</v>
      </c>
      <c r="D56" s="647"/>
      <c r="E56" s="34"/>
      <c r="F56" s="533">
        <f>IF(E53/0.95-E53&lt;E56,"Exceeds 5%","")</f>
      </c>
      <c r="G56" s="564">
        <f>E60</f>
        <v>0</v>
      </c>
      <c r="H56" s="563" t="str">
        <f>CONCATENATE("",E1," Ad Valorem Tax (est.)")</f>
        <v>2012 Ad Valorem Tax (est.)</v>
      </c>
      <c r="I56" s="536"/>
    </row>
    <row r="57" spans="2:9" ht="15.75">
      <c r="B57" s="436" t="str">
        <f>CONCATENATE(C72,"     ",D72)</f>
        <v>     </v>
      </c>
      <c r="C57" s="648" t="s">
        <v>643</v>
      </c>
      <c r="D57" s="649"/>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2010 Expenditures</v>
      </c>
      <c r="I59" s="536"/>
    </row>
    <row r="60" spans="2:9" ht="15.75">
      <c r="B60" s="14"/>
      <c r="C60" s="644" t="str">
        <f>CONCATENATE("Amount of  ",$E$1-1," Ad Valorem Tax")</f>
        <v>Amount of  2011 Ad Valorem Tax</v>
      </c>
      <c r="D60" s="645"/>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Neosho Township</v>
      </c>
      <c r="C1" s="14"/>
      <c r="D1" s="14"/>
      <c r="E1" s="15">
        <f>inputPrYr!D5</f>
        <v>2012</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50" t="str">
        <f>CONCATENATE("Projected Carryover Into ",E1+1,"")</f>
        <v>Projected Carryover Into 2013</v>
      </c>
      <c r="H39" s="651"/>
      <c r="I39" s="651"/>
      <c r="J39" s="632"/>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2011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121</v>
      </c>
      <c r="C44" s="413">
        <f>C24-C43</f>
        <v>0</v>
      </c>
      <c r="D44" s="413">
        <f>D24-D43</f>
        <v>0</v>
      </c>
      <c r="E44" s="33" t="s">
        <v>298</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298</v>
      </c>
      <c r="F45" s="50"/>
      <c r="G45" s="542"/>
      <c r="H45" s="540"/>
      <c r="I45" s="540"/>
      <c r="J45" s="536"/>
    </row>
    <row r="46" spans="2:10" ht="15.75">
      <c r="B46" s="48"/>
      <c r="C46" s="646" t="s">
        <v>642</v>
      </c>
      <c r="D46" s="647"/>
      <c r="E46" s="34"/>
      <c r="F46" s="533">
        <f>IF(E43/0.95-E43&lt;E46,"Exceeds 5%","")</f>
      </c>
      <c r="G46" s="541">
        <f>C43*0.05+C43</f>
        <v>0</v>
      </c>
      <c r="H46" s="540" t="str">
        <f>CONCATENATE("Less ",E1-2," Expenditures + 5%")</f>
        <v>Less 2010 Expenditures + 5%</v>
      </c>
      <c r="I46" s="539"/>
      <c r="J46" s="536"/>
    </row>
    <row r="47" spans="2:10" ht="15.75">
      <c r="B47" s="436" t="str">
        <f>CONCATENATE(C74,"     ",D74)</f>
        <v>     </v>
      </c>
      <c r="C47" s="648" t="s">
        <v>643</v>
      </c>
      <c r="D47" s="649"/>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44" t="str">
        <f>CONCATENATE("Amount of  ",$E$1-1," Ad Valorem Tax")</f>
        <v>Amount of  2011 Ad Valorem Tax</v>
      </c>
      <c r="D50" s="645"/>
      <c r="E50" s="46">
        <f>E48+E49</f>
        <v>0</v>
      </c>
      <c r="G50" s="550"/>
      <c r="H50" s="550"/>
      <c r="I50" s="550"/>
      <c r="J50" s="550"/>
    </row>
    <row r="51" spans="2:10" ht="15.75">
      <c r="B51" s="14"/>
      <c r="C51" s="14"/>
      <c r="D51" s="14"/>
      <c r="E51" s="14"/>
      <c r="G51" s="650" t="str">
        <f>CONCATENATE("Desired Carryover Into ",E1+1,"")</f>
        <v>Desired Carryover Into 2013</v>
      </c>
      <c r="H51" s="652"/>
      <c r="I51" s="652"/>
      <c r="J51" s="632"/>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2010 Actual Year</v>
      </c>
      <c r="D54" s="14"/>
      <c r="E54" s="14"/>
      <c r="G54" s="551" t="s">
        <v>741</v>
      </c>
      <c r="H54" s="535"/>
      <c r="I54" s="535"/>
      <c r="J54" s="555">
        <f>IF(J53=0,"",ROUND((J53+E50-G47)/inputOth!E7*1000,3)-G49)</f>
      </c>
    </row>
    <row r="55" spans="2:10" ht="15.75">
      <c r="B55" s="83" t="s">
        <v>14</v>
      </c>
      <c r="C55" s="594"/>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66">
        <f>IF(AND(C58&gt;0,C59&gt;0),"Not Auth. Two General Transfers - Only One","")</f>
      </c>
      <c r="E58" s="667"/>
    </row>
    <row r="59" spans="2:5" ht="15.75">
      <c r="B59" s="86" t="s">
        <v>256</v>
      </c>
      <c r="C59" s="439">
        <f>gen!C45</f>
        <v>0</v>
      </c>
      <c r="D59" s="668"/>
      <c r="E59" s="667"/>
    </row>
    <row r="60" spans="2:5" ht="15.75">
      <c r="B60" s="87"/>
      <c r="C60" s="594"/>
      <c r="D60" s="14"/>
      <c r="E60" s="14"/>
    </row>
    <row r="61" spans="2:5" ht="15.75">
      <c r="B61" s="87" t="s">
        <v>22</v>
      </c>
      <c r="C61" s="594"/>
      <c r="D61" s="14"/>
      <c r="E61" s="14"/>
    </row>
    <row r="62" spans="2:5" ht="15.75">
      <c r="B62" s="87" t="s">
        <v>21</v>
      </c>
      <c r="C62" s="594"/>
      <c r="D62" s="14"/>
      <c r="E62" s="14"/>
    </row>
    <row r="63" spans="2:5" ht="15.75">
      <c r="B63" s="88" t="s">
        <v>24</v>
      </c>
      <c r="C63" s="143">
        <f>SUM(C55:C62)</f>
        <v>0</v>
      </c>
      <c r="D63" s="14"/>
      <c r="E63" s="14"/>
    </row>
    <row r="64" spans="2:5" ht="15.75">
      <c r="B64" s="88" t="s">
        <v>26</v>
      </c>
      <c r="C64" s="594"/>
      <c r="D64" s="14"/>
      <c r="E64" s="14"/>
    </row>
    <row r="65" spans="2:5" ht="15.75">
      <c r="B65" s="88" t="s">
        <v>27</v>
      </c>
      <c r="C65" s="438">
        <f>SUM(C63-C64)</f>
        <v>0</v>
      </c>
      <c r="D65" s="14"/>
      <c r="E65" s="14"/>
    </row>
    <row r="66" spans="2:5" ht="15.75">
      <c r="B66" s="14"/>
      <c r="C66" s="14"/>
      <c r="D66" s="14"/>
      <c r="E66" s="14"/>
    </row>
    <row r="67" spans="2:5" ht="15.75">
      <c r="B67" s="52" t="s">
        <v>9</v>
      </c>
      <c r="C67" s="59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Neosho Township</v>
      </c>
      <c r="C1" s="22" t="s">
        <v>35</v>
      </c>
      <c r="D1" s="14"/>
      <c r="E1" s="15">
        <f>inputPrYr!D5</f>
        <v>2012</v>
      </c>
    </row>
    <row r="2" spans="2:5" ht="15.75">
      <c r="B2" s="17"/>
      <c r="C2" s="14"/>
      <c r="D2" s="14"/>
      <c r="E2" s="89"/>
    </row>
    <row r="3" spans="2:5" ht="15.75">
      <c r="B3" s="597" t="s">
        <v>745</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inputOth!B49</f>
        <v>0</v>
      </c>
      <c r="D34" s="172">
        <f>inputPrYr!D19</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2011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inputOth!B50</f>
        <v>0</v>
      </c>
      <c r="D71" s="172">
        <f>inputPrYr!D20</f>
        <v>0</v>
      </c>
      <c r="E71" s="33" t="s">
        <v>298</v>
      </c>
      <c r="F71" s="50"/>
    </row>
    <row r="72" spans="2:6" ht="15.75">
      <c r="B72" s="48"/>
      <c r="C72" s="646" t="s">
        <v>642</v>
      </c>
      <c r="D72" s="647"/>
      <c r="E72" s="34"/>
      <c r="F72" s="50">
        <f>IF(E69/0.95-E69&lt;E72,"Exceeds 5%","")</f>
      </c>
    </row>
    <row r="73" spans="2:5" ht="15.75">
      <c r="B73" s="436" t="str">
        <f>CONCATENATE(C90,"     ",D90)</f>
        <v>     </v>
      </c>
      <c r="C73" s="648" t="s">
        <v>643</v>
      </c>
      <c r="D73" s="649"/>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2011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Neosho Township</v>
      </c>
      <c r="C1" s="14"/>
      <c r="D1" s="14"/>
      <c r="E1" s="15">
        <f>inputPrYr!D5</f>
        <v>2012</v>
      </c>
    </row>
    <row r="2" spans="2:5" ht="15.75">
      <c r="B2" s="17"/>
      <c r="C2" s="14"/>
      <c r="D2" s="62"/>
      <c r="E2" s="93"/>
    </row>
    <row r="3" spans="2:5" ht="15.75">
      <c r="B3" s="597" t="s">
        <v>745</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inputOth!B51</f>
        <v>0</v>
      </c>
      <c r="D34" s="172">
        <f>inputPrYr!D21</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2011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inputOth!B52</f>
        <v>0</v>
      </c>
      <c r="D71" s="172">
        <f>inputPrYr!D22</f>
        <v>0</v>
      </c>
      <c r="E71" s="33" t="s">
        <v>298</v>
      </c>
      <c r="F71" s="50"/>
    </row>
    <row r="72" spans="2:6" ht="15.75">
      <c r="B72" s="48"/>
      <c r="C72" s="646" t="s">
        <v>642</v>
      </c>
      <c r="D72" s="647"/>
      <c r="E72" s="596"/>
      <c r="F72" s="50">
        <f>IF(E69/0.95-E69&lt;E72,"Exceeds 5%","")</f>
      </c>
    </row>
    <row r="73" spans="2:6" ht="15.75">
      <c r="B73" s="436" t="str">
        <f>CONCATENATE(C90,"     ",D90)</f>
        <v>     </v>
      </c>
      <c r="C73" s="648" t="s">
        <v>643</v>
      </c>
      <c r="D73" s="649"/>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2011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Neosho Township</v>
      </c>
      <c r="C1" s="14"/>
      <c r="D1" s="14"/>
      <c r="E1" s="15">
        <f>inputPrYr!D5</f>
        <v>2012</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2010/2011 Budget Authority Amount:</v>
      </c>
      <c r="C34" s="143">
        <f>inputOth!B53</f>
        <v>0</v>
      </c>
      <c r="D34" s="172">
        <f>inputPrYr!D23</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2011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2010/2011 Budget Authority Amount:</v>
      </c>
      <c r="C71" s="143">
        <f>inputOth!B54</f>
        <v>0</v>
      </c>
      <c r="D71" s="172">
        <f>inputPrYr!D24</f>
        <v>0</v>
      </c>
      <c r="E71" s="33" t="s">
        <v>298</v>
      </c>
      <c r="F71" s="50"/>
    </row>
    <row r="72" spans="2:6" ht="15.75">
      <c r="B72" s="48"/>
      <c r="C72" s="646" t="s">
        <v>642</v>
      </c>
      <c r="D72" s="647"/>
      <c r="E72" s="34"/>
      <c r="F72" s="50">
        <f>IF(E69/0.95-E69&lt;E72,"Exceeds 5%","")</f>
      </c>
    </row>
    <row r="73" spans="2:5" ht="15.75">
      <c r="B73" s="48"/>
      <c r="C73" s="648" t="s">
        <v>643</v>
      </c>
      <c r="D73" s="649"/>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2011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Neosho Township</v>
      </c>
      <c r="C1" s="14"/>
      <c r="D1" s="14"/>
      <c r="E1" s="15">
        <f>inputPrYr!D5</f>
        <v>2012</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0">
      <selection activeCell="D71" sqref="D7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809</v>
      </c>
      <c r="E2" s="19"/>
    </row>
    <row r="3" spans="1:5" ht="15.75">
      <c r="A3" s="79" t="s">
        <v>233</v>
      </c>
      <c r="B3" s="14"/>
      <c r="C3" s="14"/>
      <c r="D3" s="409" t="s">
        <v>810</v>
      </c>
      <c r="E3" s="19"/>
    </row>
    <row r="4" spans="1:5" ht="15.75">
      <c r="A4" s="14"/>
      <c r="B4" s="14"/>
      <c r="C4" s="14"/>
      <c r="D4" s="14"/>
      <c r="E4" s="14"/>
    </row>
    <row r="5" spans="1:5" ht="15.75">
      <c r="A5" s="17" t="s">
        <v>146</v>
      </c>
      <c r="B5" s="14"/>
      <c r="C5" s="14"/>
      <c r="D5" s="332">
        <v>2012</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07" t="s">
        <v>159</v>
      </c>
      <c r="B10" s="608"/>
      <c r="C10" s="608"/>
      <c r="D10" s="608"/>
      <c r="E10" s="608"/>
    </row>
    <row r="11" spans="1:5" ht="15.75">
      <c r="A11" s="79"/>
      <c r="B11" s="14"/>
      <c r="C11" s="14"/>
      <c r="D11" s="14"/>
      <c r="E11" s="14"/>
    </row>
    <row r="12" spans="1:5" ht="15.75">
      <c r="A12" s="333" t="s">
        <v>147</v>
      </c>
      <c r="B12" s="319"/>
      <c r="C12" s="14"/>
      <c r="D12" s="49"/>
      <c r="E12" s="334"/>
    </row>
    <row r="13" spans="1:5" ht="15.75">
      <c r="A13" s="335" t="str">
        <f>CONCATENATE("the ",D5-1," Budget, Certificate Page:")</f>
        <v>the 2011 Budget, Certificate Page:</v>
      </c>
      <c r="B13" s="336"/>
      <c r="C13" s="49"/>
      <c r="D13" s="14"/>
      <c r="E13" s="14"/>
    </row>
    <row r="14" spans="1:5" ht="15.75">
      <c r="A14" s="335" t="s">
        <v>324</v>
      </c>
      <c r="B14" s="336"/>
      <c r="C14" s="49"/>
      <c r="D14" s="337">
        <f>$D$5-1</f>
        <v>2011</v>
      </c>
      <c r="E14" s="338">
        <f>$D$5-2</f>
        <v>2010</v>
      </c>
    </row>
    <row r="15" spans="1:5" ht="15.75">
      <c r="A15" s="22" t="s">
        <v>280</v>
      </c>
      <c r="B15" s="14"/>
      <c r="C15" s="339" t="s">
        <v>279</v>
      </c>
      <c r="D15" s="340" t="s">
        <v>352</v>
      </c>
      <c r="E15" s="341" t="s">
        <v>16</v>
      </c>
    </row>
    <row r="16" spans="1:5" ht="15.75">
      <c r="A16" s="14"/>
      <c r="B16" s="83" t="s">
        <v>281</v>
      </c>
      <c r="C16" s="172" t="s">
        <v>282</v>
      </c>
      <c r="D16" s="200">
        <v>37149</v>
      </c>
      <c r="E16" s="200">
        <v>19816</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19816</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37149</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05" t="str">
        <f>CONCATENATE("",D5-3," Tax Rate                    (",D5-2," Column)")</f>
        <v>2009 Tax Rate                    (2010 Column)</v>
      </c>
      <c r="E39" s="14"/>
    </row>
    <row r="40" spans="1:5" ht="15.75">
      <c r="A40" s="335" t="str">
        <f>CONCATENATE("the ",D5-1," Budget, Budget Summary Page:")</f>
        <v>the 2011 Budget, Budget Summary Page:</v>
      </c>
      <c r="B40" s="307"/>
      <c r="C40" s="14"/>
      <c r="D40" s="606"/>
      <c r="E40" s="14"/>
    </row>
    <row r="41" spans="1:5" ht="15.75">
      <c r="A41" s="14"/>
      <c r="B41" s="96" t="str">
        <f aca="true" t="shared" si="0" ref="B41:B49">B16</f>
        <v>General</v>
      </c>
      <c r="C41" s="14"/>
      <c r="D41" s="347">
        <v>4.441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4.441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19188</v>
      </c>
    </row>
    <row r="53" spans="1:5" ht="15.75">
      <c r="A53" s="353" t="str">
        <f>CONCATENATE("Assessed Valuation (",D5-2," budget column)")</f>
        <v>Assessed Valuation (2010 budget column)</v>
      </c>
      <c r="B53" s="354"/>
      <c r="C53" s="291"/>
      <c r="D53" s="28"/>
      <c r="E53" s="200">
        <v>4283580</v>
      </c>
    </row>
    <row r="54" spans="1:5" ht="15.75">
      <c r="A54" s="300"/>
      <c r="B54" s="19"/>
      <c r="C54" s="19"/>
      <c r="D54" s="19"/>
      <c r="E54" s="310"/>
    </row>
    <row r="55" spans="1:5" ht="15.75">
      <c r="A55" s="14"/>
      <c r="B55" s="14"/>
      <c r="C55" s="14"/>
      <c r="D55" s="14"/>
      <c r="E55" s="55"/>
    </row>
    <row r="56" spans="1:5" ht="15.75">
      <c r="A56" s="319" t="s">
        <v>206</v>
      </c>
      <c r="B56" s="319"/>
      <c r="C56" s="140"/>
      <c r="D56" s="355">
        <f>D5-3</f>
        <v>2009</v>
      </c>
      <c r="E56" s="355">
        <f>D5-2</f>
        <v>2010</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Neosho Township</v>
      </c>
      <c r="B1" s="100"/>
      <c r="C1" s="101"/>
      <c r="D1" s="101"/>
      <c r="E1" s="101"/>
      <c r="F1" s="102" t="s">
        <v>334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69">
        <f>inputPrYr!B33</f>
        <v>0</v>
      </c>
      <c r="B5" s="670"/>
      <c r="C5" s="669">
        <f>inputPrYr!B34</f>
        <v>0</v>
      </c>
      <c r="D5" s="670"/>
      <c r="E5" s="669">
        <f>inputPrYr!B35</f>
        <v>0</v>
      </c>
      <c r="F5" s="670"/>
      <c r="G5" s="671">
        <f>inputPrYr!B36</f>
        <v>0</v>
      </c>
      <c r="H5" s="670"/>
      <c r="I5" s="671">
        <f>inputPrYr!B37</f>
        <v>0</v>
      </c>
      <c r="J5" s="670"/>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Neosho Township</v>
      </c>
      <c r="B1" s="14"/>
      <c r="C1" s="14"/>
      <c r="D1" s="14"/>
      <c r="E1" s="14"/>
      <c r="F1" s="14">
        <f>inputPrYr!D5</f>
        <v>2012</v>
      </c>
    </row>
    <row r="2" spans="1:6" ht="15.75">
      <c r="A2" s="14"/>
      <c r="B2" s="14"/>
      <c r="C2" s="14"/>
      <c r="D2" s="14"/>
      <c r="E2" s="14"/>
      <c r="F2" s="14"/>
    </row>
    <row r="3" spans="1:6" ht="15.75">
      <c r="A3" s="14"/>
      <c r="B3" s="620" t="str">
        <f>CONCATENATE("",F1," Neighborhood Revitalization Rebate")</f>
        <v>2012 Neighborhood Revitalization Rebate</v>
      </c>
      <c r="C3" s="628"/>
      <c r="D3" s="628"/>
      <c r="E3" s="628"/>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4669419</v>
      </c>
      <c r="E18" s="14"/>
      <c r="F18" s="140"/>
    </row>
    <row r="19" spans="1:6" ht="15.75">
      <c r="A19" s="14"/>
      <c r="B19" s="14"/>
      <c r="C19" s="14"/>
      <c r="D19" s="14"/>
      <c r="E19" s="14"/>
      <c r="F19" s="140"/>
    </row>
    <row r="20" spans="1:6" ht="15.75">
      <c r="A20" s="14"/>
      <c r="B20" s="674" t="s">
        <v>375</v>
      </c>
      <c r="C20" s="674"/>
      <c r="D20" s="148">
        <f>IF(D18&gt;0,(D18*0.001),"")</f>
        <v>4669.419</v>
      </c>
      <c r="E20" s="14"/>
      <c r="F20" s="140"/>
    </row>
    <row r="21" spans="1:6" ht="15.75">
      <c r="A21" s="14"/>
      <c r="B21" s="48"/>
      <c r="C21" s="48"/>
      <c r="D21" s="149"/>
      <c r="E21" s="14"/>
      <c r="F21" s="140"/>
    </row>
    <row r="22" spans="1:6" ht="15.75">
      <c r="A22" s="672" t="s">
        <v>377</v>
      </c>
      <c r="B22" s="619"/>
      <c r="C22" s="619"/>
      <c r="D22" s="150">
        <f>inputOth!E13</f>
        <v>0</v>
      </c>
      <c r="E22" s="151"/>
      <c r="F22" s="151"/>
    </row>
    <row r="23" spans="1:6" ht="15.75">
      <c r="A23" s="151"/>
      <c r="B23" s="151"/>
      <c r="C23" s="151"/>
      <c r="D23" s="152"/>
      <c r="E23" s="151"/>
      <c r="F23" s="151"/>
    </row>
    <row r="24" spans="1:6" ht="15.75">
      <c r="A24" s="151"/>
      <c r="B24" s="672" t="s">
        <v>378</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2" t="s">
        <v>129</v>
      </c>
      <c r="B1" s="682"/>
      <c r="C1" s="682"/>
      <c r="D1" s="682"/>
      <c r="E1" s="682"/>
      <c r="F1" s="682"/>
      <c r="G1" s="682"/>
    </row>
    <row r="2" ht="15.75">
      <c r="A2" s="1"/>
    </row>
    <row r="3" spans="1:7" ht="15.75">
      <c r="A3" s="683" t="s">
        <v>130</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Neosho Township </v>
      </c>
      <c r="I6">
        <f>CONCATENATE(I7)</f>
      </c>
    </row>
    <row r="7" spans="1:7" ht="15.75">
      <c r="A7" s="684" t="str">
        <f>CONCATENATE("   with respect to financing the ",inputPrYr!D5," annual budget for ",(inputPrYr!D2)," , ",(inputPrYr!D3)," , Kansas.")</f>
        <v>   with respect to financing the 2012 annual budget for Neosho Township , Labette County , Kansas.</v>
      </c>
      <c r="B7" s="677"/>
      <c r="C7" s="677"/>
      <c r="D7" s="677"/>
      <c r="E7" s="677"/>
      <c r="F7" s="677"/>
      <c r="G7" s="677"/>
    </row>
    <row r="8" spans="1:7" ht="15.75">
      <c r="A8" s="677"/>
      <c r="B8" s="677"/>
      <c r="C8" s="677"/>
      <c r="D8" s="677"/>
      <c r="E8" s="677"/>
      <c r="F8" s="677"/>
      <c r="G8" s="677"/>
    </row>
    <row r="9" ht="15.75">
      <c r="A9" s="1"/>
    </row>
    <row r="10" ht="15.75">
      <c r="A10" s="9" t="s">
        <v>131</v>
      </c>
    </row>
    <row r="11" ht="15.75">
      <c r="A11" s="7" t="str">
        <f>CONCATENATE("to finance the ",inputPrYr!D5," ",(inputPrYr!D2)," budget exceed the amount levied to finance the ",inputPrYr!D5-1,"")</f>
        <v>to finance the 2012 Neosho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Neosho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136</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6" t="s">
        <v>132</v>
      </c>
      <c r="B18" s="677"/>
      <c r="C18" s="677"/>
      <c r="D18" s="677"/>
      <c r="E18" s="677"/>
      <c r="F18" s="677"/>
      <c r="G18" s="677"/>
    </row>
    <row r="19" spans="1:7" ht="15.75">
      <c r="A19" s="677"/>
      <c r="B19" s="677"/>
      <c r="C19" s="677"/>
      <c r="D19" s="677"/>
      <c r="E19" s="677"/>
      <c r="F19" s="677"/>
      <c r="G19" s="677"/>
    </row>
    <row r="20" ht="15.75">
      <c r="A20" s="2"/>
    </row>
    <row r="21" spans="1:7" ht="15.75">
      <c r="A21" s="676" t="str">
        <f>CONCATENATE("Whereas, ",(inputPrYr!D2)," provides essential services to protect the safety and well being of the citizens of the township; and")</f>
        <v>Whereas, Neosho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133</v>
      </c>
    </row>
    <row r="25" ht="15.75">
      <c r="A25" s="4"/>
    </row>
    <row r="26" spans="1:7" ht="15.75">
      <c r="A26" s="676" t="str">
        <f>CONCATENATE("NOW, THEREFORE, BE IT RESOLVED by the Board of ",(inputPrYr!D2)," of ",(inputPrYr!D3),", Kansas that is our desire to notify the public of increased property taxes to finance the ",inputPrYr!D5," ",(inputPrYr!D2),"  budget as defined above.")</f>
        <v>NOW, THEREFORE, BE IT RESOLVED by the Board of Neosho Township of Labette County, Kansas that is our desire to notify the public of increased property taxes to finance the 2012 Neosho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9" t="str">
        <f>CONCATENATE("Adopted this _________ day of ___________, ",inputPrYr!D5-1," by the ",(inputPrYr!D2)," Board, ",(inputPrYr!D3),", Kansas.")</f>
        <v>Adopted this _________ day of ___________, 2011 by the Neosho Township Board, Labette County, Kansas.</v>
      </c>
      <c r="B30" s="677"/>
      <c r="C30" s="677"/>
      <c r="D30" s="677"/>
      <c r="E30" s="677"/>
      <c r="F30" s="677"/>
      <c r="G30" s="677"/>
    </row>
    <row r="31" spans="1:7" ht="15.75">
      <c r="A31" s="677"/>
      <c r="B31" s="677"/>
      <c r="C31" s="677"/>
      <c r="D31" s="677"/>
      <c r="E31" s="677"/>
      <c r="F31" s="677"/>
      <c r="G31" s="677"/>
    </row>
    <row r="32" ht="15.75">
      <c r="A32" s="4"/>
    </row>
    <row r="33" spans="4:7" ht="15.75">
      <c r="D33" s="678" t="str">
        <f>CONCATENATE((inputPrYr!D2)," Board")</f>
        <v>Neosho Township Board</v>
      </c>
      <c r="E33" s="678"/>
      <c r="F33" s="678"/>
      <c r="G33" s="678"/>
    </row>
    <row r="35" spans="4:7" ht="15.75">
      <c r="D35" s="675" t="s">
        <v>134</v>
      </c>
      <c r="E35" s="675"/>
      <c r="F35" s="675"/>
      <c r="G35" s="675"/>
    </row>
    <row r="36" spans="1:7" ht="15.75">
      <c r="A36" s="5"/>
      <c r="D36" s="675" t="s">
        <v>138</v>
      </c>
      <c r="E36" s="675"/>
      <c r="F36" s="675"/>
      <c r="G36" s="675"/>
    </row>
    <row r="37" spans="4:7" ht="15.75">
      <c r="D37" s="675"/>
      <c r="E37" s="675"/>
      <c r="F37" s="675"/>
      <c r="G37" s="675"/>
    </row>
    <row r="38" spans="4:7" ht="15.75">
      <c r="D38" s="675" t="s">
        <v>134</v>
      </c>
      <c r="E38" s="675"/>
      <c r="F38" s="675"/>
      <c r="G38" s="675"/>
    </row>
    <row r="39" spans="1:7" ht="15.75">
      <c r="A39" s="4"/>
      <c r="D39" s="675" t="s">
        <v>139</v>
      </c>
      <c r="E39" s="675"/>
      <c r="F39" s="675"/>
      <c r="G39" s="675"/>
    </row>
    <row r="40" spans="4:7" ht="15.75">
      <c r="D40" s="675"/>
      <c r="E40" s="675"/>
      <c r="F40" s="675"/>
      <c r="G40" s="675"/>
    </row>
    <row r="41" spans="4:7" ht="15.75">
      <c r="D41" s="675" t="s">
        <v>137</v>
      </c>
      <c r="E41" s="675"/>
      <c r="F41" s="675"/>
      <c r="G41" s="675"/>
    </row>
    <row r="42" spans="1:7" ht="15.75">
      <c r="A42" s="4"/>
      <c r="D42" s="675" t="s">
        <v>140</v>
      </c>
      <c r="E42" s="675"/>
      <c r="F42" s="675"/>
      <c r="G42" s="675"/>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2010 'total expenditures' exceed your 2010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2012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2010 budget was amended, did you</v>
      </c>
    </row>
    <row r="26" ht="15.75">
      <c r="A26" s="379" t="s">
        <v>404</v>
      </c>
    </row>
    <row r="27" ht="15.75">
      <c r="A27" s="379"/>
    </row>
    <row r="28" ht="15.75">
      <c r="A28" s="379" t="str">
        <f>CONCATENATE("Next, look to see if any of your ",inputPrYr!D5-2," expenditures can be")</f>
        <v>Next, look to see if any of your 2010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2010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2010 financial records have been closed?</v>
      </c>
    </row>
    <row r="76" ht="15.75">
      <c r="A76" s="379" t="s">
        <v>439</v>
      </c>
    </row>
    <row r="77" ht="15.75">
      <c r="A77" s="379" t="str">
        <f>CONCATENATE("(i.e. an audit for ",inputPrYr!D5-2," has been completed, or the ",inputPrYr!D5)</f>
        <v>(i.e. an audit for 2010 has been completed, or the 2012</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2012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2012 'total expenditures' exceed your 2012</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4" t="s">
        <v>646</v>
      </c>
      <c r="C6" s="702"/>
      <c r="D6" s="702"/>
      <c r="E6" s="702"/>
      <c r="F6" s="702"/>
      <c r="G6" s="702"/>
      <c r="H6" s="702"/>
      <c r="I6" s="702"/>
      <c r="J6" s="702"/>
      <c r="K6" s="702"/>
      <c r="L6" s="446"/>
    </row>
    <row r="7" spans="1:12" ht="40.5" customHeight="1">
      <c r="A7" s="443"/>
      <c r="B7" s="713" t="s">
        <v>647</v>
      </c>
      <c r="C7" s="714"/>
      <c r="D7" s="714"/>
      <c r="E7" s="714"/>
      <c r="F7" s="714"/>
      <c r="G7" s="714"/>
      <c r="H7" s="714"/>
      <c r="I7" s="714"/>
      <c r="J7" s="714"/>
      <c r="K7" s="714"/>
      <c r="L7" s="443"/>
    </row>
    <row r="8" spans="1:12" ht="14.25">
      <c r="A8" s="443"/>
      <c r="B8" s="710" t="s">
        <v>648</v>
      </c>
      <c r="C8" s="710"/>
      <c r="D8" s="710"/>
      <c r="E8" s="710"/>
      <c r="F8" s="710"/>
      <c r="G8" s="710"/>
      <c r="H8" s="710"/>
      <c r="I8" s="710"/>
      <c r="J8" s="710"/>
      <c r="K8" s="710"/>
      <c r="L8" s="443"/>
    </row>
    <row r="9" spans="1:12" ht="14.25">
      <c r="A9" s="443"/>
      <c r="L9" s="443"/>
    </row>
    <row r="10" spans="1:12" ht="14.25">
      <c r="A10" s="443"/>
      <c r="B10" s="710" t="s">
        <v>649</v>
      </c>
      <c r="C10" s="710"/>
      <c r="D10" s="710"/>
      <c r="E10" s="710"/>
      <c r="F10" s="710"/>
      <c r="G10" s="710"/>
      <c r="H10" s="710"/>
      <c r="I10" s="710"/>
      <c r="J10" s="710"/>
      <c r="K10" s="710"/>
      <c r="L10" s="443"/>
    </row>
    <row r="11" spans="1:12" ht="14.25">
      <c r="A11" s="443"/>
      <c r="B11" s="447"/>
      <c r="C11" s="447"/>
      <c r="D11" s="447"/>
      <c r="E11" s="447"/>
      <c r="F11" s="447"/>
      <c r="G11" s="447"/>
      <c r="H11" s="447"/>
      <c r="I11" s="447"/>
      <c r="J11" s="447"/>
      <c r="K11" s="447"/>
      <c r="L11" s="443"/>
    </row>
    <row r="12" spans="1:12" ht="32.25" customHeight="1">
      <c r="A12" s="443"/>
      <c r="B12" s="695" t="s">
        <v>650</v>
      </c>
      <c r="C12" s="695"/>
      <c r="D12" s="695"/>
      <c r="E12" s="695"/>
      <c r="F12" s="695"/>
      <c r="G12" s="695"/>
      <c r="H12" s="695"/>
      <c r="I12" s="695"/>
      <c r="J12" s="695"/>
      <c r="K12" s="695"/>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697">
        <v>133685008</v>
      </c>
      <c r="G23" s="697"/>
      <c r="L23" s="443"/>
    </row>
    <row r="24" spans="1:12" ht="14.25">
      <c r="A24" s="443"/>
      <c r="L24" s="443"/>
    </row>
    <row r="25" spans="1:12" ht="14.25">
      <c r="A25" s="443"/>
      <c r="C25" s="711">
        <f>F23</f>
        <v>133685008</v>
      </c>
      <c r="D25" s="711"/>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99" t="s">
        <v>647</v>
      </c>
      <c r="C30" s="699"/>
      <c r="D30" s="699"/>
      <c r="E30" s="699"/>
      <c r="F30" s="699"/>
      <c r="G30" s="699"/>
      <c r="H30" s="699"/>
      <c r="I30" s="699"/>
      <c r="J30" s="699"/>
      <c r="K30" s="699"/>
      <c r="L30" s="443"/>
    </row>
    <row r="31" spans="1:12" ht="14.25">
      <c r="A31" s="443"/>
      <c r="B31" s="710" t="s">
        <v>661</v>
      </c>
      <c r="C31" s="710"/>
      <c r="D31" s="710"/>
      <c r="E31" s="710"/>
      <c r="F31" s="710"/>
      <c r="G31" s="710"/>
      <c r="H31" s="710"/>
      <c r="I31" s="710"/>
      <c r="J31" s="710"/>
      <c r="K31" s="710"/>
      <c r="L31" s="443"/>
    </row>
    <row r="32" spans="1:12" ht="14.25">
      <c r="A32" s="443"/>
      <c r="L32" s="443"/>
    </row>
    <row r="33" spans="1:12" ht="14.25">
      <c r="A33" s="443"/>
      <c r="B33" s="710" t="s">
        <v>662</v>
      </c>
      <c r="C33" s="710"/>
      <c r="D33" s="710"/>
      <c r="E33" s="710"/>
      <c r="F33" s="710"/>
      <c r="G33" s="710"/>
      <c r="H33" s="710"/>
      <c r="I33" s="710"/>
      <c r="J33" s="710"/>
      <c r="K33" s="710"/>
      <c r="L33" s="443"/>
    </row>
    <row r="34" spans="1:12" ht="14.25">
      <c r="A34" s="443"/>
      <c r="L34" s="443"/>
    </row>
    <row r="35" spans="1:12" ht="89.25" customHeight="1">
      <c r="A35" s="443"/>
      <c r="B35" s="695" t="s">
        <v>663</v>
      </c>
      <c r="C35" s="705"/>
      <c r="D35" s="705"/>
      <c r="E35" s="705"/>
      <c r="F35" s="705"/>
      <c r="G35" s="705"/>
      <c r="H35" s="705"/>
      <c r="I35" s="705"/>
      <c r="J35" s="705"/>
      <c r="K35" s="705"/>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712">
        <v>3120000</v>
      </c>
      <c r="D41" s="712"/>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697">
        <v>133685008</v>
      </c>
      <c r="C48" s="697"/>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706" t="s">
        <v>671</v>
      </c>
      <c r="H50" s="707"/>
      <c r="I50" s="456" t="s">
        <v>657</v>
      </c>
      <c r="J50" s="466">
        <f>B50/F50</f>
        <v>52.8690023342034</v>
      </c>
      <c r="K50" s="458"/>
      <c r="L50" s="443"/>
    </row>
    <row r="51" spans="1:15" ht="15" thickBot="1">
      <c r="A51" s="443"/>
      <c r="B51" s="459"/>
      <c r="C51" s="460"/>
      <c r="D51" s="460"/>
      <c r="E51" s="460"/>
      <c r="F51" s="460"/>
      <c r="G51" s="460"/>
      <c r="H51" s="460"/>
      <c r="I51" s="708" t="s">
        <v>672</v>
      </c>
      <c r="J51" s="708"/>
      <c r="K51" s="709"/>
      <c r="L51" s="443"/>
      <c r="O51" s="467"/>
    </row>
    <row r="52" spans="1:12" ht="40.5" customHeight="1">
      <c r="A52" s="443"/>
      <c r="B52" s="699" t="s">
        <v>647</v>
      </c>
      <c r="C52" s="699"/>
      <c r="D52" s="699"/>
      <c r="E52" s="699"/>
      <c r="F52" s="699"/>
      <c r="G52" s="699"/>
      <c r="H52" s="699"/>
      <c r="I52" s="699"/>
      <c r="J52" s="699"/>
      <c r="K52" s="699"/>
      <c r="L52" s="443"/>
    </row>
    <row r="53" spans="1:12" ht="14.25">
      <c r="A53" s="443"/>
      <c r="B53" s="710" t="s">
        <v>673</v>
      </c>
      <c r="C53" s="710"/>
      <c r="D53" s="710"/>
      <c r="E53" s="710"/>
      <c r="F53" s="710"/>
      <c r="G53" s="710"/>
      <c r="H53" s="710"/>
      <c r="I53" s="710"/>
      <c r="J53" s="710"/>
      <c r="K53" s="710"/>
      <c r="L53" s="443"/>
    </row>
    <row r="54" spans="1:12" ht="14.25">
      <c r="A54" s="443"/>
      <c r="B54" s="447"/>
      <c r="C54" s="447"/>
      <c r="D54" s="447"/>
      <c r="E54" s="447"/>
      <c r="F54" s="447"/>
      <c r="G54" s="447"/>
      <c r="H54" s="447"/>
      <c r="I54" s="447"/>
      <c r="J54" s="447"/>
      <c r="K54" s="447"/>
      <c r="L54" s="443"/>
    </row>
    <row r="55" spans="1:12" ht="14.25">
      <c r="A55" s="443"/>
      <c r="B55" s="694" t="s">
        <v>674</v>
      </c>
      <c r="C55" s="694"/>
      <c r="D55" s="694"/>
      <c r="E55" s="694"/>
      <c r="F55" s="694"/>
      <c r="G55" s="694"/>
      <c r="H55" s="694"/>
      <c r="I55" s="694"/>
      <c r="J55" s="694"/>
      <c r="K55" s="694"/>
      <c r="L55" s="443"/>
    </row>
    <row r="56" spans="1:12" ht="15" customHeight="1">
      <c r="A56" s="443"/>
      <c r="L56" s="443"/>
    </row>
    <row r="57" spans="1:24" ht="74.25" customHeight="1">
      <c r="A57" s="443"/>
      <c r="B57" s="695" t="s">
        <v>675</v>
      </c>
      <c r="C57" s="705"/>
      <c r="D57" s="705"/>
      <c r="E57" s="705"/>
      <c r="F57" s="705"/>
      <c r="G57" s="705"/>
      <c r="H57" s="705"/>
      <c r="I57" s="705"/>
      <c r="J57" s="705"/>
      <c r="K57" s="705"/>
      <c r="L57" s="443"/>
      <c r="M57" s="468"/>
      <c r="N57" s="469"/>
      <c r="O57" s="469"/>
      <c r="P57" s="469"/>
      <c r="Q57" s="469"/>
      <c r="R57" s="469"/>
      <c r="S57" s="469"/>
      <c r="T57" s="469"/>
      <c r="U57" s="469"/>
      <c r="V57" s="469"/>
      <c r="W57" s="469"/>
      <c r="X57" s="469"/>
    </row>
    <row r="58" spans="1:24" ht="15" customHeight="1">
      <c r="A58" s="443"/>
      <c r="B58" s="695"/>
      <c r="C58" s="705"/>
      <c r="D58" s="705"/>
      <c r="E58" s="705"/>
      <c r="F58" s="705"/>
      <c r="G58" s="705"/>
      <c r="H58" s="705"/>
      <c r="I58" s="705"/>
      <c r="J58" s="705"/>
      <c r="K58" s="705"/>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697">
        <v>133685008</v>
      </c>
      <c r="D74" s="697"/>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697">
        <v>5000</v>
      </c>
      <c r="D77" s="697"/>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697">
        <v>100000</v>
      </c>
      <c r="D80" s="697"/>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698">
        <f>H80</f>
        <v>11500</v>
      </c>
      <c r="D83" s="698"/>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99" t="s">
        <v>647</v>
      </c>
      <c r="C85" s="699"/>
      <c r="D85" s="699"/>
      <c r="E85" s="699"/>
      <c r="F85" s="699"/>
      <c r="G85" s="699"/>
      <c r="H85" s="699"/>
      <c r="I85" s="699"/>
      <c r="J85" s="699"/>
      <c r="K85" s="699"/>
      <c r="L85" s="443"/>
    </row>
    <row r="86" spans="1:12" ht="14.25">
      <c r="A86" s="443"/>
      <c r="B86" s="694" t="s">
        <v>695</v>
      </c>
      <c r="C86" s="694"/>
      <c r="D86" s="694"/>
      <c r="E86" s="694"/>
      <c r="F86" s="694"/>
      <c r="G86" s="694"/>
      <c r="H86" s="694"/>
      <c r="I86" s="694"/>
      <c r="J86" s="694"/>
      <c r="K86" s="694"/>
      <c r="L86" s="443"/>
    </row>
    <row r="87" spans="1:12" ht="14.25">
      <c r="A87" s="443"/>
      <c r="B87" s="483"/>
      <c r="C87" s="483"/>
      <c r="D87" s="483"/>
      <c r="E87" s="483"/>
      <c r="F87" s="483"/>
      <c r="G87" s="483"/>
      <c r="H87" s="483"/>
      <c r="I87" s="483"/>
      <c r="J87" s="483"/>
      <c r="K87" s="483"/>
      <c r="L87" s="443"/>
    </row>
    <row r="88" spans="1:12" ht="14.25">
      <c r="A88" s="443"/>
      <c r="B88" s="694" t="s">
        <v>696</v>
      </c>
      <c r="C88" s="694"/>
      <c r="D88" s="694"/>
      <c r="E88" s="694"/>
      <c r="F88" s="694"/>
      <c r="G88" s="694"/>
      <c r="H88" s="694"/>
      <c r="I88" s="694"/>
      <c r="J88" s="694"/>
      <c r="K88" s="694"/>
      <c r="L88" s="443"/>
    </row>
    <row r="89" spans="1:12" ht="14.25">
      <c r="A89" s="443"/>
      <c r="B89" s="484"/>
      <c r="C89" s="484"/>
      <c r="D89" s="484"/>
      <c r="E89" s="484"/>
      <c r="F89" s="484"/>
      <c r="G89" s="484"/>
      <c r="H89" s="484"/>
      <c r="I89" s="484"/>
      <c r="J89" s="484"/>
      <c r="K89" s="484"/>
      <c r="L89" s="443"/>
    </row>
    <row r="90" spans="1:12" ht="45" customHeight="1">
      <c r="A90" s="443"/>
      <c r="B90" s="695" t="s">
        <v>697</v>
      </c>
      <c r="C90" s="695"/>
      <c r="D90" s="695"/>
      <c r="E90" s="695"/>
      <c r="F90" s="695"/>
      <c r="G90" s="695"/>
      <c r="H90" s="695"/>
      <c r="I90" s="695"/>
      <c r="J90" s="695"/>
      <c r="K90" s="695"/>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697">
        <v>133685008</v>
      </c>
      <c r="D94" s="697"/>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697">
        <v>50000</v>
      </c>
      <c r="D97" s="697"/>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697">
        <v>2500000</v>
      </c>
      <c r="D100" s="697"/>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698">
        <f>H100</f>
        <v>750000</v>
      </c>
      <c r="D103" s="698"/>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99" t="s">
        <v>647</v>
      </c>
      <c r="C105" s="700"/>
      <c r="D105" s="700"/>
      <c r="E105" s="700"/>
      <c r="F105" s="700"/>
      <c r="G105" s="700"/>
      <c r="H105" s="700"/>
      <c r="I105" s="700"/>
      <c r="J105" s="700"/>
      <c r="K105" s="700"/>
      <c r="L105" s="443"/>
    </row>
    <row r="106" spans="1:12" ht="15" customHeight="1">
      <c r="A106" s="443"/>
      <c r="B106" s="701" t="s">
        <v>699</v>
      </c>
      <c r="C106" s="702"/>
      <c r="D106" s="702"/>
      <c r="E106" s="702"/>
      <c r="F106" s="702"/>
      <c r="G106" s="702"/>
      <c r="H106" s="702"/>
      <c r="I106" s="702"/>
      <c r="J106" s="702"/>
      <c r="K106" s="702"/>
      <c r="L106" s="443"/>
    </row>
    <row r="107" spans="1:12" ht="15" customHeight="1">
      <c r="A107" s="443"/>
      <c r="B107" s="489"/>
      <c r="C107" s="497"/>
      <c r="D107" s="497"/>
      <c r="E107" s="456"/>
      <c r="F107" s="466"/>
      <c r="G107" s="456"/>
      <c r="H107" s="456"/>
      <c r="I107" s="456"/>
      <c r="J107" s="478"/>
      <c r="K107" s="489"/>
      <c r="L107" s="443"/>
    </row>
    <row r="108" spans="1:12" ht="15" customHeight="1">
      <c r="A108" s="443"/>
      <c r="B108" s="701" t="s">
        <v>700</v>
      </c>
      <c r="C108" s="703"/>
      <c r="D108" s="703"/>
      <c r="E108" s="703"/>
      <c r="F108" s="703"/>
      <c r="G108" s="703"/>
      <c r="H108" s="703"/>
      <c r="I108" s="703"/>
      <c r="J108" s="703"/>
      <c r="K108" s="703"/>
      <c r="L108" s="443"/>
    </row>
    <row r="109" spans="1:12" ht="15" customHeight="1">
      <c r="A109" s="443"/>
      <c r="B109" s="489"/>
      <c r="C109" s="497"/>
      <c r="D109" s="497"/>
      <c r="E109" s="456"/>
      <c r="F109" s="466"/>
      <c r="G109" s="456"/>
      <c r="H109" s="456"/>
      <c r="I109" s="456"/>
      <c r="J109" s="478"/>
      <c r="K109" s="489"/>
      <c r="L109" s="443"/>
    </row>
    <row r="110" spans="1:12" ht="59.25" customHeight="1">
      <c r="A110" s="443"/>
      <c r="B110" s="704" t="s">
        <v>701</v>
      </c>
      <c r="C110" s="705"/>
      <c r="D110" s="705"/>
      <c r="E110" s="705"/>
      <c r="F110" s="705"/>
      <c r="G110" s="705"/>
      <c r="H110" s="705"/>
      <c r="I110" s="705"/>
      <c r="J110" s="705"/>
      <c r="K110" s="705"/>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697">
        <v>133685008</v>
      </c>
      <c r="D114" s="697"/>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697">
        <v>50000</v>
      </c>
      <c r="D117" s="697"/>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697">
        <v>2500000</v>
      </c>
      <c r="D120" s="697"/>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698">
        <f>H120</f>
        <v>625000</v>
      </c>
      <c r="D123" s="698"/>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99" t="s">
        <v>647</v>
      </c>
      <c r="C125" s="699"/>
      <c r="D125" s="699"/>
      <c r="E125" s="699"/>
      <c r="F125" s="699"/>
      <c r="G125" s="699"/>
      <c r="H125" s="699"/>
      <c r="I125" s="699"/>
      <c r="J125" s="699"/>
      <c r="K125" s="699"/>
      <c r="L125" s="498"/>
    </row>
    <row r="126" spans="1:12" ht="14.25">
      <c r="A126" s="443"/>
      <c r="B126" s="694" t="s">
        <v>702</v>
      </c>
      <c r="C126" s="694"/>
      <c r="D126" s="694"/>
      <c r="E126" s="694"/>
      <c r="F126" s="694"/>
      <c r="G126" s="694"/>
      <c r="H126" s="694"/>
      <c r="I126" s="694"/>
      <c r="J126" s="694"/>
      <c r="K126" s="694"/>
      <c r="L126" s="498"/>
    </row>
    <row r="127" spans="1:12" ht="14.25">
      <c r="A127" s="443"/>
      <c r="B127" s="447"/>
      <c r="C127" s="447"/>
      <c r="D127" s="447"/>
      <c r="E127" s="447"/>
      <c r="F127" s="447"/>
      <c r="G127" s="447"/>
      <c r="H127" s="447"/>
      <c r="I127" s="447"/>
      <c r="J127" s="447"/>
      <c r="K127" s="447"/>
      <c r="L127" s="498"/>
    </row>
    <row r="128" spans="1:12" ht="14.25">
      <c r="A128" s="443"/>
      <c r="B128" s="694" t="s">
        <v>703</v>
      </c>
      <c r="C128" s="694"/>
      <c r="D128" s="694"/>
      <c r="E128" s="694"/>
      <c r="F128" s="694"/>
      <c r="G128" s="694"/>
      <c r="H128" s="694"/>
      <c r="I128" s="694"/>
      <c r="J128" s="694"/>
      <c r="K128" s="694"/>
      <c r="L128" s="498"/>
    </row>
    <row r="129" spans="1:12" ht="14.25">
      <c r="A129" s="443"/>
      <c r="B129" s="484"/>
      <c r="C129" s="484"/>
      <c r="D129" s="484"/>
      <c r="E129" s="484"/>
      <c r="F129" s="484"/>
      <c r="G129" s="484"/>
      <c r="H129" s="484"/>
      <c r="I129" s="484"/>
      <c r="J129" s="484"/>
      <c r="K129" s="484"/>
      <c r="L129" s="498"/>
    </row>
    <row r="130" spans="1:12" ht="74.25" customHeight="1">
      <c r="A130" s="443"/>
      <c r="B130" s="695" t="s">
        <v>704</v>
      </c>
      <c r="C130" s="695"/>
      <c r="D130" s="695"/>
      <c r="E130" s="695"/>
      <c r="F130" s="695"/>
      <c r="G130" s="695"/>
      <c r="H130" s="695"/>
      <c r="I130" s="695"/>
      <c r="J130" s="695"/>
      <c r="K130" s="695"/>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696" t="s">
        <v>705</v>
      </c>
      <c r="D133" s="696"/>
      <c r="E133" s="455"/>
      <c r="F133" s="456" t="s">
        <v>706</v>
      </c>
      <c r="G133" s="455"/>
      <c r="H133" s="696" t="s">
        <v>691</v>
      </c>
      <c r="I133" s="696"/>
      <c r="J133" s="455"/>
      <c r="K133" s="458"/>
      <c r="L133" s="443"/>
    </row>
    <row r="134" spans="1:12" ht="14.25">
      <c r="A134" s="443"/>
      <c r="B134" s="464" t="s">
        <v>684</v>
      </c>
      <c r="C134" s="697">
        <v>100000</v>
      </c>
      <c r="D134" s="697"/>
      <c r="E134" s="456" t="s">
        <v>298</v>
      </c>
      <c r="F134" s="456">
        <v>0.115</v>
      </c>
      <c r="G134" s="456" t="s">
        <v>657</v>
      </c>
      <c r="H134" s="686">
        <f>C134*F134</f>
        <v>11500</v>
      </c>
      <c r="I134" s="686"/>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5" t="s">
        <v>691</v>
      </c>
      <c r="D136" s="685"/>
      <c r="E136" s="475"/>
      <c r="F136" s="476" t="s">
        <v>707</v>
      </c>
      <c r="G136" s="476"/>
      <c r="H136" s="475"/>
      <c r="I136" s="475"/>
      <c r="J136" s="475" t="s">
        <v>708</v>
      </c>
      <c r="K136" s="477"/>
      <c r="L136" s="443"/>
    </row>
    <row r="137" spans="1:12" ht="14.25">
      <c r="A137" s="443"/>
      <c r="B137" s="464" t="s">
        <v>687</v>
      </c>
      <c r="C137" s="686">
        <f>H134</f>
        <v>11500</v>
      </c>
      <c r="D137" s="686"/>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7" t="s">
        <v>711</v>
      </c>
      <c r="C144" s="688"/>
      <c r="D144" s="688"/>
      <c r="E144" s="688"/>
      <c r="F144" s="688"/>
      <c r="G144" s="688"/>
      <c r="H144" s="688"/>
      <c r="I144" s="688"/>
      <c r="J144" s="688"/>
      <c r="K144" s="689"/>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686" t="s">
        <v>712</v>
      </c>
      <c r="D147" s="686"/>
      <c r="E147" s="456"/>
      <c r="F147" s="516" t="s">
        <v>713</v>
      </c>
      <c r="G147" s="456"/>
      <c r="H147" s="456"/>
      <c r="I147" s="456"/>
      <c r="J147" s="690" t="s">
        <v>714</v>
      </c>
      <c r="K147" s="691"/>
      <c r="L147" s="443"/>
    </row>
    <row r="148" spans="1:12" ht="14.25">
      <c r="A148" s="443"/>
      <c r="B148" s="464"/>
      <c r="C148" s="692">
        <v>52.869</v>
      </c>
      <c r="D148" s="692"/>
      <c r="E148" s="456" t="s">
        <v>298</v>
      </c>
      <c r="F148" s="521">
        <v>133685008</v>
      </c>
      <c r="G148" s="522" t="s">
        <v>658</v>
      </c>
      <c r="H148" s="456">
        <v>1000</v>
      </c>
      <c r="I148" s="456" t="s">
        <v>657</v>
      </c>
      <c r="J148" s="686">
        <f>C148*(F148/1000)</f>
        <v>7067792.687952</v>
      </c>
      <c r="K148" s="693"/>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0">
      <selection activeCell="B68" sqref="B6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Neosho Township</v>
      </c>
      <c r="B1" s="101"/>
      <c r="C1" s="101"/>
      <c r="D1" s="101"/>
      <c r="E1" s="101">
        <f>inputPrYr!D5</f>
        <v>2012</v>
      </c>
    </row>
    <row r="2" spans="1:5" ht="15.75">
      <c r="A2" s="99" t="str">
        <f>inputPrYr!D3</f>
        <v>Labette County</v>
      </c>
      <c r="B2" s="101"/>
      <c r="C2" s="101"/>
      <c r="D2" s="101"/>
      <c r="E2" s="101"/>
    </row>
    <row r="3" spans="1:5" ht="15.75">
      <c r="A3" s="101"/>
      <c r="B3" s="101"/>
      <c r="C3" s="101"/>
      <c r="D3" s="101"/>
      <c r="E3" s="101"/>
    </row>
    <row r="4" spans="1:5" ht="15.75">
      <c r="A4" s="607" t="s">
        <v>159</v>
      </c>
      <c r="B4" s="608"/>
      <c r="C4" s="608"/>
      <c r="D4" s="608"/>
      <c r="E4" s="608"/>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4669419</v>
      </c>
    </row>
    <row r="8" spans="1:5" ht="15.75">
      <c r="A8" s="22" t="str">
        <f>CONCATENATE("New Improvements for ",E1-1,"")</f>
        <v>New Improvements for 2011</v>
      </c>
      <c r="B8" s="19"/>
      <c r="C8" s="19"/>
      <c r="D8" s="19"/>
      <c r="E8" s="309">
        <v>14194</v>
      </c>
    </row>
    <row r="9" spans="1:5" ht="15.75">
      <c r="A9" s="22" t="str">
        <f>CONCATENATE("Personal Property excluding oil, gas, and mobile homes - ",E1-1,"")</f>
        <v>Personal Property excluding oil, gas, and mobile homes - 2011</v>
      </c>
      <c r="B9" s="19"/>
      <c r="C9" s="19"/>
      <c r="D9" s="19"/>
      <c r="E9" s="309">
        <v>64306</v>
      </c>
    </row>
    <row r="10" spans="1:5" ht="15.75">
      <c r="A10" s="22" t="str">
        <f>CONCATENATE("Property that has changed in use for ",E1-1,"")</f>
        <v>Property that has changed in use for 2011</v>
      </c>
      <c r="B10" s="19"/>
      <c r="C10" s="19"/>
      <c r="D10" s="19"/>
      <c r="E10" s="309">
        <v>67153</v>
      </c>
    </row>
    <row r="11" spans="1:5" ht="15.75">
      <c r="A11" s="22" t="str">
        <f>CONCATENATE("Personal Property excluding oil, gas, and mobile homes- ",E1-2,"")</f>
        <v>Personal Property excluding oil, gas, and mobile homes- 2010</v>
      </c>
      <c r="B11" s="19"/>
      <c r="C11" s="19"/>
      <c r="D11" s="19"/>
      <c r="E11" s="309"/>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9" t="s">
        <v>294</v>
      </c>
      <c r="B16" s="610"/>
      <c r="C16" s="101"/>
      <c r="D16" s="313" t="s">
        <v>3</v>
      </c>
      <c r="E16" s="312"/>
    </row>
    <row r="17" spans="1:5" ht="15.75">
      <c r="A17" s="82" t="str">
        <f>inputPrYr!B16</f>
        <v>General</v>
      </c>
      <c r="B17" s="20"/>
      <c r="C17" s="19"/>
      <c r="D17" s="314">
        <v>4.477</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4.477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4427488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160</v>
      </c>
      <c r="B31" s="20"/>
      <c r="C31" s="20"/>
      <c r="D31" s="321"/>
      <c r="E31" s="34">
        <v>1222</v>
      </c>
    </row>
    <row r="32" spans="1:5" ht="15.75">
      <c r="A32" s="322" t="s">
        <v>285</v>
      </c>
      <c r="B32" s="291"/>
      <c r="C32" s="291"/>
      <c r="D32" s="31"/>
      <c r="E32" s="34">
        <v>22</v>
      </c>
    </row>
    <row r="33" spans="1:5" ht="15.75">
      <c r="A33" s="322" t="s">
        <v>161</v>
      </c>
      <c r="B33" s="291"/>
      <c r="C33" s="291"/>
      <c r="D33" s="31"/>
      <c r="E33" s="34">
        <v>96</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11" t="str">
        <f>CONCATENATE("From the ",E1-2," Budget Certificate Page")</f>
        <v>From the 2010 Budget Certificate Page</v>
      </c>
      <c r="B43" s="612"/>
      <c r="C43" s="151"/>
      <c r="D43" s="151"/>
      <c r="E43" s="151"/>
    </row>
    <row r="44" spans="1:5" ht="15.75">
      <c r="A44" s="326"/>
      <c r="B44" s="326" t="str">
        <f>CONCATENATE("",E1-2," Expenditure Amounts")</f>
        <v>2010 Expenditure Amounts</v>
      </c>
      <c r="C44" s="613" t="str">
        <f>CONCATENATE("Note: If the ",E1-2," budget was amended, then the")</f>
        <v>Note: If the 2010 budget was amended, then the</v>
      </c>
      <c r="D44" s="614"/>
      <c r="E44" s="614"/>
    </row>
    <row r="45" spans="1:5" ht="15.75">
      <c r="A45" s="327" t="s">
        <v>215</v>
      </c>
      <c r="B45" s="327" t="s">
        <v>216</v>
      </c>
      <c r="C45" s="328" t="s">
        <v>217</v>
      </c>
      <c r="D45" s="329"/>
      <c r="E45" s="329"/>
    </row>
    <row r="46" spans="1:5" ht="15.75">
      <c r="A46" s="330" t="str">
        <f>inputPrYr!B16</f>
        <v>General</v>
      </c>
      <c r="B46" s="36">
        <v>32089</v>
      </c>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99" t="s">
        <v>803</v>
      </c>
    </row>
    <row r="10" ht="15.75">
      <c r="A10" s="401" t="s">
        <v>799</v>
      </c>
    </row>
    <row r="11" ht="15.75">
      <c r="A11" s="91" t="s">
        <v>800</v>
      </c>
    </row>
    <row r="12" ht="15.75">
      <c r="A12" s="91" t="s">
        <v>801</v>
      </c>
    </row>
    <row r="14" ht="15.75">
      <c r="A14" s="401" t="s">
        <v>772</v>
      </c>
    </row>
    <row r="15" ht="15.75">
      <c r="A15" s="599" t="s">
        <v>773</v>
      </c>
    </row>
    <row r="16" ht="15.75">
      <c r="A16" s="599" t="s">
        <v>774</v>
      </c>
    </row>
    <row r="17" ht="31.5">
      <c r="A17" s="598" t="s">
        <v>775</v>
      </c>
    </row>
    <row r="18" ht="15.75">
      <c r="A18" s="599" t="s">
        <v>776</v>
      </c>
    </row>
    <row r="19" ht="15.75">
      <c r="A19" s="599" t="s">
        <v>777</v>
      </c>
    </row>
    <row r="20" ht="15.75">
      <c r="A20" s="599" t="s">
        <v>778</v>
      </c>
    </row>
    <row r="21" ht="15.75">
      <c r="A21" s="599" t="s">
        <v>779</v>
      </c>
    </row>
    <row r="22" ht="15.75">
      <c r="A22" s="599" t="s">
        <v>780</v>
      </c>
    </row>
    <row r="23" ht="15.75">
      <c r="A23" s="599" t="s">
        <v>781</v>
      </c>
    </row>
    <row r="24" ht="15.75">
      <c r="A24" s="599" t="s">
        <v>782</v>
      </c>
    </row>
    <row r="25" ht="15.75">
      <c r="A25" s="599" t="s">
        <v>783</v>
      </c>
    </row>
    <row r="26" ht="15.75">
      <c r="A26" s="599" t="s">
        <v>784</v>
      </c>
    </row>
    <row r="27" ht="15.75">
      <c r="A27" s="599" t="s">
        <v>795</v>
      </c>
    </row>
    <row r="28" ht="15.75">
      <c r="A28" s="599" t="s">
        <v>785</v>
      </c>
    </row>
    <row r="29" ht="15.75">
      <c r="A29" s="599" t="s">
        <v>786</v>
      </c>
    </row>
    <row r="30" ht="15.75">
      <c r="A30" s="599" t="s">
        <v>787</v>
      </c>
    </row>
    <row r="31" ht="15.75">
      <c r="A31" s="599" t="s">
        <v>788</v>
      </c>
    </row>
    <row r="32" ht="15.75">
      <c r="A32" s="599" t="s">
        <v>789</v>
      </c>
    </row>
    <row r="33" ht="15.75">
      <c r="A33" s="599" t="s">
        <v>790</v>
      </c>
    </row>
    <row r="34" ht="15.75">
      <c r="A34" s="599" t="s">
        <v>791</v>
      </c>
    </row>
    <row r="35" ht="15.75">
      <c r="A35" s="599" t="s">
        <v>792</v>
      </c>
    </row>
    <row r="36" ht="15.75">
      <c r="A36" s="599" t="s">
        <v>793</v>
      </c>
    </row>
    <row r="37" ht="15.75">
      <c r="A37" s="599" t="s">
        <v>798</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3">
      <selection activeCell="B6" sqref="B6"/>
    </sheetView>
  </sheetViews>
  <sheetFormatPr defaultColWidth="8.796875" defaultRowHeight="15.75"/>
  <cols>
    <col min="1" max="1" width="13.69921875" style="0" customWidth="1"/>
    <col min="2" max="2" width="16" style="0" customWidth="1"/>
  </cols>
  <sheetData>
    <row r="2" spans="1:6" ht="54" customHeight="1">
      <c r="A2" s="615" t="s">
        <v>381</v>
      </c>
      <c r="B2" s="616"/>
      <c r="C2" s="616"/>
      <c r="D2" s="616"/>
      <c r="E2" s="616"/>
      <c r="F2" s="616"/>
    </row>
    <row r="4" spans="1:6" ht="15.75">
      <c r="A4" s="383"/>
      <c r="B4" s="383"/>
      <c r="C4" s="383"/>
      <c r="D4" s="385"/>
      <c r="E4" s="383"/>
      <c r="F4" s="383"/>
    </row>
    <row r="5" spans="1:6" ht="15.75">
      <c r="A5" s="384" t="s">
        <v>382</v>
      </c>
      <c r="B5" s="386" t="s">
        <v>817</v>
      </c>
      <c r="C5" s="387"/>
      <c r="D5" s="384" t="s">
        <v>797</v>
      </c>
      <c r="E5" s="383"/>
      <c r="F5" s="383"/>
    </row>
    <row r="6" spans="1:6" ht="15.75">
      <c r="A6" s="384"/>
      <c r="B6" s="388"/>
      <c r="C6" s="389"/>
      <c r="D6" s="384" t="s">
        <v>796</v>
      </c>
      <c r="E6" s="383"/>
      <c r="F6" s="383"/>
    </row>
    <row r="7" spans="1:6" ht="15.75">
      <c r="A7" s="384" t="s">
        <v>383</v>
      </c>
      <c r="B7" s="386" t="s">
        <v>814</v>
      </c>
      <c r="C7" s="390"/>
      <c r="D7" s="384"/>
      <c r="E7" s="383"/>
      <c r="F7" s="383"/>
    </row>
    <row r="8" spans="1:6" ht="15.75">
      <c r="A8" s="384"/>
      <c r="B8" s="384"/>
      <c r="C8" s="384"/>
      <c r="D8" s="384"/>
      <c r="E8" s="383"/>
      <c r="F8" s="383"/>
    </row>
    <row r="9" spans="1:6" ht="15.75">
      <c r="A9" s="384" t="s">
        <v>384</v>
      </c>
      <c r="B9" s="391" t="s">
        <v>815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816</v>
      </c>
      <c r="C12" s="391"/>
      <c r="D12" s="391"/>
      <c r="E12" s="392"/>
      <c r="F12" s="383"/>
    </row>
    <row r="15" spans="1:6" ht="15.75">
      <c r="A15" s="617" t="s">
        <v>386</v>
      </c>
      <c r="B15" s="617"/>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I1"/>
    </sheetView>
  </sheetViews>
  <sheetFormatPr defaultColWidth="8.796875" defaultRowHeight="15.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0" t="s">
        <v>72</v>
      </c>
      <c r="C1" s="620"/>
      <c r="D1" s="620"/>
      <c r="E1" s="620"/>
      <c r="F1" s="620"/>
      <c r="G1" s="620"/>
      <c r="H1" s="14">
        <f>inputPrYr!D5</f>
        <v>2012</v>
      </c>
    </row>
    <row r="2" spans="3:7" s="14" customFormat="1" ht="15.75">
      <c r="C2" s="156"/>
      <c r="D2" s="156"/>
      <c r="E2" s="156"/>
      <c r="F2" s="156"/>
      <c r="G2" s="63"/>
    </row>
    <row r="3" spans="2:8" s="14" customFormat="1" ht="15.75">
      <c r="B3" s="629" t="str">
        <f>CONCATENATE("To the Clerk of ",inputPrYr!D3,", State of Kansas")</f>
        <v>To the Clerk of Labette County, State of Kansas</v>
      </c>
      <c r="C3" s="628"/>
      <c r="D3" s="628"/>
      <c r="E3" s="628"/>
      <c r="F3" s="628"/>
      <c r="G3" s="628"/>
      <c r="H3" s="628"/>
    </row>
    <row r="4" spans="2:7" s="14" customFormat="1" ht="15.75">
      <c r="B4" s="158" t="s">
        <v>152</v>
      </c>
      <c r="C4" s="156"/>
      <c r="D4" s="156"/>
      <c r="E4" s="156"/>
      <c r="F4" s="156"/>
      <c r="G4" s="156"/>
    </row>
    <row r="5" s="14" customFormat="1" ht="15.75">
      <c r="D5" s="427" t="str">
        <f>inputPrYr!D2</f>
        <v>Neosho Township</v>
      </c>
    </row>
    <row r="6" spans="2:7" s="14" customFormat="1" ht="15.75">
      <c r="B6" s="627" t="s">
        <v>150</v>
      </c>
      <c r="C6" s="628"/>
      <c r="D6" s="628"/>
      <c r="E6" s="628"/>
      <c r="F6" s="628"/>
      <c r="G6" s="628"/>
    </row>
    <row r="7" spans="2:7" s="14" customFormat="1" ht="15.75" customHeight="1">
      <c r="B7" s="629" t="s">
        <v>151</v>
      </c>
      <c r="C7" s="630"/>
      <c r="D7" s="630"/>
      <c r="E7" s="630"/>
      <c r="F7" s="630"/>
      <c r="G7" s="630"/>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4" t="str">
        <f>CONCATENATE("",H1," Adopted Budget")</f>
        <v>2012 Adopted Budget</v>
      </c>
      <c r="F11" s="625"/>
      <c r="G11" s="626"/>
    </row>
    <row r="12" spans="2:7" s="14" customFormat="1" ht="15.75">
      <c r="B12" s="22"/>
      <c r="D12" s="77"/>
      <c r="E12" s="279" t="s">
        <v>286</v>
      </c>
      <c r="F12" s="621" t="str">
        <f>CONCATENATE("Amount of ",H1-1," Ad Valorem Tax")</f>
        <v>Amount of 2011 Ad Valorem Tax</v>
      </c>
      <c r="G12" s="23" t="s">
        <v>287</v>
      </c>
    </row>
    <row r="13" spans="4:7" s="14" customFormat="1" ht="15.75">
      <c r="D13" s="23" t="s">
        <v>288</v>
      </c>
      <c r="E13" s="584" t="s">
        <v>216</v>
      </c>
      <c r="F13" s="622"/>
      <c r="G13" s="167" t="s">
        <v>289</v>
      </c>
    </row>
    <row r="14" spans="2:7" s="14" customFormat="1" ht="15.75">
      <c r="B14" s="82" t="s">
        <v>290</v>
      </c>
      <c r="C14" s="20"/>
      <c r="D14" s="26" t="s">
        <v>291</v>
      </c>
      <c r="E14" s="585" t="s">
        <v>744</v>
      </c>
      <c r="F14" s="623"/>
      <c r="G14" s="26" t="s">
        <v>293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39080</v>
      </c>
      <c r="F20" s="172">
        <f>IF(gen!$E$57&lt;&gt;0,gen!$E$57,0)</f>
        <v>20892</v>
      </c>
      <c r="G20" s="168">
        <f>IF(AND(gen!E57=0,$C$38&gt;=0)," ",IF(AND(F20&gt;0,$C$38=0)," ",IF(AND(F20&gt;0,$C$38&gt;0),ROUND(F20/$C$38*1000,3))))</f>
        <v>4.474</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39080</v>
      </c>
      <c r="F33" s="292">
        <f>SUM(F20:F28)</f>
        <v>20892</v>
      </c>
      <c r="G33" s="293">
        <f>IF(SUM(G20:G28)&gt;0,SUM(G20:G28),"")</f>
        <v>4.474</v>
      </c>
    </row>
    <row r="34" spans="2:4" s="14" customFormat="1" ht="16.5" thickTop="1">
      <c r="B34" s="27" t="s">
        <v>171</v>
      </c>
      <c r="C34" s="283"/>
      <c r="D34" s="288">
        <f>summ!D37</f>
        <v>0</v>
      </c>
    </row>
    <row r="35" spans="2:6" s="14" customFormat="1" ht="15.75">
      <c r="B35" s="27" t="s">
        <v>222</v>
      </c>
      <c r="C35" s="28"/>
      <c r="D35" s="288">
        <f>IF(nhood!C37&gt;0,nhood!C37,"")</f>
      </c>
      <c r="E35" s="294" t="s">
        <v>158</v>
      </c>
      <c r="F35" s="295" t="str">
        <f>IF(F33&gt;computation!J34,"Yes","No")</f>
        <v>Yes</v>
      </c>
    </row>
    <row r="36" spans="2:6" s="14" customFormat="1" ht="15.75">
      <c r="B36" s="27" t="s">
        <v>157</v>
      </c>
      <c r="C36" s="28"/>
      <c r="D36" s="288">
        <f>IF(Resolution!D50&gt;0,Resolution!D50,"")</f>
      </c>
      <c r="E36" s="296"/>
      <c r="F36" s="297"/>
    </row>
    <row r="37" spans="2:7" s="14" customFormat="1" ht="15.75">
      <c r="B37" s="74" t="s">
        <v>100</v>
      </c>
      <c r="C37" s="631" t="s">
        <v>126</v>
      </c>
      <c r="D37" s="632"/>
      <c r="E37" s="298"/>
      <c r="G37" s="22" t="s">
        <v>299</v>
      </c>
    </row>
    <row r="38" spans="2:7" s="14" customFormat="1" ht="15.75">
      <c r="B38" s="27" t="s">
        <v>101</v>
      </c>
      <c r="C38" s="633">
        <v>4669419</v>
      </c>
      <c r="D38" s="634"/>
      <c r="E38" s="299"/>
      <c r="G38" s="22"/>
    </row>
    <row r="39" spans="2:7" s="14" customFormat="1" ht="15.75">
      <c r="B39" s="300"/>
      <c r="C39" s="635" t="str">
        <f>CONCATENATE("Nov. 1, ",H1-1," Valuation")</f>
        <v>Nov. 1, 2011 Valuation</v>
      </c>
      <c r="D39" s="636"/>
      <c r="E39" s="298"/>
      <c r="G39" s="22"/>
    </row>
    <row r="40" spans="2:7" s="14" customFormat="1" ht="15.75">
      <c r="B40" s="300" t="s">
        <v>300</v>
      </c>
      <c r="E40" s="19"/>
      <c r="G40" s="22"/>
    </row>
    <row r="41" spans="2:7" s="14" customFormat="1" ht="15.75">
      <c r="B41" s="301"/>
      <c r="C41" s="301"/>
      <c r="E41" s="298"/>
      <c r="F41" s="19"/>
      <c r="G41" s="19"/>
    </row>
    <row r="42" spans="2:3" s="14" customFormat="1" ht="15.75">
      <c r="B42" s="302"/>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3" t="s">
        <v>149</v>
      </c>
      <c r="C49" s="305">
        <f>H1-1</f>
        <v>2011</v>
      </c>
      <c r="D49" s="22"/>
      <c r="E49" s="82"/>
      <c r="F49" s="174"/>
      <c r="G49" s="174"/>
      <c r="H49" s="101"/>
    </row>
    <row r="50" spans="2:8" ht="15.75">
      <c r="B50" s="14"/>
      <c r="C50" s="14"/>
      <c r="D50" s="14"/>
      <c r="E50" s="14"/>
      <c r="F50" s="22"/>
      <c r="G50" s="14"/>
      <c r="H50" s="101"/>
    </row>
    <row r="51" spans="2:8" ht="15.75">
      <c r="B51" s="583"/>
      <c r="C51" s="14"/>
      <c r="D51" s="14"/>
      <c r="E51" s="20"/>
      <c r="F51" s="20"/>
      <c r="G51" s="20"/>
      <c r="H51" s="101"/>
    </row>
    <row r="52" spans="2:7" ht="15.75">
      <c r="B52" s="49" t="s">
        <v>302</v>
      </c>
      <c r="C52" s="14"/>
      <c r="D52" s="14"/>
      <c r="E52" s="618" t="s">
        <v>301</v>
      </c>
      <c r="F52" s="619"/>
      <c r="G52" s="619"/>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1"/>
      <c r="C60" s="602"/>
      <c r="D60" s="602"/>
      <c r="E60" s="602"/>
      <c r="F60" s="602"/>
      <c r="G60" s="602"/>
    </row>
    <row r="61" spans="2:7" ht="15.75">
      <c r="B61" s="601"/>
      <c r="C61" s="602"/>
      <c r="D61" s="602"/>
      <c r="E61" s="602"/>
      <c r="F61" s="602"/>
      <c r="G61" s="602"/>
    </row>
    <row r="62" spans="2:7" ht="15.75">
      <c r="B62" s="601"/>
      <c r="C62" s="602"/>
      <c r="D62" s="602"/>
      <c r="E62" s="603"/>
      <c r="F62" s="604"/>
      <c r="G62" s="602"/>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Neosho Township</v>
      </c>
      <c r="D1" s="14"/>
      <c r="E1" s="14"/>
      <c r="F1" s="14"/>
      <c r="G1" s="14"/>
      <c r="H1" s="14"/>
      <c r="I1" s="14"/>
      <c r="J1" s="14">
        <f>inputPrYr!D5</f>
        <v>2012</v>
      </c>
    </row>
    <row r="2" spans="1:10" ht="15.75">
      <c r="A2" s="14"/>
      <c r="B2" s="14"/>
      <c r="C2" s="14"/>
      <c r="D2" s="14"/>
      <c r="E2" s="14"/>
      <c r="F2" s="14"/>
      <c r="G2" s="14"/>
      <c r="H2" s="14"/>
      <c r="I2" s="14"/>
      <c r="J2" s="14"/>
    </row>
    <row r="3" spans="1:10" ht="15.75">
      <c r="A3" s="638" t="str">
        <f>CONCATENATE("Computation to Determine Limit for ",J1,"")</f>
        <v>Computation to Determine Limit for 2012</v>
      </c>
      <c r="B3" s="620"/>
      <c r="C3" s="620"/>
      <c r="D3" s="620"/>
      <c r="E3" s="620"/>
      <c r="F3" s="620"/>
      <c r="G3" s="620"/>
      <c r="H3" s="620"/>
      <c r="I3" s="620"/>
      <c r="J3" s="620"/>
    </row>
    <row r="4" spans="1:10" ht="15.75">
      <c r="A4" s="14"/>
      <c r="B4" s="14"/>
      <c r="C4" s="14"/>
      <c r="D4" s="14"/>
      <c r="E4" s="620"/>
      <c r="F4" s="620"/>
      <c r="G4" s="620"/>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19816</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19816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14194</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64306</v>
      </c>
      <c r="F14" s="270"/>
      <c r="G14" s="55"/>
      <c r="H14" s="55"/>
      <c r="I14" s="53"/>
      <c r="J14" s="55"/>
    </row>
    <row r="15" spans="1:10" ht="15.75">
      <c r="A15" s="269"/>
      <c r="B15" s="14" t="s">
        <v>90</v>
      </c>
      <c r="C15" s="14" t="str">
        <f>CONCATENATE("Personal Property ",J1-2,"")</f>
        <v>Personal Property 2010</v>
      </c>
      <c r="D15" s="269" t="s">
        <v>85</v>
      </c>
      <c r="E15" s="273">
        <f>inputOth!E11</f>
        <v>0</v>
      </c>
      <c r="F15" s="270"/>
      <c r="G15" s="53"/>
      <c r="H15" s="53"/>
      <c r="I15" s="55"/>
      <c r="J15" s="55"/>
    </row>
    <row r="16" spans="1:10" ht="15.75">
      <c r="A16" s="269"/>
      <c r="B16" s="14" t="s">
        <v>91</v>
      </c>
      <c r="C16" s="14" t="s">
        <v>110</v>
      </c>
      <c r="D16" s="14"/>
      <c r="E16" s="55"/>
      <c r="F16" s="55" t="s">
        <v>15</v>
      </c>
      <c r="G16" s="271">
        <f>IF(E14&gt;E15,E14-E15,0)</f>
        <v>64306</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67153</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145653</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4669419</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4523766</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0.032197288719177784</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638</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20454</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20454</v>
      </c>
    </row>
    <row r="35" spans="1:10" ht="16.5" thickTop="1">
      <c r="A35" s="14"/>
      <c r="B35" s="14"/>
      <c r="C35" s="14"/>
      <c r="D35" s="14"/>
      <c r="E35" s="14"/>
      <c r="F35" s="14"/>
      <c r="G35" s="14"/>
      <c r="H35" s="14"/>
      <c r="I35" s="14"/>
      <c r="J35" s="14"/>
    </row>
    <row r="36" spans="1:10" s="278" customFormat="1" ht="18.75">
      <c r="A36" s="637" t="str">
        <f>CONCATENATE("If the ",J1," budget includes tax levies exceeding the total on line 14, you must")</f>
        <v>If the 2012 budget includes tax levies exceeding the total on line 14, you must</v>
      </c>
      <c r="B36" s="637"/>
      <c r="C36" s="637"/>
      <c r="D36" s="637"/>
      <c r="E36" s="637"/>
      <c r="F36" s="637"/>
      <c r="G36" s="637"/>
      <c r="H36" s="637"/>
      <c r="I36" s="637"/>
      <c r="J36" s="637"/>
    </row>
    <row r="37" spans="1:10" s="278" customFormat="1" ht="18.75">
      <c r="A37" s="637" t="s">
        <v>115</v>
      </c>
      <c r="B37" s="637"/>
      <c r="C37" s="637"/>
      <c r="D37" s="637"/>
      <c r="E37" s="637"/>
      <c r="F37" s="637"/>
      <c r="G37" s="637"/>
      <c r="H37" s="637"/>
      <c r="I37" s="637"/>
      <c r="J37" s="63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Neosho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3" t="s">
        <v>235</v>
      </c>
      <c r="C6" s="619"/>
      <c r="D6" s="619"/>
      <c r="E6" s="619"/>
      <c r="F6" s="619"/>
      <c r="G6" s="619"/>
      <c r="H6" s="619"/>
      <c r="I6" s="619"/>
      <c r="J6" s="619"/>
      <c r="K6" s="619"/>
      <c r="L6" s="619"/>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9" t="str">
        <f>CONCATENATE("Budget Tax Levy Amount for ",J1-2,"")</f>
        <v>Budget Tax Levy Amount for 2010</v>
      </c>
      <c r="E9" s="639" t="str">
        <f>CONCATENATE("Budget Tax Levy Rate for ",J1-1,"")</f>
        <v>Budget Tax Levy Rate for 2011</v>
      </c>
      <c r="F9" s="250"/>
      <c r="G9" s="624" t="str">
        <f>CONCATENATE("Allocation for Year ",J1,"")</f>
        <v>Allocation for Year 2012</v>
      </c>
      <c r="H9" s="641"/>
      <c r="I9" s="641"/>
      <c r="J9" s="641"/>
      <c r="K9" s="641"/>
      <c r="L9" s="642"/>
    </row>
    <row r="10" spans="2:12" ht="15.75">
      <c r="B10" s="251" t="str">
        <f>CONCATENATE("",J1-1," Budgeted Funds")</f>
        <v>2011 Budgeted Funds</v>
      </c>
      <c r="C10" s="190"/>
      <c r="D10" s="640"/>
      <c r="E10" s="640"/>
      <c r="F10" s="25"/>
      <c r="G10" s="26" t="s">
        <v>80</v>
      </c>
      <c r="H10" s="26"/>
      <c r="I10" s="26" t="s">
        <v>81</v>
      </c>
      <c r="J10" s="167" t="s">
        <v>123</v>
      </c>
      <c r="K10" s="167" t="s">
        <v>163</v>
      </c>
      <c r="L10" s="111"/>
    </row>
    <row r="11" spans="2:12" ht="15.75">
      <c r="B11" s="96" t="str">
        <f>inputPrYr!B16</f>
        <v>General</v>
      </c>
      <c r="C11" s="252"/>
      <c r="D11" s="96">
        <f>IF(inputPrYr!E16&gt;0,inputPrYr!E16,"  ")</f>
        <v>19816</v>
      </c>
      <c r="E11" s="253">
        <f>IF(inputOth!D17&gt;0,inputOth!D17,"  ")</f>
        <v>4.477</v>
      </c>
      <c r="F11" s="254"/>
      <c r="G11" s="96">
        <f>IF(inputPrYr!E16=0,0,G22-SUM(G12:G19))</f>
        <v>1222</v>
      </c>
      <c r="H11" s="255"/>
      <c r="I11" s="96">
        <f>IF(inputPrYr!E16=0,0,I24-SUM(I12:I19))</f>
        <v>22</v>
      </c>
      <c r="J11" s="96">
        <f>IF(inputPrYr!E16=0,0,J26-SUM(J12:J19))</f>
        <v>96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19816</v>
      </c>
      <c r="E20" s="259">
        <f>SUM(E11:E19)</f>
        <v>4.477</v>
      </c>
      <c r="F20" s="260"/>
      <c r="G20" s="258">
        <f>SUM(G11:G19)</f>
        <v>1222</v>
      </c>
      <c r="H20" s="258"/>
      <c r="I20" s="258">
        <f>SUM(I11:I19)</f>
        <v>22</v>
      </c>
      <c r="J20" s="258">
        <f>SUM(J11:J19)</f>
        <v>96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1222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22</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96</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0.061667339523617276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0.0011102139685102946</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0.004844570044408559</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Neosho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0" t="s">
        <v>172</v>
      </c>
      <c r="B5" s="620"/>
      <c r="C5" s="620"/>
      <c r="D5" s="620"/>
      <c r="E5" s="620"/>
      <c r="F5" s="620"/>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2010</v>
      </c>
      <c r="D9" s="236">
        <f>F1-1</f>
        <v>2011</v>
      </c>
      <c r="E9" s="236">
        <f>F1</f>
        <v>2012</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2012-10-17T20:42:17Z</cp:lastPrinted>
  <dcterms:created xsi:type="dcterms:W3CDTF">1998-08-26T16:30:41Z</dcterms:created>
  <dcterms:modified xsi:type="dcterms:W3CDTF">2012-10-17T20:42:22Z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