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<sst xmlns="http://schemas.openxmlformats.org/spreadsheetml/2006/main" count="1562" uniqueCount="946">
  <si>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</si>
  <si>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</si>
  <si>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</si>
  <si>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</si>
  <si>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</si>
  <si>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</si>
  <si>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</si>
  <si>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</si>
  <si>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</si>
  <si>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</si>
  <si>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</si>
  <si>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</si>
  <si>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</si>
  <si>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</si>
  <si>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</si>
  <si>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</si>
  <si>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</si>
  <si>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</si>
  <si>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</si>
  <si>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</si>
  <si>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</si>
  <si>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</si>
  <si>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</si>
  <si>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</si>
  <si>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</si>
  <si>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</si>
  <si>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</si>
  <si>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</si>
  <si>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</si>
  <si>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</si>
  <si>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</si>
  <si>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</si>
  <si>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</si>
  <si>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</si>
  <si>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</si>
  <si>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</si>
  <si>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</si>
  <si>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</si>
  <si>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</si>
  <si>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</si>
  <si>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</si>
  <si>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</si>
  <si>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</si>
  <si>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</si>
  <si>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</si>
  <si>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</si>
  <si>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</si>
  <si>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</si>
  <si>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</si>
  <si>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</si>
  <si>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</si>
  <si>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</si>
  <si>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</si>
  <si>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</si>
  <si>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</si>
  <si>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</si>
  <si>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</si>
  <si>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</si>
  <si>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</si>
  <si>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</si>
  <si>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</si>
  <si>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</si>
  <si>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</si>
  <si>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</si>
  <si>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</si>
  <si>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</si>
  <si>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</si>
  <si>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</si>
  <si>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</si>
  <si>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</si>
  <si>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</si>
  <si>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</si>
  <si>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</si>
  <si>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</si>
  <si>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</si>
  <si>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</si>
  <si>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</si>
  <si>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</si>
  <si>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</si>
  <si>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</si>
  <si>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</si>
  <si>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</si>
  <si>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</si>
  <si>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</si>
  <si>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</si>
  <si>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</si>
  <si>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</si>
  <si>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</si>
  <si>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</si>
  <si>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</si>
  <si>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</si>
  <si>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</si>
  <si>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</si>
  <si>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</si>
  <si>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</si>
  <si>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</si>
  <si>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</si>
  <si>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</si>
  <si>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</si>
  <si>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</si>
  <si>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</si>
  <si>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</si>
  <si>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</si>
  <si>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</si>
  <si>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</si>
  <si>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</si>
  <si>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</si>
  <si>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</si>
  <si>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</si>
  <si>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</si>
  <si>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</si>
  <si>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</si>
  <si>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</si>
  <si>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</si>
  <si>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</si>
  <si>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</si>
  <si>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</si>
  <si>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</si>
  <si>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</si>
  <si>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</si>
  <si>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</si>
  <si>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</si>
  <si>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</si>
  <si>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</si>
  <si>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</si>
  <si>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</si>
  <si>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</si>
  <si>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</si>
  <si>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</si>
  <si>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</si>
  <si>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</si>
  <si>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</si>
  <si>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</si>
  <si>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</si>
  <si>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</si>
  <si>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</si>
  <si>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</si>
  <si>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</si>
  <si>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</si>
  <si>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</si>
  <si>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</si>
  <si>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</si>
  <si>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</si>
  <si>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</si>
  <si>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</si>
  <si>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</si>
  <si>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</si>
  <si>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</si>
  <si>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</si>
  <si>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</si>
  <si>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</si>
  <si>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</si>
  <si>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</si>
  <si>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</si>
  <si>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</si>
  <si>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</si>
  <si>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</si>
  <si>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</si>
  <si>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</si>
  <si>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</si>
  <si>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</si>
  <si>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</si>
  <si>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</si>
  <si>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</si>
  <si>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</si>
  <si>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</si>
  <si>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</si>
  <si>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</si>
  <si>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</si>
  <si>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</si>
  <si>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</si>
  <si>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</si>
  <si>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</si>
  <si>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</si>
  <si>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</si>
  <si>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</si>
  <si>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</si>
  <si>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</si>
  <si>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</si>
  <si>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</si>
  <si>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</si>
  <si>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</si>
  <si>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</si>
  <si>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</si>
  <si>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</si>
  <si>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</si>
  <si>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</si>
  <si>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</si>
  <si>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</si>
  <si>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</si>
  <si>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</si>
  <si>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</si>
  <si>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</si>
  <si>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</si>
  <si>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</si>
  <si>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</si>
  <si>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</si>
  <si>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</si>
  <si>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</si>
  <si>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</si>
  <si>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</si>
  <si>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</si>
  <si>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</si>
  <si>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</si>
  <si>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</si>
  <si>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</si>
  <si>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</si>
  <si>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</si>
  <si>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</si>
  <si>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</si>
  <si>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</si>
  <si>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</si>
  <si>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</si>
  <si>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</si>
  <si>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</si>
  <si>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</si>
  <si>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</si>
  <si>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</si>
  <si>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</si>
  <si>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</si>
  <si>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</si>
  <si>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</si>
  <si>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</si>
  <si>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</si>
  <si>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</si>
  <si>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</si>
  <si>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</si>
  <si>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</si>
  <si>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</si>
  <si>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</si>
  <si>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</si>
  <si>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</si>
  <si>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</si>
  <si>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</si>
  <si>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</si>
  <si>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</si>
  <si>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</si>
  <si>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</si>
  <si>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</si>
  <si>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</si>
  <si>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</si>
  <si>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</si>
  <si>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</si>
  <si>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</si>
  <si>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</si>
  <si>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</si>
  <si>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</si>
  <si>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</si>
  <si>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</si>
  <si>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</si>
  <si>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</si>
  <si>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</si>
  <si>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</si>
  <si>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</si>
  <si>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</si>
  <si>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</si>
  <si>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</si>
  <si>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</si>
  <si>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</si>
  <si>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</si>
  <si>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</si>
  <si>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</si>
  <si>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</si>
  <si>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</si>
  <si>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</si>
  <si>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</si>
  <si>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</si>
  <si>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</si>
  <si>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</si>
  <si>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</si>
  <si>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</si>
  <si>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</si>
  <si>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</si>
  <si>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</si>
  <si>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</si>
  <si>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</si>
  <si>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</si>
  <si>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</si>
  <si>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</si>
  <si>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</si>
  <si>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</si>
  <si>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</si>
  <si>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</si>
  <si>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</si>
  <si>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</si>
  <si>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</si>
  <si>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</si>
  <si>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</si>
  <si>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</si>
  <si>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</si>
  <si>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</si>
  <si>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</si>
  <si>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</si>
  <si>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</si>
  <si>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</si>
  <si>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</si>
  <si>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</si>
  <si>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</si>
  <si>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</si>
  <si>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</si>
  <si>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</si>
  <si>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</si>
  <si>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</si>
  <si>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</si>
  <si>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</si>
  <si>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</si>
  <si>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</si>
  <si>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</si>
  <si>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</si>
  <si>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</si>
  <si>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</si>
  <si>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</si>
  <si>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</si>
  <si>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</si>
  <si>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</si>
  <si>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</si>
  <si>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</si>
  <si>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</si>
  <si>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</si>
  <si>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</si>
  <si>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</si>
  <si>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</si>
  <si>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</si>
  <si>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</si>
  <si>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</si>
  <si>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</si>
  <si>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</si>
  <si>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</si>
  <si>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</si>
  <si>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</si>
  <si>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</si>
  <si>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</si>
  <si>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</si>
  <si>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</si>
  <si>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</si>
  <si>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</si>
  <si>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</si>
  <si>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</si>
  <si>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</si>
  <si>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</si>
  <si>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</si>
  <si>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</si>
  <si>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</si>
  <si>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</si>
  <si>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</si>
  <si>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</si>
  <si>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</si>
  <si>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</si>
  <si>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</si>
  <si>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</si>
  <si>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</si>
  <si>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</si>
  <si>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</si>
  <si>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</si>
  <si>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</si>
  <si>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</si>
  <si>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</si>
  <si>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</si>
  <si>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</si>
  <si>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</si>
  <si>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</si>
  <si>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</si>
  <si>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</si>
  <si>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</si>
  <si>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</si>
  <si>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</si>
  <si>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</si>
  <si>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</si>
  <si>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</si>
  <si>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</si>
  <si>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</si>
  <si>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</si>
  <si>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</si>
  <si>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</si>
  <si>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</si>
  <si>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</si>
  <si>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</si>
  <si>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</si>
  <si>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</si>
  <si>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</si>
  <si>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</si>
  <si>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</si>
  <si>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</si>
  <si>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</si>
  <si>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</si>
  <si>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</si>
  <si>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</si>
  <si>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</si>
  <si>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</si>
  <si>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</si>
  <si>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</si>
  <si>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</si>
  <si>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</si>
  <si>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</si>
  <si>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</si>
  <si>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</si>
  <si>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</si>
  <si>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</si>
  <si>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</si>
  <si>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</si>
  <si>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</si>
  <si>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</si>
  <si>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</si>
  <si>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</si>
  <si>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</si>
  <si>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</si>
  <si>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</si>
  <si>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</si>
  <si>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</si>
  <si>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</si>
  <si>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</si>
  <si>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</si>
  <si>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</si>
  <si>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</si>
  <si>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</si>
  <si>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</si>
  <si>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</si>
  <si>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</si>
  <si>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</si>
  <si>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</si>
  <si>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</si>
  <si>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</si>
  <si>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</si>
  <si>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</si>
  <si>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</si>
  <si>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</si>
  <si>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</si>
  <si>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</si>
  <si>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</si>
  <si>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</si>
  <si>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</si>
  <si>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</si>
  <si>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</si>
  <si>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</si>
  <si>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</si>
  <si>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</si>
  <si>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</si>
  <si>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</si>
  <si>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</si>
  <si>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</si>
  <si>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</si>
  <si>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</si>
  <si>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</si>
  <si>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</si>
  <si>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</si>
  <si>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</si>
  <si>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</si>
  <si>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</si>
  <si>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</si>
  <si>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</si>
  <si>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</si>
  <si>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</si>
  <si>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</si>
  <si>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</si>
  <si>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</si>
  <si>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</si>
  <si>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</si>
  <si>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</si>
  <si>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</si>
  <si>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</si>
  <si>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</si>
  <si>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</si>
  <si>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</si>
  <si>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</si>
  <si>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</si>
  <si>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</si>
  <si>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</si>
  <si>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</si>
  <si>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</si>
  <si>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</si>
  <si>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</si>
  <si>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</si>
  <si>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</si>
  <si>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</si>
  <si>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</si>
  <si>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</si>
  <si>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</si>
  <si>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</si>
  <si>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</si>
  <si>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</si>
  <si>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</si>
  <si>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</si>
  <si>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</si>
  <si>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</si>
  <si>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</si>
  <si>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</si>
  <si>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</si>
  <si>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</si>
  <si>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</si>
  <si>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</si>
  <si>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</si>
  <si>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</si>
  <si>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</si>
  <si>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</si>
  <si>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</si>
  <si>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</si>
  <si>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</si>
  <si>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</si>
  <si>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</si>
  <si>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</si>
  <si>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</si>
  <si>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</si>
  <si>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</si>
  <si>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</si>
  <si>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</si>
  <si>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</si>
  <si>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</si>
  <si>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</si>
  <si>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</si>
  <si>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</si>
  <si>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</si>
  <si>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</si>
  <si>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</si>
  <si>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</si>
  <si>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</si>
  <si>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</si>
  <si>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</si>
  <si>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</si>
  <si>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</si>
  <si>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</si>
  <si>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</si>
  <si>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</si>
  <si>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</si>
  <si>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</si>
  <si>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</si>
  <si>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</si>
  <si>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</si>
  <si>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</si>
  <si>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</si>
  <si>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</si>
  <si>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</si>
  <si>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</si>
  <si>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</si>
  <si>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</si>
  <si>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</si>
  <si>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</si>
  <si>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</si>
  <si>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</si>
  <si>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</si>
  <si>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</si>
  <si>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</si>
  <si>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</si>
  <si>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</si>
  <si>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</si>
  <si>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</si>
  <si>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</si>
  <si>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</si>
  <si>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</si>
  <si>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</si>
  <si>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</si>
  <si>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</si>
  <si>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</si>
  <si>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</si>
  <si>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</si>
  <si>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</si>
  <si>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</si>
  <si>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</si>
  <si>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</si>
  <si>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</si>
  <si>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</si>
  <si>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</si>
  <si>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</si>
  <si>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</si>
  <si>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</si>
  <si>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</si>
  <si>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</si>
  <si>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</si>
  <si>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</si>
  <si>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</si>
  <si>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</si>
  <si>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</si>
  <si>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</si>
  <si>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</si>
  <si>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</si>
  <si>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</si>
  <si>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</si>
  <si>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</si>
  <si>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</si>
  <si>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</si>
  <si>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</si>
  <si>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</si>
  <si>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</si>
  <si>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</si>
  <si>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</si>
  <si>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</si>
  <si>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</si>
  <si>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</si>
  <si>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</si>
  <si>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</si>
  <si>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</si>
  <si>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</si>
  <si>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</si>
  <si>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</si>
  <si>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</si>
  <si>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</si>
  <si>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</si>
  <si>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</si>
  <si>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</si>
  <si>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</si>
  <si>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</si>
  <si>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</si>
  <si>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</si>
  <si>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</si>
  <si>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</si>
  <si>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</si>
  <si>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</si>
  <si>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</si>
  <si>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</si>
  <si>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</si>
  <si>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</si>
  <si>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</si>
  <si>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</si>
  <si>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</si>
  <si>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</si>
  <si>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</si>
  <si>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</si>
  <si>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</si>
  <si>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</si>
  <si>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</si>
  <si>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</si>
  <si>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</si>
  <si>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</si>
  <si>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</si>
  <si>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</si>
  <si>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</si>
  <si>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</si>
  <si>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</si>
  <si>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</si>
  <si>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</si>
  <si>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</si>
  <si>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</si>
  <si>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</si>
  <si>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</si>
  <si>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</si>
  <si>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</si>
  <si>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</si>
  <si>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</si>
  <si>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</si>
  <si>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</si>
  <si>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</si>
  <si>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</si>
  <si>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</si>
  <si>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</si>
  <si>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</si>
  <si>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</si>
  <si>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</si>
  <si>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</si>
  <si>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</si>
  <si>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</si>
  <si>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</si>
  <si>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</si>
  <si>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</si>
  <si>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</si>
  <si>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</si>
  <si>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</si>
  <si>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</si>
  <si>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</si>
  <si>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</si>
  <si>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</si>
  <si>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</si>
  <si>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</si>
  <si>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</si>
  <si>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</si>
  <si>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</si>
  <si>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</si>
  <si>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</si>
  <si>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</si>
  <si>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</si>
  <si>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</si>
  <si>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</si>
  <si>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</si>
  <si>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</si>
  <si>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</si>
  <si>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</si>
  <si>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</si>
  <si>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</si>
  <si>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</si>
  <si>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</si>
  <si>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</si>
  <si>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</si>
  <si>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</si>
  <si>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</si>
  <si>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</si>
  <si>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</si>
  <si>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</si>
  <si>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</si>
  <si>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</si>
  <si>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</si>
  <si>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</si>
  <si>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</si>
  <si>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</si>
  <si>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</si>
  <si>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</si>
  <si>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</si>
  <si>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</si>
  <si>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</si>
  <si>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</si>
  <si>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</si>
  <si>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</si>
  <si>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</si>
  <si>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</si>
  <si>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</si>
  <si>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</si>
  <si>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</si>
  <si>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</si>
  <si>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</si>
  <si>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</si>
  <si>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</si>
  <si>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</si>
  <si>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</si>
  <si>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</si>
  <si>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</si>
  <si>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</si>
  <si>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</si>
  <si>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</si>
  <si>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</si>
  <si>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</si>
  <si>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</si>
  <si>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</si>
  <si>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</si>
  <si>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</si>
  <si>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</si>
  <si>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</si>
  <si>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</si>
  <si>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</si>
  <si>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</si>
  <si>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</si>
  <si>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</si>
  <si>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</si>
  <si>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</si>
  <si>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</si>
  <si>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</si>
  <si>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</si>
  <si>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</si>
  <si>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</si>
  <si>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</si>
  <si>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</si>
  <si>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</si>
  <si>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</si>
  <si>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</si>
  <si>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</si>
  <si>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</si>
  <si>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</si>
  <si>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</si>
  <si>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</si>
  <si>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</si>
  <si>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</si>
  <si>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</si>
  <si>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</si>
  <si>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</si>
  <si>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</si>
  <si>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</si>
  <si>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</si>
  <si>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</si>
  <si>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</si>
  <si>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</si>
  <si>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</si>
  <si>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</si>
  <si>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</si>
  <si>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</si>
  <si>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</si>
  <si>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</si>
  <si>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</si>
  <si>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</si>
  <si>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</si>
  <si>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</si>
  <si>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</si>
  <si>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</si>
  <si>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</si>
  <si>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</si>
  <si>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</si>
  <si>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</si>
  <si>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</si>
  <si>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</si>
  <si>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</si>
  <si>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</si>
  <si>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</si>
  <si>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</si>
  <si>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</si>
  <si>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</si>
  <si>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</si>
  <si>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</si>
  <si>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</si>
  <si>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</si>
  <si>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</si>
  <si>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</si>
  <si>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</si>
  <si>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</si>
  <si>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</si>
  <si>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</si>
  <si>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</si>
  <si>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</si>
  <si>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</si>
  <si>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</si>
  <si>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</si>
  <si>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</si>
  <si>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</si>
  <si>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</si>
  <si>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</si>
  <si>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</si>
  <si>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</si>
  <si>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</si>
  <si>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</si>
  <si>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</si>
  <si>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</si>
  <si>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</si>
  <si>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</si>
  <si>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</si>
  <si>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</si>
  <si>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</si>
  <si>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</si>
  <si>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</si>
  <si>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</si>
  <si>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</si>
  <si>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</si>
  <si>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</si>
  <si>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</si>
  <si>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</si>
  <si>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</si>
  <si>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</si>
  <si>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</si>
  <si>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</si>
  <si>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</si>
  <si>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</si>
  <si>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</si>
  <si>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</si>
  <si>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</si>
  <si>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</si>
  <si>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</si>
  <si>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</si>
  <si>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</si>
  <si>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</si>
  <si>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</si>
  <si>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</si>
  <si>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</si>
  <si>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</si>
  <si>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</si>
  <si>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</si>
  <si>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</si>
  <si>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</si>
  <si>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</si>
  <si>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</si>
  <si>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</si>
  <si>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</si>
  <si>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</si>
  <si>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</si>
  <si>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</si>
  <si>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</si>
  <si>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</si>
  <si>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</si>
  <si>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</si>
  <si>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</si>
  <si>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</si>
  <si>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</si>
  <si>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</si>
  <si>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</si>
  <si>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</si>
  <si>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</si>
  <si>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</si>
  <si>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</si>
  <si>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</si>
  <si>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</si>
  <si>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</si>
  <si>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</si>
  <si>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</si>
  <si>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</si>
  <si>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</si>
  <si>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</si>
  <si>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</si>
  <si>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</si>
  <si>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</si>
  <si>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</si>
  <si>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</si>
  <si>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</si>
  <si>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</si>
  <si>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</si>
  <si>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</si>
  <si>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</si>
  <si>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</si>
  <si>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</si>
  <si>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</si>
  <si>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</si>
  <si>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</si>
  <si>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</si>
  <si>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</si>
  <si>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</si>
  <si>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</si>
  <si>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</si>
  <si>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</si>
  <si>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</si>
  <si>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</si>
  <si>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</si>
  <si>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</si>
  <si>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</si>
  <si>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</si>
  <si>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</si>
  <si>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</si>
  <si>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</si>
  <si>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</si>
  <si>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</si>
  <si>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</si>
  <si>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</si>
  <si>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</si>
  <si>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</si>
  <si>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</si>
  <si>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</si>
  <si>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</si>
  <si>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</si>
  <si>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</si>
  <si>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</si>
  <si>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</si>
  <si>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</si>
  <si>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</si>
  <si>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</si>
  <si>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</si>
  <si>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</si>
  <si>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</si>
  <si>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</si>
  <si>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</si>
  <si>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</si>
  <si>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</si>
  <si>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</si>
  <si>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</si>
  <si>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</si>
  <si>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</si>
  <si>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</si>
  <si>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</si>
  <si>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</si>
  <si>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</si>
  <si>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</si>
  <si>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</si>
  <si>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</si>
  <si>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</si>
  <si>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</si>
  <si>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</si>
  <si>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</si>
  <si>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</si>
  <si>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ODESSA TOWNSHIP</t>
  </si>
  <si>
    <t>July 31, 2012</t>
  </si>
  <si>
    <t>8:00 p.m.</t>
  </si>
  <si>
    <t>Marion Atwood Residence</t>
  </si>
  <si>
    <t>Township Officer</t>
  </si>
  <si>
    <t xml:space="preserve">Donation </t>
  </si>
  <si>
    <t>General Expenses - Publishing etc</t>
  </si>
  <si>
    <t>Mowing</t>
  </si>
  <si>
    <t>Richard Schlaefli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</si>
</sst>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ODESSA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ODESSA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782037</v>
      </c>
      <c r="F27" s="565"/>
      <c r="G27" s="570">
        <f>summ!G37</f>
        <v>812584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1" sqref="C1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ODESSA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8082</v>
      </c>
      <c r="D6" s="390">
        <f>C51</f>
        <v>8246</v>
      </c>
      <c r="E6" s="32">
        <f>D51</f>
        <v>7565</v>
      </c>
    </row>
    <row r="7" spans="2:5" ht="15">
      <c r="B7" s="27" t="s">
        <v>120</v>
      </c>
      <c r="C7" s="390"/>
      <c r="D7" s="390"/>
      <c r="E7" s="33"/>
    </row>
    <row r="8" spans="2:5" ht="15">
      <c r="B8" s="27" t="s">
        <v>16</v>
      </c>
      <c r="C8" s="29">
        <v>799</v>
      </c>
      <c r="D8" s="390">
        <f>IF(inputPrYr!H15&gt;0,inputPrYr!G16,inputPrYr!E16)</f>
        <v>800</v>
      </c>
      <c r="E8" s="33" t="s">
        <v>290</v>
      </c>
    </row>
    <row r="9" spans="2:5" ht="15">
      <c r="B9" s="27" t="s">
        <v>17</v>
      </c>
      <c r="C9" s="29"/>
      <c r="D9" s="29"/>
      <c r="E9" s="34"/>
    </row>
    <row r="10" spans="2:5" ht="15">
      <c r="B10" s="27" t="s">
        <v>18</v>
      </c>
      <c r="C10" s="29">
        <v>28</v>
      </c>
      <c r="D10" s="29">
        <v>34</v>
      </c>
      <c r="E10" s="32">
        <f>mvalloc!G11</f>
        <v>36</v>
      </c>
    </row>
    <row r="11" spans="2:5" ht="15">
      <c r="B11" s="27" t="s">
        <v>19</v>
      </c>
      <c r="C11" s="29">
        <v>0</v>
      </c>
      <c r="D11" s="29">
        <v>2</v>
      </c>
      <c r="E11" s="32">
        <f>mvalloc!I11</f>
        <v>0</v>
      </c>
    </row>
    <row r="12" spans="2:5" ht="15">
      <c r="B12" s="35" t="s">
        <v>69</v>
      </c>
      <c r="C12" s="29">
        <v>5</v>
      </c>
      <c r="D12" s="29">
        <v>5</v>
      </c>
      <c r="E12" s="32">
        <f>mvalloc!J11</f>
        <v>4</v>
      </c>
    </row>
    <row r="13" spans="2:5" ht="15">
      <c r="B13" s="35" t="s">
        <v>161</v>
      </c>
      <c r="C13" s="29"/>
      <c r="D13" s="29"/>
      <c r="E13" s="32">
        <f>inputOth!E35</f>
        <v>0</v>
      </c>
    </row>
    <row r="14" spans="2:5" ht="15">
      <c r="B14" s="27" t="s">
        <v>20</v>
      </c>
      <c r="C14" s="29">
        <v>184</v>
      </c>
      <c r="D14" s="29">
        <v>128</v>
      </c>
      <c r="E14" s="32">
        <f>inputOth!E12</f>
        <v>136</v>
      </c>
    </row>
    <row r="15" spans="2:5" ht="15">
      <c r="B15" s="37" t="s">
        <v>942</v>
      </c>
      <c r="C15" s="29">
        <v>150</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11</v>
      </c>
      <c r="D23" s="29"/>
      <c r="E23" s="34"/>
    </row>
    <row r="24" spans="2:5" ht="15">
      <c r="B24" s="39" t="s">
        <v>213</v>
      </c>
      <c r="C24" s="29">
        <v>0</v>
      </c>
      <c r="D24" s="29"/>
      <c r="E24" s="34"/>
    </row>
    <row r="25" spans="2:5" ht="15">
      <c r="B25" s="39" t="s">
        <v>214</v>
      </c>
      <c r="C25" s="387">
        <f>IF(C26*0.1&lt;C24,"Exceed 10% Rule","")</f>
      </c>
      <c r="D25" s="387">
        <f>IF(D26*0.1&lt;D24,"Exceed 10% Rule","")</f>
      </c>
      <c r="E25" s="45">
        <f>IF(E26*0.1+E57&lt;E24,"Exceed 10% Rule","")</f>
      </c>
    </row>
    <row r="26" spans="2:5" ht="15">
      <c r="B26" s="41" t="s">
        <v>23</v>
      </c>
      <c r="C26" s="392">
        <f>SUM(C8:C24)</f>
        <v>1177</v>
      </c>
      <c r="D26" s="392">
        <f>SUM(D8:D24)</f>
        <v>969</v>
      </c>
      <c r="E26" s="42">
        <f>SUM(E8:E24)</f>
        <v>176</v>
      </c>
    </row>
    <row r="27" spans="2:5" ht="15">
      <c r="B27" s="43" t="s">
        <v>24</v>
      </c>
      <c r="C27" s="392">
        <f>C26+C6</f>
        <v>9259</v>
      </c>
      <c r="D27" s="392">
        <f>D26+D6</f>
        <v>9215</v>
      </c>
      <c r="E27" s="42">
        <f>E26+E6</f>
        <v>7741</v>
      </c>
    </row>
    <row r="28" spans="2:5" ht="15">
      <c r="B28" s="27" t="s">
        <v>25</v>
      </c>
      <c r="C28" s="390"/>
      <c r="D28" s="390"/>
      <c r="E28" s="32"/>
    </row>
    <row r="29" spans="2:5" ht="15">
      <c r="B29" s="37" t="s">
        <v>943</v>
      </c>
      <c r="C29" s="29">
        <f>25+53</f>
        <v>78</v>
      </c>
      <c r="D29" s="29">
        <v>850</v>
      </c>
      <c r="E29" s="34">
        <v>7541</v>
      </c>
    </row>
    <row r="30" spans="2:5" ht="15">
      <c r="B30" s="38" t="s">
        <v>101</v>
      </c>
      <c r="C30" s="29">
        <v>135</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944</v>
      </c>
      <c r="C37" s="29">
        <f>350+450</f>
        <v>800</v>
      </c>
      <c r="D37" s="29">
        <v>800</v>
      </c>
      <c r="E37" s="34">
        <v>1000</v>
      </c>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1013</v>
      </c>
      <c r="D50" s="384">
        <f>SUM(D29:D48)</f>
        <v>1650</v>
      </c>
      <c r="E50" s="47">
        <f>SUM(E29:E43,E45,E47:E48)</f>
        <v>8541</v>
      </c>
      <c r="G50" s="490">
        <f>D51</f>
        <v>7565</v>
      </c>
      <c r="H50" s="491" t="str">
        <f>CONCATENATE("",E1-1," Ending Cash Balance (est.)")</f>
        <v>2012 Ending Cash Balance (est.)</v>
      </c>
      <c r="I50" s="492"/>
      <c r="J50" s="489"/>
    </row>
    <row r="51" spans="2:10" ht="15">
      <c r="B51" s="27" t="s">
        <v>119</v>
      </c>
      <c r="C51" s="385">
        <f>C27-C50</f>
        <v>8246</v>
      </c>
      <c r="D51" s="385">
        <f>SUM(D27-D50)</f>
        <v>7565</v>
      </c>
      <c r="E51" s="33" t="s">
        <v>290</v>
      </c>
      <c r="G51" s="490">
        <f>E26</f>
        <v>176</v>
      </c>
      <c r="H51" s="493" t="str">
        <f>CONCATENATE("",E1," Non-AV Receipts (est.)")</f>
        <v>2013 Non-AV Receipts (est.)</v>
      </c>
      <c r="I51" s="492"/>
      <c r="J51" s="489"/>
    </row>
    <row r="52" spans="2:11" ht="15">
      <c r="B52" s="48" t="str">
        <f>CONCATENATE("",E1-2,"/",E1-1," Budget Authority Amount:")</f>
        <v>2011/2012 Budget Authority Amount:</v>
      </c>
      <c r="C52" s="132">
        <f>inputOth!B46</f>
        <v>8474</v>
      </c>
      <c r="D52" s="161">
        <f>inputPrYr!D16</f>
        <v>8481</v>
      </c>
      <c r="E52" s="33" t="s">
        <v>290</v>
      </c>
      <c r="F52" s="50"/>
      <c r="G52" s="494">
        <f>IF(D56&gt;0,E55,E57)</f>
        <v>800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8541</v>
      </c>
      <c r="H53" s="493" t="str">
        <f>CONCATENATE("Total ",E1," Resources Available")</f>
        <v>Total 2013 Resources Available</v>
      </c>
      <c r="I53" s="492"/>
      <c r="J53" s="489"/>
    </row>
    <row r="54" spans="2:10" ht="15">
      <c r="B54" s="399" t="str">
        <f>CONCATENATE(C72,"     ",D72)</f>
        <v>     </v>
      </c>
      <c r="C54" s="807" t="s">
        <v>624</v>
      </c>
      <c r="D54" s="808"/>
      <c r="E54" s="32">
        <f>E50+E53</f>
        <v>8541</v>
      </c>
      <c r="G54" s="495"/>
      <c r="H54" s="493"/>
      <c r="I54" s="493"/>
      <c r="J54" s="489"/>
    </row>
    <row r="55" spans="2:10" ht="15">
      <c r="B55" s="399" t="str">
        <f>CONCATENATE(C73,"     ",D73)</f>
        <v>     </v>
      </c>
      <c r="C55" s="60"/>
      <c r="D55" s="52" t="s">
        <v>28</v>
      </c>
      <c r="E55" s="46">
        <f>IF(E54-E27&gt;0,E54-E27,0)</f>
        <v>800</v>
      </c>
      <c r="G55" s="494">
        <f>ROUND(C50*0.05+C50,0)</f>
        <v>1064</v>
      </c>
      <c r="H55" s="493" t="str">
        <f>CONCATENATE("Less ",E1-2," Expenditures + 5%")</f>
        <v>Less 2011 Expenditures + 5%</v>
      </c>
      <c r="I55" s="492"/>
      <c r="J55" s="489"/>
    </row>
    <row r="56" spans="2:10" ht="15">
      <c r="B56" s="52"/>
      <c r="C56" s="403" t="s">
        <v>625</v>
      </c>
      <c r="D56" s="698">
        <f>inputOth!$E$40</f>
        <v>0</v>
      </c>
      <c r="E56" s="32">
        <f>ROUND(IF(D56&gt;0,(E55*D56),0),0)</f>
        <v>0</v>
      </c>
      <c r="G56" s="496">
        <f>G53-G55</f>
        <v>7477</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800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0.985</v>
      </c>
      <c r="H60" s="491" t="str">
        <f>CONCATENATE("",E1," Fund Mill Rate")</f>
        <v>2013 Fund Mill Rate</v>
      </c>
      <c r="I60" s="700"/>
      <c r="J60" s="713"/>
      <c r="K60" s="16"/>
    </row>
    <row r="61" spans="2:10" ht="15.75">
      <c r="B61" s="52" t="s">
        <v>9</v>
      </c>
      <c r="C61" s="405">
        <f>IF(inputPrYr!D18&gt;0,7,6)</f>
        <v>6</v>
      </c>
      <c r="D61" s="14"/>
      <c r="E61" s="55"/>
      <c r="G61" s="715">
        <f>summ!F18</f>
        <v>1.023</v>
      </c>
      <c r="H61" s="491" t="str">
        <f>CONCATENATE("",E1-1," Fund Mill Rate")</f>
        <v>2012 Fund Mill Rate</v>
      </c>
      <c r="I61" s="700"/>
      <c r="J61" s="713"/>
    </row>
    <row r="62" spans="7:10" ht="15.75">
      <c r="G62" s="716">
        <f>summ!I32</f>
        <v>0.985</v>
      </c>
      <c r="H62" s="491" t="str">
        <f>CONCATENATE("Total ",E1," Mill Rate")</f>
        <v>Total 2013 Mill Rate</v>
      </c>
      <c r="I62" s="700"/>
      <c r="J62" s="713"/>
    </row>
    <row r="63" spans="2:10" ht="15.75">
      <c r="B63" s="12"/>
      <c r="G63" s="715">
        <f>summ!F32</f>
        <v>1.023</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ODESSA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0.985</v>
      </c>
      <c r="H45" s="641" t="str">
        <f>CONCATENATE("Total ",E1," Mill Rate")</f>
        <v>Total 2013 Mill Rate</v>
      </c>
      <c r="I45" s="665"/>
      <c r="J45" s="666"/>
    </row>
    <row r="46" spans="2:10" ht="15.75">
      <c r="B46" s="603" t="s">
        <v>144</v>
      </c>
      <c r="C46" s="608">
        <v>0</v>
      </c>
      <c r="D46" s="605">
        <f>C74</f>
        <v>0</v>
      </c>
      <c r="E46" s="606">
        <f>D74</f>
        <v>0</v>
      </c>
      <c r="F46" s="644"/>
      <c r="G46" s="668">
        <f>summ!F32</f>
        <v>1.023</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0.985</v>
      </c>
      <c r="H85" s="641" t="str">
        <f>CONCATENATE("Total ",E1," Mill Rate")</f>
        <v>Total 2013 Mill Rate</v>
      </c>
      <c r="I85" s="665"/>
      <c r="J85" s="666"/>
    </row>
    <row r="86" spans="7:10" ht="15.75">
      <c r="G86" s="668">
        <f>summ!F32</f>
        <v>1.023</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ODESSA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0.985</v>
      </c>
      <c r="H55" s="491" t="str">
        <f>CONCATENATE("Total ",E1," Mill Rate")</f>
        <v>Total 2013 Mill Rate</v>
      </c>
      <c r="I55" s="700"/>
      <c r="J55" s="713"/>
    </row>
    <row r="56" spans="2:10" ht="15.75">
      <c r="B56" s="72" t="s">
        <v>33</v>
      </c>
      <c r="C56" s="132"/>
      <c r="D56" s="14"/>
      <c r="E56" s="14"/>
      <c r="G56" s="715">
        <f>summ!F32</f>
        <v>1.023</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ODESSA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0.985</v>
      </c>
      <c r="H45" s="641" t="str">
        <f>CONCATENATE("Total ",E1," Mill Rate")</f>
        <v>Total 2013 Mill Rate</v>
      </c>
      <c r="I45" s="665"/>
      <c r="J45" s="666"/>
      <c r="K45" s="591"/>
    </row>
    <row r="46" spans="2:11" ht="15.75">
      <c r="B46" s="27" t="s">
        <v>118</v>
      </c>
      <c r="C46" s="29"/>
      <c r="D46" s="390">
        <f>C74</f>
        <v>0</v>
      </c>
      <c r="E46" s="32">
        <f>D74</f>
        <v>0</v>
      </c>
      <c r="G46" s="668">
        <f>summ!F32</f>
        <v>1.023</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0.985</v>
      </c>
      <c r="H85" s="641" t="str">
        <f>CONCATENATE("Total ",E1," Mill Rate")</f>
        <v>Total 2013 Mill Rate</v>
      </c>
      <c r="I85" s="665"/>
      <c r="J85" s="666"/>
      <c r="K85" s="591"/>
    </row>
    <row r="86" spans="7:11" ht="15.75">
      <c r="G86" s="668">
        <f>summ!F32</f>
        <v>1.023</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ODESSA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0.985</v>
      </c>
      <c r="H45" s="641" t="str">
        <f>CONCATENATE("Total ",E1," Mill Rate")</f>
        <v>Total 2013 Mill Rate</v>
      </c>
      <c r="I45" s="665"/>
      <c r="J45" s="666"/>
      <c r="K45" s="591"/>
    </row>
    <row r="46" spans="2:11" ht="15.75">
      <c r="B46" s="27" t="s">
        <v>118</v>
      </c>
      <c r="C46" s="29"/>
      <c r="D46" s="390">
        <f>C74</f>
        <v>0</v>
      </c>
      <c r="E46" s="32">
        <f>D74</f>
        <v>0</v>
      </c>
      <c r="G46" s="668">
        <f>summ!F32</f>
        <v>1.023</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0.985</v>
      </c>
      <c r="H85" s="641" t="str">
        <f>CONCATENATE("Total ",E1," Mill Rate")</f>
        <v>Total 2013 Mill Rate</v>
      </c>
      <c r="I85" s="665"/>
      <c r="J85" s="666"/>
      <c r="K85" s="591"/>
    </row>
    <row r="86" spans="7:11" ht="15.75">
      <c r="G86" s="668">
        <f>summ!F32</f>
        <v>1.023</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ODESSA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0.985</v>
      </c>
      <c r="H45" s="641" t="str">
        <f>CONCATENATE("Total ",E1," Mill Rate")</f>
        <v>Total 2013 Mill Rate</v>
      </c>
      <c r="I45" s="665"/>
      <c r="J45" s="666"/>
      <c r="K45" s="591"/>
    </row>
    <row r="46" spans="2:11" ht="15.75">
      <c r="B46" s="27" t="s">
        <v>118</v>
      </c>
      <c r="C46" s="29"/>
      <c r="D46" s="390">
        <f>C74</f>
        <v>0</v>
      </c>
      <c r="E46" s="32">
        <f>D74</f>
        <v>0</v>
      </c>
      <c r="G46" s="668">
        <f>summ!F32</f>
        <v>1.023</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0.985</v>
      </c>
      <c r="H85" s="641" t="str">
        <f>CONCATENATE("Total ",E1," Mill Rate")</f>
        <v>Total 2013 Mill Rate</v>
      </c>
      <c r="I85" s="665"/>
      <c r="J85" s="666"/>
      <c r="K85" s="591"/>
    </row>
    <row r="86" spans="7:11" ht="15.75">
      <c r="G86" s="668">
        <f>summ!F32</f>
        <v>1.023</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ODESSA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ODESSA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8">
      <selection activeCell="E70" sqref="E7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937</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8481</v>
      </c>
      <c r="E16" s="187">
        <v>800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800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8481</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1.027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1.027</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800</v>
      </c>
    </row>
    <row r="55" spans="1:5" ht="15">
      <c r="A55" s="327" t="str">
        <f>CONCATENATE("Assessed Valuation (",D5-2," budget column)")</f>
        <v>Assessed Valuation (2011 budget column)</v>
      </c>
      <c r="B55" s="328"/>
      <c r="C55" s="267"/>
      <c r="D55" s="28"/>
      <c r="E55" s="187">
        <v>778738</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9"/>
      <c r="D2" s="779"/>
      <c r="E2" s="779"/>
      <c r="F2" s="779"/>
      <c r="G2" s="779"/>
      <c r="H2" s="779"/>
      <c r="I2" s="779"/>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7" t="str">
        <f>inputPrYr!D2</f>
        <v>ODESSA TOWNSHIP</v>
      </c>
      <c r="C5" s="777"/>
      <c r="D5" s="777"/>
      <c r="E5" s="777"/>
      <c r="F5" s="777"/>
      <c r="G5" s="777"/>
      <c r="H5" s="777"/>
      <c r="I5" s="777"/>
    </row>
    <row r="6" spans="2:9" ht="15">
      <c r="B6" s="777" t="str">
        <f>inputPrYr!D3</f>
        <v>JEWELL COUNTY</v>
      </c>
      <c r="C6" s="777"/>
      <c r="D6" s="777"/>
      <c r="E6" s="777"/>
      <c r="F6" s="777"/>
      <c r="G6" s="777"/>
      <c r="H6" s="777"/>
      <c r="I6" s="777"/>
    </row>
    <row r="7" spans="2:9" ht="15">
      <c r="B7" s="844" t="str">
        <f>CONCATENATE("will meet on ",inputBudSum!B8," at ",inputBudSum!B10," at ",inputBudSum!B12," for the purpose of hearing and")</f>
        <v>will meet on July 31, 2012 at 8:00 p.m. at Marion Atwood Residence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1013</v>
      </c>
      <c r="D18" s="530">
        <f>IF(inputPrYr!D42&gt;0,inputPrYr!D42,"  ")</f>
        <v>1.027</v>
      </c>
      <c r="E18" s="32">
        <f>IF(gen!$D$50&lt;&gt;0,gen!$D$50,"  ")</f>
        <v>1650</v>
      </c>
      <c r="F18" s="235">
        <f>IF(inputOth!D17&gt;0,inputOth!D17,"  ")</f>
        <v>1.023</v>
      </c>
      <c r="G18" s="32">
        <f>IF(gen!$E$50&lt;&gt;0,gen!$E$50,"  ")</f>
        <v>8541</v>
      </c>
      <c r="H18" s="32">
        <f>IF(gen!$E$57&lt;&gt;0,gen!$E$57," ")</f>
        <v>800</v>
      </c>
      <c r="I18" s="532">
        <f>IF(gen!E57&gt;0,ROUND(H18/$G$37*1000,3)," ")</f>
        <v>0.985</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813</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1.023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31</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1013</v>
      </c>
      <c r="D32" s="482">
        <f t="shared" si="0"/>
        <v>1.027</v>
      </c>
      <c r="E32" s="533">
        <f t="shared" si="0"/>
        <v>1650</v>
      </c>
      <c r="F32" s="482">
        <f t="shared" si="0"/>
        <v>1.023</v>
      </c>
      <c r="G32" s="533">
        <f t="shared" si="0"/>
        <v>8541</v>
      </c>
      <c r="H32" s="533">
        <f t="shared" si="0"/>
        <v>800</v>
      </c>
      <c r="I32" s="536">
        <f t="shared" si="0"/>
        <v>0.985</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1013</v>
      </c>
      <c r="D34" s="14"/>
      <c r="E34" s="534">
        <f>E32-E33</f>
        <v>1650</v>
      </c>
      <c r="F34" s="14"/>
      <c r="G34" s="534">
        <f>G32-G33</f>
        <v>8541</v>
      </c>
      <c r="H34" s="14"/>
      <c r="I34" s="14"/>
      <c r="K34" s="513" t="str">
        <f>CONCATENATE("",I1," Ad Valorem Tax Revenue:")</f>
        <v>2013 Ad Valorem Tax Revenue:</v>
      </c>
      <c r="L34" s="507"/>
      <c r="M34" s="507"/>
      <c r="N34" s="508">
        <f>H32</f>
        <v>800</v>
      </c>
    </row>
    <row r="35" spans="2:14" ht="15.75" thickTop="1">
      <c r="B35" s="274" t="s">
        <v>46</v>
      </c>
      <c r="C35" s="535">
        <f>inputPrYr!E54</f>
        <v>800</v>
      </c>
      <c r="D35" s="61"/>
      <c r="E35" s="535">
        <f>inputPrYr!E26</f>
        <v>800</v>
      </c>
      <c r="F35" s="14"/>
      <c r="G35" s="526" t="s">
        <v>290</v>
      </c>
      <c r="H35" s="14"/>
      <c r="I35" s="14"/>
      <c r="K35" s="513" t="str">
        <f>CONCATENATE("",I1-1," Ad Valorem Tax Revenue:")</f>
        <v>2012 Ad Valorem Tax Revenue:</v>
      </c>
      <c r="L35" s="507"/>
      <c r="M35" s="507"/>
      <c r="N35" s="521">
        <f>ROUND(G37*N27/1000,0)</f>
        <v>831</v>
      </c>
    </row>
    <row r="36" spans="2:14" ht="15">
      <c r="B36" s="274" t="s">
        <v>47</v>
      </c>
      <c r="C36" s="55"/>
      <c r="D36" s="61"/>
      <c r="E36" s="55"/>
      <c r="F36" s="61"/>
      <c r="G36" s="14"/>
      <c r="H36" s="14"/>
      <c r="I36" s="14"/>
      <c r="K36" s="518" t="s">
        <v>718</v>
      </c>
      <c r="L36" s="519"/>
      <c r="M36" s="519"/>
      <c r="N36" s="511">
        <f>N34-N35</f>
        <v>-31</v>
      </c>
    </row>
    <row r="37" spans="2:14" ht="15">
      <c r="B37" s="274" t="s">
        <v>48</v>
      </c>
      <c r="C37" s="32">
        <f>inputPrYr!E55</f>
        <v>778738</v>
      </c>
      <c r="D37" s="14"/>
      <c r="E37" s="32">
        <f>inputOth!E29</f>
        <v>782037</v>
      </c>
      <c r="F37" s="14"/>
      <c r="G37" s="32">
        <f>inputOth!E7</f>
        <v>812584</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0.985</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Richard Schlaefli</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ODESSA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812584</v>
      </c>
      <c r="E19" s="14"/>
      <c r="F19" s="129"/>
    </row>
    <row r="20" spans="1:6" ht="15.75">
      <c r="A20" s="14"/>
      <c r="B20" s="14"/>
      <c r="C20" s="14"/>
      <c r="D20" s="14"/>
      <c r="E20" s="14"/>
      <c r="F20" s="129"/>
    </row>
    <row r="21" spans="1:6" ht="15.75">
      <c r="A21" s="14"/>
      <c r="B21" s="847" t="s">
        <v>366</v>
      </c>
      <c r="C21" s="847"/>
      <c r="D21" s="137">
        <f>IF(D19&gt;0,(D19*0.001),"")</f>
        <v>812.5840000000001</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ODESSA TOWNSHIP </v>
      </c>
      <c r="I6">
        <f>CONCATENATE(I7)</f>
      </c>
    </row>
    <row r="7" spans="1:7" ht="15.75">
      <c r="A7" s="853" t="str">
        <f>CONCATENATE("   with respect to financing the ",inputPrYr!D5," annual budget for ",(inputPrYr!D2)," , ",(inputPrYr!D3)," , Kansas.")</f>
        <v>   with respect to financing the 2013 annual budget for ODESSA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ODESSA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ODESSA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ODESSA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ODESSA TOWNSHIP of JEWELL COUNTY, Kansas that is our desire to notify the public of increased property taxes to finance the 2013 ODESSA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ODESSA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ODESSA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8">
      <selection activeCell="B61" sqref="B6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ODESSA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812584</v>
      </c>
    </row>
    <row r="8" spans="1:5" ht="15">
      <c r="A8" s="22" t="str">
        <f>CONCATENATE("New Improvements for ",E1-1,"")</f>
        <v>New Improvements for 2012</v>
      </c>
      <c r="B8" s="19"/>
      <c r="C8" s="19"/>
      <c r="D8" s="19"/>
      <c r="E8" s="283">
        <v>3172</v>
      </c>
    </row>
    <row r="9" spans="1:5" ht="15">
      <c r="A9" s="22" t="str">
        <f>CONCATENATE("Personal Property excluding oil, gas, and mobile homes - ",E1-1,"")</f>
        <v>Personal Property excluding oil, gas, and mobile homes - 2012</v>
      </c>
      <c r="B9" s="19"/>
      <c r="C9" s="19"/>
      <c r="D9" s="19"/>
      <c r="E9" s="283">
        <v>22704</v>
      </c>
    </row>
    <row r="10" spans="1:5" ht="15">
      <c r="A10" s="22" t="str">
        <f>CONCATENATE("Property that has changed in use for ",E1-1,"")</f>
        <v>Property that has changed in use for 2012</v>
      </c>
      <c r="B10" s="19"/>
      <c r="C10" s="19"/>
      <c r="D10" s="19"/>
      <c r="E10" s="283">
        <v>324</v>
      </c>
    </row>
    <row r="11" spans="1:5" ht="15">
      <c r="A11" s="22" t="str">
        <f>CONCATENATE("Personal Property excluding oil, gas, and mobile homes- ",E1-2,"")</f>
        <v>Personal Property excluding oil, gas, and mobile homes- 2011</v>
      </c>
      <c r="B11" s="19"/>
      <c r="C11" s="19"/>
      <c r="D11" s="19"/>
      <c r="E11" s="283">
        <v>18227</v>
      </c>
    </row>
    <row r="12" spans="1:5" ht="15">
      <c r="A12" s="22" t="str">
        <f>CONCATENATE("Gross earnings (intangible) tax estimate for ",E1,"")</f>
        <v>Gross earnings (intangible) tax estimate for 2013</v>
      </c>
      <c r="B12" s="19"/>
      <c r="C12" s="19"/>
      <c r="D12" s="19"/>
      <c r="E12" s="283">
        <v>136</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1.023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1.023</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782037</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36</v>
      </c>
    </row>
    <row r="33" spans="1:5" ht="15">
      <c r="A33" s="296" t="s">
        <v>277</v>
      </c>
      <c r="B33" s="267"/>
      <c r="C33" s="267"/>
      <c r="D33" s="31"/>
      <c r="E33" s="34">
        <v>0</v>
      </c>
    </row>
    <row r="34" spans="1:5" ht="15">
      <c r="A34" s="296" t="s">
        <v>160</v>
      </c>
      <c r="B34" s="267"/>
      <c r="C34" s="267"/>
      <c r="D34" s="31"/>
      <c r="E34" s="34">
        <v>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8474</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945</v>
      </c>
      <c r="C4" s="720"/>
      <c r="J4" s="721" t="s">
        <v>844</v>
      </c>
    </row>
    <row r="5" spans="1:10" ht="15.75">
      <c r="A5" s="478"/>
      <c r="B5" s="720"/>
      <c r="J5" s="721" t="s">
        <v>845</v>
      </c>
    </row>
    <row r="6" spans="1:10" ht="15.75">
      <c r="A6" s="478" t="s">
        <v>840</v>
      </c>
      <c r="B6" s="359" t="s">
        <v>941</v>
      </c>
      <c r="J6" s="721" t="s">
        <v>846</v>
      </c>
    </row>
    <row r="7" spans="1:10" ht="15.75">
      <c r="A7" s="356"/>
      <c r="B7" s="356"/>
      <c r="C7" s="356"/>
      <c r="D7" s="358"/>
      <c r="E7" s="356"/>
      <c r="F7" s="356"/>
      <c r="J7" s="721" t="s">
        <v>847</v>
      </c>
    </row>
    <row r="8" spans="1:10" ht="15.75">
      <c r="A8" s="357" t="s">
        <v>373</v>
      </c>
      <c r="B8" s="359" t="s">
        <v>938</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21, 2012</v>
      </c>
      <c r="E9" s="356"/>
      <c r="F9" s="356"/>
      <c r="J9" s="721" t="s">
        <v>849</v>
      </c>
    </row>
    <row r="10" spans="1:10" ht="15.75">
      <c r="A10" s="357" t="s">
        <v>374</v>
      </c>
      <c r="B10" s="359" t="s">
        <v>939</v>
      </c>
      <c r="C10" s="363"/>
      <c r="D10" s="357"/>
      <c r="E10" s="356"/>
      <c r="F10" s="356"/>
      <c r="J10" s="721" t="s">
        <v>850</v>
      </c>
    </row>
    <row r="11" spans="1:10" ht="15.75">
      <c r="A11" s="357"/>
      <c r="B11" s="357"/>
      <c r="C11" s="357"/>
      <c r="D11" s="357"/>
      <c r="E11" s="356"/>
      <c r="F11" s="356"/>
      <c r="J11" s="721" t="s">
        <v>851</v>
      </c>
    </row>
    <row r="12" spans="1:10" ht="15.75">
      <c r="A12" s="357" t="s">
        <v>375</v>
      </c>
      <c r="B12" s="364" t="s">
        <v>940</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41111</v>
      </c>
    </row>
    <row r="22" spans="1:7" ht="15.75">
      <c r="A22" s="357" t="s">
        <v>374</v>
      </c>
      <c r="B22" s="357" t="s">
        <v>379</v>
      </c>
      <c r="C22" s="357"/>
      <c r="D22" s="357"/>
      <c r="E22" s="357"/>
      <c r="G22" s="724">
        <f>IF(B8="","",MONTH(G21))</f>
        <v>7</v>
      </c>
    </row>
    <row r="23" spans="1:7" ht="15.75">
      <c r="A23" s="357"/>
      <c r="B23" s="357"/>
      <c r="C23" s="357"/>
      <c r="D23" s="357"/>
      <c r="E23" s="357"/>
      <c r="G23" s="725">
        <f>IF(B8="","",DAY(G21))</f>
        <v>21</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90" zoomScaleNormal="90" zoomScalePageLayoutView="0" workbookViewId="0" topLeftCell="A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0" t="s">
        <v>70</v>
      </c>
      <c r="C1" s="780"/>
      <c r="D1" s="780"/>
      <c r="E1" s="780"/>
      <c r="F1" s="780"/>
      <c r="G1" s="780"/>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ODESSA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
      <c r="B12" s="22"/>
      <c r="D12" s="66"/>
      <c r="E12" s="255" t="s">
        <v>278</v>
      </c>
      <c r="F12" s="781" t="str">
        <f>CONCATENATE("Amount of ",H1-1," Ad Valorem Tax")</f>
        <v>Amount of 2012 Ad Valorem Tax</v>
      </c>
      <c r="G12" s="23" t="s">
        <v>279</v>
      </c>
    </row>
    <row r="13" spans="4:7" s="14" customFormat="1" ht="15">
      <c r="D13" s="23" t="s">
        <v>280</v>
      </c>
      <c r="E13" s="528" t="s">
        <v>209</v>
      </c>
      <c r="F13" s="782"/>
      <c r="G13" s="156" t="s">
        <v>281</v>
      </c>
    </row>
    <row r="14" spans="2:7" s="14" customFormat="1" ht="15">
      <c r="B14" s="71" t="s">
        <v>282</v>
      </c>
      <c r="C14" s="20"/>
      <c r="D14" s="26" t="s">
        <v>283</v>
      </c>
      <c r="E14" s="529" t="s">
        <v>720</v>
      </c>
      <c r="F14" s="78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8541</v>
      </c>
      <c r="F21" s="732">
        <f>IF(gen!$E$57&lt;&gt;0,gen!$E$57,0)</f>
        <v>800</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8541</v>
      </c>
      <c r="F35" s="734">
        <f>SUM(F21:F30)</f>
        <v>800</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8" t="s">
        <v>293</v>
      </c>
      <c r="F54" s="779"/>
      <c r="G54" s="77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ODESSA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80"/>
      <c r="C3" s="780"/>
      <c r="D3" s="780"/>
      <c r="E3" s="780"/>
      <c r="F3" s="780"/>
      <c r="G3" s="780"/>
      <c r="H3" s="780"/>
      <c r="I3" s="780"/>
      <c r="J3" s="780"/>
    </row>
    <row r="4" spans="1:10" ht="15">
      <c r="A4" s="14"/>
      <c r="B4" s="14"/>
      <c r="C4" s="14"/>
      <c r="D4" s="14"/>
      <c r="E4" s="780"/>
      <c r="F4" s="780"/>
      <c r="G4" s="78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800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800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3172</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22704</v>
      </c>
      <c r="F14" s="246"/>
      <c r="G14" s="55"/>
      <c r="H14" s="55"/>
      <c r="I14" s="53"/>
      <c r="J14" s="55"/>
    </row>
    <row r="15" spans="1:10" ht="15">
      <c r="A15" s="245"/>
      <c r="B15" s="14" t="s">
        <v>87</v>
      </c>
      <c r="C15" s="14" t="str">
        <f>CONCATENATE("Personal Property ",J1-2,"")</f>
        <v>Personal Property 2011</v>
      </c>
      <c r="D15" s="245" t="s">
        <v>82</v>
      </c>
      <c r="E15" s="249">
        <f>inputOth!E11</f>
        <v>18227</v>
      </c>
      <c r="F15" s="246"/>
      <c r="G15" s="53"/>
      <c r="H15" s="53"/>
      <c r="I15" s="55"/>
      <c r="J15" s="55"/>
    </row>
    <row r="16" spans="1:10" ht="15">
      <c r="A16" s="245"/>
      <c r="B16" s="14" t="s">
        <v>88</v>
      </c>
      <c r="C16" s="14" t="s">
        <v>108</v>
      </c>
      <c r="D16" s="14"/>
      <c r="E16" s="55"/>
      <c r="F16" s="55" t="s">
        <v>15</v>
      </c>
      <c r="G16" s="247">
        <f>IF(E14&gt;E15,E14-E15,0)</f>
        <v>4477</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324</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7973</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812584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804611</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0.009909136216134257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8</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808</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808</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ODESSA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800</v>
      </c>
      <c r="E11" s="131">
        <f>IF(inputOth!D17&gt;0,inputOth!D17,"  ")</f>
        <v>1.023</v>
      </c>
      <c r="F11" s="727"/>
      <c r="G11" s="161">
        <f>IF(inputPrYr!E16=0,0,G23-SUM(G12:G20))</f>
        <v>36</v>
      </c>
      <c r="H11" s="728"/>
      <c r="I11" s="161">
        <f>IF(inputPrYr!E16=0,0,I25-SUM(I12:I20))</f>
        <v>0</v>
      </c>
      <c r="J11" s="161">
        <f>IF(inputPrYr!E16=0,0,J27-SUM(J12:J20))</f>
        <v>4</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800</v>
      </c>
      <c r="E21" s="730">
        <f>SUM(E11:E20)</f>
        <v>1.023</v>
      </c>
      <c r="F21" s="731"/>
      <c r="G21" s="729">
        <f>SUM(G11:G20)</f>
        <v>36</v>
      </c>
      <c r="H21" s="729"/>
      <c r="I21" s="729">
        <f>SUM(I11:I20)</f>
        <v>0</v>
      </c>
      <c r="J21" s="729">
        <f>SUM(J11:J20)</f>
        <v>4</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36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0.045</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ODESSA TOWNSHIP</v>
      </c>
      <c r="B2" s="88"/>
      <c r="C2" s="14"/>
      <c r="D2" s="14"/>
      <c r="E2" s="52"/>
      <c r="F2" s="14"/>
    </row>
    <row r="3" spans="1:6" ht="15">
      <c r="A3" s="13"/>
      <c r="B3" s="88"/>
      <c r="C3" s="14"/>
      <c r="D3" s="14"/>
      <c r="E3" s="52"/>
      <c r="F3" s="14"/>
    </row>
    <row r="4" spans="1:6" ht="1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2012-07-12T14:09:21Z</cp:lastPrinted>
  <dcterms:created xsi:type="dcterms:W3CDTF">1998-08-26T16:30:41Z</dcterms:created>
  <dcterms:modified xsi:type="dcterms:W3CDTF">2012-07-12T14:09:26Z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