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<sst xmlns="http://schemas.openxmlformats.org/spreadsheetml/2006/main" count="1565" uniqueCount="948">
  <si>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</si>
  <si>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</si>
  <si>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</si>
  <si>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</si>
  <si>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</si>
  <si>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</si>
  <si>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</si>
  <si>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</si>
  <si>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</si>
  <si>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</si>
  <si>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</si>
  <si>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</si>
  <si>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</si>
  <si>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</si>
  <si>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</si>
  <si>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</si>
  <si>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</si>
  <si>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</si>
  <si>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</si>
  <si>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</si>
  <si>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</si>
  <si>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</si>
  <si>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</si>
  <si>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</si>
  <si>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</si>
  <si>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</si>
  <si>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</si>
  <si>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</si>
  <si>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</si>
  <si>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</si>
  <si>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</si>
  <si>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</si>
  <si>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</si>
  <si>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</si>
  <si>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</si>
  <si>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</si>
  <si>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</si>
  <si>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</si>
  <si>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</si>
  <si>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</si>
  <si>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</si>
  <si>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</si>
  <si>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</si>
  <si>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</si>
  <si>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</si>
  <si>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</si>
  <si>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</si>
  <si>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</si>
  <si>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</si>
  <si>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</si>
  <si>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</si>
  <si>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</si>
  <si>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</si>
  <si>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</si>
  <si>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</si>
  <si>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</si>
  <si>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</si>
  <si>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</si>
  <si>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</si>
  <si>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</si>
  <si>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</si>
  <si>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</si>
  <si>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</si>
  <si>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</si>
  <si>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</si>
  <si>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</si>
  <si>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</si>
  <si>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</si>
  <si>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</si>
  <si>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</si>
  <si>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</si>
  <si>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</si>
  <si>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</si>
  <si>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</si>
  <si>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</si>
  <si>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</si>
  <si>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</si>
  <si>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</si>
  <si>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</si>
  <si>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</si>
  <si>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</si>
  <si>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</si>
  <si>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</si>
  <si>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</si>
  <si>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</si>
  <si>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</si>
  <si>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</si>
  <si>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</si>
  <si>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</si>
  <si>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</si>
  <si>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</si>
  <si>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</si>
  <si>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</si>
  <si>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</si>
  <si>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</si>
  <si>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</si>
  <si>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</si>
  <si>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</si>
  <si>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</si>
  <si>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</si>
  <si>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</si>
  <si>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</si>
  <si>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</si>
  <si>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</si>
  <si>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</si>
  <si>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</si>
  <si>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</si>
  <si>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</si>
  <si>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</si>
  <si>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</si>
  <si>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</si>
  <si>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</si>
  <si>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</si>
  <si>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</si>
  <si>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</si>
  <si>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</si>
  <si>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</si>
  <si>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</si>
  <si>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</si>
  <si>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</si>
  <si>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</si>
  <si>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</si>
  <si>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</si>
  <si>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</si>
  <si>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</si>
  <si>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</si>
  <si>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</si>
  <si>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</si>
  <si>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</si>
  <si>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</si>
  <si>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</si>
  <si>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</si>
  <si>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</si>
  <si>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</si>
  <si>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</si>
  <si>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</si>
  <si>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</si>
  <si>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</si>
  <si>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</si>
  <si>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</si>
  <si>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</si>
  <si>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</si>
  <si>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</si>
  <si>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</si>
  <si>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</si>
  <si>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</si>
  <si>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</si>
  <si>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</si>
  <si>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</si>
  <si>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</si>
  <si>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</si>
  <si>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</si>
  <si>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</si>
  <si>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</si>
  <si>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</si>
  <si>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</si>
  <si>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</si>
  <si>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</si>
  <si>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</si>
  <si>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</si>
  <si>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</si>
  <si>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</si>
  <si>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</si>
  <si>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</si>
  <si>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</si>
  <si>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</si>
  <si>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</si>
  <si>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</si>
  <si>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</si>
  <si>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</si>
  <si>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</si>
  <si>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</si>
  <si>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</si>
  <si>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</si>
  <si>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</si>
  <si>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</si>
  <si>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</si>
  <si>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</si>
  <si>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</si>
  <si>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</si>
  <si>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</si>
  <si>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</si>
  <si>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</si>
  <si>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</si>
  <si>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</si>
  <si>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</si>
  <si>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</si>
  <si>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</si>
  <si>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</si>
  <si>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</si>
  <si>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</si>
  <si>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</si>
  <si>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</si>
  <si>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</si>
  <si>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</si>
  <si>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</si>
  <si>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</si>
  <si>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</si>
  <si>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</si>
  <si>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</si>
  <si>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</si>
  <si>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</si>
  <si>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</si>
  <si>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</si>
  <si>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</si>
  <si>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</si>
  <si>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</si>
  <si>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</si>
  <si>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</si>
  <si>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</si>
  <si>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</si>
  <si>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</si>
  <si>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</si>
  <si>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</si>
  <si>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</si>
  <si>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</si>
  <si>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</si>
  <si>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</si>
  <si>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</si>
  <si>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</si>
  <si>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</si>
  <si>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</si>
  <si>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</si>
  <si>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</si>
  <si>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</si>
  <si>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</si>
  <si>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</si>
  <si>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</si>
  <si>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</si>
  <si>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</si>
  <si>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</si>
  <si>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</si>
  <si>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</si>
  <si>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</si>
  <si>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</si>
  <si>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</si>
  <si>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</si>
  <si>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</si>
  <si>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</si>
  <si>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</si>
  <si>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</si>
  <si>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</si>
  <si>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</si>
  <si>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</si>
  <si>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</si>
  <si>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</si>
  <si>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</si>
  <si>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</si>
  <si>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</si>
  <si>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</si>
  <si>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</si>
  <si>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</si>
  <si>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</si>
  <si>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</si>
  <si>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</si>
  <si>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</si>
  <si>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</si>
  <si>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</si>
  <si>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</si>
  <si>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</si>
  <si>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</si>
  <si>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</si>
  <si>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</si>
  <si>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</si>
  <si>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</si>
  <si>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</si>
  <si>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</si>
  <si>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</si>
  <si>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</si>
  <si>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</si>
  <si>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</si>
  <si>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</si>
  <si>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</si>
  <si>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</si>
  <si>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</si>
  <si>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</si>
  <si>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</si>
  <si>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</si>
  <si>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</si>
  <si>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</si>
  <si>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</si>
  <si>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</si>
  <si>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</si>
  <si>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</si>
  <si>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</si>
  <si>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</si>
  <si>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</si>
  <si>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</si>
  <si>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</si>
  <si>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</si>
  <si>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</si>
  <si>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</si>
  <si>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</si>
  <si>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</si>
  <si>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</si>
  <si>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</si>
  <si>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</si>
  <si>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</si>
  <si>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</si>
  <si>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</si>
  <si>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</si>
  <si>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</si>
  <si>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</si>
  <si>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</si>
  <si>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</si>
  <si>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</si>
  <si>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</si>
  <si>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</si>
  <si>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</si>
  <si>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</si>
  <si>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</si>
  <si>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</si>
  <si>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</si>
  <si>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</si>
  <si>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</si>
  <si>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</si>
  <si>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</si>
  <si>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</si>
  <si>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</si>
  <si>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</si>
  <si>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</si>
  <si>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</si>
  <si>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</si>
  <si>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</si>
  <si>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</si>
  <si>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</si>
  <si>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</si>
  <si>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</si>
  <si>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</si>
  <si>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</si>
  <si>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</si>
  <si>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</si>
  <si>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</si>
  <si>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</si>
  <si>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</si>
  <si>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</si>
  <si>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</si>
  <si>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</si>
  <si>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</si>
  <si>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</si>
  <si>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</si>
  <si>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</si>
  <si>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</si>
  <si>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</si>
  <si>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</si>
  <si>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</si>
  <si>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</si>
  <si>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</si>
  <si>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</si>
  <si>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</si>
  <si>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</si>
  <si>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</si>
  <si>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</si>
  <si>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</si>
  <si>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</si>
  <si>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</si>
  <si>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</si>
  <si>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</si>
  <si>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</si>
  <si>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</si>
  <si>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</si>
  <si>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</si>
  <si>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</si>
  <si>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</si>
  <si>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</si>
  <si>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</si>
  <si>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</si>
  <si>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</si>
  <si>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</si>
  <si>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</si>
  <si>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</si>
  <si>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</si>
  <si>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</si>
  <si>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</si>
  <si>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</si>
  <si>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</si>
  <si>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</si>
  <si>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</si>
  <si>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</si>
  <si>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</si>
  <si>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</si>
  <si>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</si>
  <si>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</si>
  <si>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</si>
  <si>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</si>
  <si>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</si>
  <si>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</si>
  <si>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</si>
  <si>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</si>
  <si>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</si>
  <si>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</si>
  <si>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</si>
  <si>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</si>
  <si>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</si>
  <si>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</si>
  <si>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</si>
  <si>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</si>
  <si>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</si>
  <si>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</si>
  <si>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</si>
  <si>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</si>
  <si>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</si>
  <si>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</si>
  <si>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</si>
  <si>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</si>
  <si>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</si>
  <si>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</si>
  <si>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</si>
  <si>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</si>
  <si>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</si>
  <si>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</si>
  <si>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</si>
  <si>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</si>
  <si>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</si>
  <si>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</si>
  <si>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</si>
  <si>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</si>
  <si>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</si>
  <si>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</si>
  <si>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</si>
  <si>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</si>
  <si>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</si>
  <si>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</si>
  <si>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</si>
  <si>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</si>
  <si>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</si>
  <si>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</si>
  <si>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</si>
  <si>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</si>
  <si>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</si>
  <si>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</si>
  <si>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</si>
  <si>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</si>
  <si>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</si>
  <si>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</si>
  <si>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</si>
  <si>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</si>
  <si>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</si>
  <si>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</si>
  <si>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</si>
  <si>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</si>
  <si>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</si>
  <si>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</si>
  <si>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</si>
  <si>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</si>
  <si>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</si>
  <si>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</si>
  <si>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</si>
  <si>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</si>
  <si>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</si>
  <si>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</si>
  <si>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</si>
  <si>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</si>
  <si>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</si>
  <si>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</si>
  <si>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</si>
  <si>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</si>
  <si>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</si>
  <si>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</si>
  <si>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</si>
  <si>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</si>
  <si>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</si>
  <si>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</si>
  <si>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</si>
  <si>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</si>
  <si>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</si>
  <si>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</si>
  <si>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</si>
  <si>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</si>
  <si>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</si>
  <si>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</si>
  <si>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</si>
  <si>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</si>
  <si>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</si>
  <si>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</si>
  <si>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</si>
  <si>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</si>
  <si>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</si>
  <si>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</si>
  <si>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</si>
  <si>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</si>
  <si>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</si>
  <si>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</si>
  <si>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</si>
  <si>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</si>
  <si>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</si>
  <si>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</si>
  <si>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</si>
  <si>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</si>
  <si>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</si>
  <si>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</si>
  <si>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</si>
  <si>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</si>
  <si>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</si>
  <si>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</si>
  <si>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</si>
  <si>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</si>
  <si>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</si>
  <si>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</si>
  <si>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</si>
  <si>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</si>
  <si>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</si>
  <si>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</si>
  <si>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</si>
  <si>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</si>
  <si>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</si>
  <si>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</si>
  <si>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</si>
  <si>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</si>
  <si>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</si>
  <si>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</si>
  <si>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</si>
  <si>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</si>
  <si>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</si>
  <si>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</si>
  <si>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</si>
  <si>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</si>
  <si>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</si>
  <si>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</si>
  <si>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</si>
  <si>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</si>
  <si>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</si>
  <si>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</si>
  <si>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</si>
  <si>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</si>
  <si>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</si>
  <si>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</si>
  <si>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</si>
  <si>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</si>
  <si>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</si>
  <si>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</si>
  <si>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</si>
  <si>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</si>
  <si>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</si>
  <si>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</si>
  <si>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</si>
  <si>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</si>
  <si>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</si>
  <si>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</si>
  <si>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</si>
  <si>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</si>
  <si>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</si>
  <si>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</si>
  <si>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</si>
  <si>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</si>
  <si>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</si>
  <si>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</si>
  <si>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</si>
  <si>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</si>
  <si>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</si>
  <si>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</si>
  <si>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</si>
  <si>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</si>
  <si>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</si>
  <si>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</si>
  <si>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</si>
  <si>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</si>
  <si>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</si>
  <si>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</si>
  <si>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</si>
  <si>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</si>
  <si>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</si>
  <si>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</si>
  <si>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</si>
  <si>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</si>
  <si>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</si>
  <si>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</si>
  <si>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</si>
  <si>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</si>
  <si>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</si>
  <si>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</si>
  <si>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</si>
  <si>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</si>
  <si>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</si>
  <si>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</si>
  <si>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</si>
  <si>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</si>
  <si>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</si>
  <si>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</si>
  <si>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</si>
  <si>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</si>
  <si>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</si>
  <si>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</si>
  <si>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</si>
  <si>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</si>
  <si>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</si>
  <si>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</si>
  <si>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</si>
  <si>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</si>
  <si>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</si>
  <si>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</si>
  <si>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</si>
  <si>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</si>
  <si>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</si>
  <si>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</si>
  <si>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</si>
  <si>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</si>
  <si>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</si>
  <si>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</si>
  <si>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</si>
  <si>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</si>
  <si>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</si>
  <si>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</si>
  <si>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</si>
  <si>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</si>
  <si>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</si>
  <si>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</si>
  <si>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</si>
  <si>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</si>
  <si>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</si>
  <si>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</si>
  <si>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</si>
  <si>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</si>
  <si>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</si>
  <si>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</si>
  <si>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</si>
  <si>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</si>
  <si>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</si>
  <si>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</si>
  <si>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</si>
  <si>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</si>
  <si>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</si>
  <si>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</si>
  <si>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</si>
  <si>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</si>
  <si>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</si>
  <si>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</si>
  <si>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</si>
  <si>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</si>
  <si>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</si>
  <si>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</si>
  <si>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</si>
  <si>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</si>
  <si>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</si>
  <si>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</si>
  <si>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</si>
  <si>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</si>
  <si>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</si>
  <si>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</si>
  <si>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</si>
  <si>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</si>
  <si>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</si>
  <si>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</si>
  <si>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</si>
  <si>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</si>
  <si>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</si>
  <si>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</si>
  <si>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</si>
  <si>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</si>
  <si>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</si>
  <si>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</si>
  <si>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</si>
  <si>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</si>
  <si>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</si>
  <si>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</si>
  <si>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</si>
  <si>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</si>
  <si>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</si>
  <si>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</si>
  <si>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</si>
  <si>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</si>
  <si>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</si>
  <si>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</si>
  <si>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</si>
  <si>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</si>
  <si>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</si>
  <si>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</si>
  <si>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</si>
  <si>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</si>
  <si>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</si>
  <si>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</si>
  <si>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</si>
  <si>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</si>
  <si>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</si>
  <si>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</si>
  <si>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</si>
  <si>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</si>
  <si>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</si>
  <si>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</si>
  <si>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</si>
  <si>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</si>
  <si>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</si>
  <si>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</si>
  <si>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</si>
  <si>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</si>
  <si>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</si>
  <si>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</si>
  <si>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</si>
  <si>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</si>
  <si>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</si>
  <si>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</si>
  <si>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</si>
  <si>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</si>
  <si>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</si>
  <si>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</si>
  <si>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</si>
  <si>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</si>
  <si>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</si>
  <si>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</si>
  <si>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</si>
  <si>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</si>
  <si>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</si>
  <si>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</si>
  <si>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</si>
  <si>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</si>
  <si>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</si>
  <si>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</si>
  <si>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</si>
  <si>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</si>
  <si>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</si>
  <si>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</si>
  <si>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</si>
  <si>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</si>
  <si>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</si>
  <si>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</si>
  <si>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</si>
  <si>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</si>
  <si>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</si>
  <si>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</si>
  <si>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</si>
  <si>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</si>
  <si>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</si>
  <si>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</si>
  <si>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</si>
  <si>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</si>
  <si>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</si>
  <si>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</si>
  <si>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</si>
  <si>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</si>
  <si>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</si>
  <si>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</si>
  <si>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</si>
  <si>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</si>
  <si>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</si>
  <si>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</si>
  <si>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</si>
  <si>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</si>
  <si>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</si>
  <si>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</si>
  <si>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</si>
  <si>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</si>
  <si>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</si>
  <si>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</si>
  <si>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</si>
  <si>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</si>
  <si>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</si>
  <si>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</si>
  <si>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</si>
  <si>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</si>
  <si>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</si>
  <si>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</si>
  <si>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</si>
  <si>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</si>
  <si>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</si>
  <si>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</si>
  <si>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</si>
  <si>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</si>
  <si>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</si>
  <si>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</si>
  <si>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</si>
  <si>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</si>
  <si>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</si>
  <si>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</si>
  <si>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</si>
  <si>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</si>
  <si>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</si>
  <si>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</si>
  <si>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</si>
  <si>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</si>
  <si>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</si>
  <si>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</si>
  <si>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</si>
  <si>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</si>
  <si>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</si>
  <si>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</si>
  <si>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</si>
  <si>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</si>
  <si>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</si>
  <si>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</si>
  <si>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</si>
  <si>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</si>
  <si>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</si>
  <si>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</si>
  <si>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</si>
  <si>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</si>
  <si>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</si>
  <si>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</si>
  <si>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</si>
  <si>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</si>
  <si>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</si>
  <si>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</si>
  <si>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</si>
  <si>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</si>
  <si>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</si>
  <si>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</si>
  <si>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</si>
  <si>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</si>
  <si>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</si>
  <si>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</si>
  <si>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</si>
  <si>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</si>
  <si>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</si>
  <si>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</si>
  <si>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</si>
  <si>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</si>
  <si>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</si>
  <si>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</si>
  <si>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</si>
  <si>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</si>
  <si>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</si>
  <si>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</si>
  <si>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</si>
  <si>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</si>
  <si>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</si>
  <si>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</si>
  <si>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</si>
  <si>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</si>
  <si>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</si>
  <si>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</si>
  <si>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</si>
  <si>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</si>
  <si>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</si>
  <si>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</si>
  <si>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</si>
  <si>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</si>
  <si>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</si>
  <si>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</si>
  <si>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</si>
  <si>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</si>
  <si>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</si>
  <si>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</si>
  <si>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</si>
  <si>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</si>
  <si>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</si>
  <si>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</si>
  <si>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</si>
  <si>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</si>
  <si>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</si>
  <si>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</si>
  <si>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</si>
  <si>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</si>
  <si>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</si>
  <si>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</si>
  <si>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</si>
  <si>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</si>
  <si>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</si>
  <si>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</si>
  <si>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</si>
  <si>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</si>
  <si>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</si>
  <si>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</si>
  <si>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</si>
  <si>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</si>
  <si>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</si>
  <si>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</si>
  <si>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</si>
  <si>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</si>
  <si>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</si>
  <si>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</si>
  <si>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</si>
  <si>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</si>
  <si>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</si>
  <si>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</si>
  <si>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</si>
  <si>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</si>
  <si>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</si>
  <si>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</si>
  <si>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</si>
  <si>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</si>
  <si>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</si>
  <si>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</si>
  <si>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</si>
  <si>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</si>
  <si>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</si>
  <si>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</si>
  <si>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</si>
  <si>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</si>
  <si>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</si>
  <si>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</si>
  <si>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</si>
  <si>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</si>
  <si>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</si>
  <si>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</si>
  <si>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</si>
  <si>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</si>
  <si>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</si>
  <si>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</si>
  <si>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</si>
  <si>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</si>
  <si>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</si>
  <si>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</si>
  <si>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</si>
  <si>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</si>
  <si>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</si>
  <si>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</si>
  <si>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</si>
  <si>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</si>
  <si>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</si>
  <si>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</si>
  <si>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</si>
  <si>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</si>
  <si>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</si>
  <si>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</si>
  <si>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</si>
  <si>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</si>
  <si>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</si>
  <si>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</si>
  <si>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</si>
  <si>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</si>
  <si>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</si>
  <si>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</si>
  <si>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</si>
  <si>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</si>
  <si>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</si>
  <si>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</si>
  <si>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</si>
  <si>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</si>
  <si>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</si>
  <si>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</si>
  <si>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</si>
  <si>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</si>
  <si>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</si>
  <si>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</si>
  <si>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</si>
  <si>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</si>
  <si>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</si>
  <si>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</si>
  <si>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</si>
  <si>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</si>
  <si>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</si>
  <si>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</si>
  <si>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</si>
  <si>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</si>
  <si>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</si>
  <si>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</si>
  <si>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</si>
  <si>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</si>
  <si>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</si>
  <si>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</si>
  <si>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</si>
  <si>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CALVIN TOWNSHIP</t>
  </si>
  <si>
    <t>Fire</t>
  </si>
  <si>
    <t>Curtis Saint</t>
  </si>
  <si>
    <t>August 15, 2012</t>
  </si>
  <si>
    <t>12:00 NOON</t>
  </si>
  <si>
    <t>Saint Farm, 1537  H Road, Jewell</t>
  </si>
  <si>
    <t>Fire Protection - City of Jewell</t>
  </si>
  <si>
    <t xml:space="preserv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</si>
</sst>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CALVIN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CALVIN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830235</v>
      </c>
      <c r="F27" s="565"/>
      <c r="G27" s="570">
        <f>summ!G37</f>
        <v>839066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CALVIN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919</v>
      </c>
      <c r="D6" s="390">
        <f>C51</f>
        <v>890.21</v>
      </c>
      <c r="E6" s="32">
        <f>D51</f>
        <v>643.21</v>
      </c>
    </row>
    <row r="7" spans="2:5" ht="15">
      <c r="B7" s="27" t="s">
        <v>120</v>
      </c>
      <c r="C7" s="390"/>
      <c r="D7" s="390"/>
      <c r="E7" s="33"/>
    </row>
    <row r="8" spans="2:5" ht="15">
      <c r="B8" s="27" t="s">
        <v>16</v>
      </c>
      <c r="C8" s="29">
        <v>243.21</v>
      </c>
      <c r="D8" s="390">
        <f>IF(inputPrYr!H15&gt;0,inputPrYr!G16,inputPrYr!E16)</f>
        <v>225</v>
      </c>
      <c r="E8" s="33" t="s">
        <v>290</v>
      </c>
    </row>
    <row r="9" spans="2:5" ht="15">
      <c r="B9" s="27" t="s">
        <v>17</v>
      </c>
      <c r="C9" s="29"/>
      <c r="D9" s="29"/>
      <c r="E9" s="34"/>
    </row>
    <row r="10" spans="2:5" ht="15">
      <c r="B10" s="27" t="s">
        <v>18</v>
      </c>
      <c r="C10" s="29">
        <v>31</v>
      </c>
      <c r="D10" s="29">
        <v>22</v>
      </c>
      <c r="E10" s="32">
        <f>mvalloc!G11</f>
        <v>22</v>
      </c>
    </row>
    <row r="11" spans="2:5" ht="15">
      <c r="B11" s="27" t="s">
        <v>19</v>
      </c>
      <c r="C11" s="29">
        <v>1</v>
      </c>
      <c r="D11" s="29">
        <v>0</v>
      </c>
      <c r="E11" s="32">
        <f>mvalloc!I11</f>
        <v>0</v>
      </c>
    </row>
    <row r="12" spans="2:5" ht="15">
      <c r="B12" s="35" t="s">
        <v>69</v>
      </c>
      <c r="C12" s="29">
        <v>5</v>
      </c>
      <c r="D12" s="29">
        <v>6</v>
      </c>
      <c r="E12" s="32">
        <f>mvalloc!J11</f>
        <v>6</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280.21000000000004</v>
      </c>
      <c r="D26" s="392">
        <f>SUM(D8:D24)</f>
        <v>253</v>
      </c>
      <c r="E26" s="42">
        <f>SUM(E8:E24)</f>
        <v>28</v>
      </c>
    </row>
    <row r="27" spans="2:5" ht="15">
      <c r="B27" s="43" t="s">
        <v>24</v>
      </c>
      <c r="C27" s="392">
        <f>C26+C6</f>
        <v>1199.21</v>
      </c>
      <c r="D27" s="392">
        <f>D26+D6</f>
        <v>1143.21</v>
      </c>
      <c r="E27" s="42">
        <f>E26+E6</f>
        <v>671.21</v>
      </c>
    </row>
    <row r="28" spans="2:5" ht="15">
      <c r="B28" s="27" t="s">
        <v>25</v>
      </c>
      <c r="C28" s="390"/>
      <c r="D28" s="390"/>
      <c r="E28" s="32"/>
    </row>
    <row r="29" spans="2:5" ht="15">
      <c r="B29" s="37" t="s">
        <v>937</v>
      </c>
      <c r="C29" s="29">
        <f>54.5+56.5+25</f>
        <v>136</v>
      </c>
      <c r="D29" s="29">
        <v>350</v>
      </c>
      <c r="E29" s="34">
        <v>746</v>
      </c>
    </row>
    <row r="30" spans="2:5" ht="15">
      <c r="B30" s="38" t="s">
        <v>101</v>
      </c>
      <c r="C30" s="29">
        <v>150</v>
      </c>
      <c r="D30" s="29">
        <v>150</v>
      </c>
      <c r="E30" s="34">
        <v>150</v>
      </c>
    </row>
    <row r="31" spans="2:5" ht="15">
      <c r="B31" s="38" t="s">
        <v>125</v>
      </c>
      <c r="C31" s="29"/>
      <c r="D31" s="29"/>
      <c r="E31" s="34"/>
    </row>
    <row r="32" spans="2:5" ht="15">
      <c r="B32" s="38" t="s">
        <v>102</v>
      </c>
      <c r="C32" s="29"/>
      <c r="D32" s="29"/>
      <c r="E32" s="34"/>
    </row>
    <row r="33" spans="2:5" ht="15">
      <c r="B33" s="38" t="s">
        <v>36</v>
      </c>
      <c r="C33" s="29">
        <v>23</v>
      </c>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c r="D37" s="29"/>
      <c r="E37" s="34"/>
    </row>
    <row r="38" spans="2:5" ht="15">
      <c r="B38" s="37" t="s">
        <v>278</v>
      </c>
      <c r="C38" s="29" t="s">
        <v>947</v>
      </c>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309</v>
      </c>
      <c r="D50" s="384">
        <f>SUM(D29:D48)</f>
        <v>500</v>
      </c>
      <c r="E50" s="47">
        <f>SUM(E29:E43,E45,E47:E48)</f>
        <v>896</v>
      </c>
      <c r="G50" s="490">
        <f>D51</f>
        <v>643.21</v>
      </c>
      <c r="H50" s="491" t="str">
        <f>CONCATENATE("",E1-1," Ending Cash Balance (est.)")</f>
        <v>2012 Ending Cash Balance (est.)</v>
      </c>
      <c r="I50" s="492"/>
      <c r="J50" s="489"/>
    </row>
    <row r="51" spans="2:10" ht="15">
      <c r="B51" s="27" t="s">
        <v>119</v>
      </c>
      <c r="C51" s="385">
        <f>C27-C50</f>
        <v>890.21</v>
      </c>
      <c r="D51" s="385">
        <f>SUM(D27-D50)</f>
        <v>643.21</v>
      </c>
      <c r="E51" s="33" t="s">
        <v>290</v>
      </c>
      <c r="G51" s="490">
        <f>E26</f>
        <v>28</v>
      </c>
      <c r="H51" s="493" t="str">
        <f>CONCATENATE("",E1," Non-AV Receipts (est.)")</f>
        <v>2013 Non-AV Receipts (est.)</v>
      </c>
      <c r="I51" s="492"/>
      <c r="J51" s="489"/>
    </row>
    <row r="52" spans="2:11" ht="15">
      <c r="B52" s="48" t="str">
        <f>CONCATENATE("",E1-2,"/",E1-1," Budget Authority Amount:")</f>
        <v>2011/2012 Budget Authority Amount:</v>
      </c>
      <c r="C52" s="132">
        <f>inputOth!B46</f>
        <v>864</v>
      </c>
      <c r="D52" s="161">
        <f>inputPrYr!D16</f>
        <v>1162</v>
      </c>
      <c r="E52" s="33" t="s">
        <v>290</v>
      </c>
      <c r="F52" s="50"/>
      <c r="G52" s="494">
        <f>IF(D56&gt;0,E55,E57)</f>
        <v>224.78999999999996</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896</v>
      </c>
      <c r="H53" s="493" t="str">
        <f>CONCATENATE("Total ",E1," Resources Available")</f>
        <v>Total 2013 Resources Available</v>
      </c>
      <c r="I53" s="492"/>
      <c r="J53" s="489"/>
    </row>
    <row r="54" spans="2:10" ht="15">
      <c r="B54" s="399" t="str">
        <f>CONCATENATE(C72,"     ",D72)</f>
        <v>     </v>
      </c>
      <c r="C54" s="807" t="s">
        <v>624</v>
      </c>
      <c r="D54" s="808"/>
      <c r="E54" s="32">
        <f>E50+E53</f>
        <v>896</v>
      </c>
      <c r="G54" s="495"/>
      <c r="H54" s="493"/>
      <c r="I54" s="493"/>
      <c r="J54" s="489"/>
    </row>
    <row r="55" spans="2:10" ht="15">
      <c r="B55" s="399" t="str">
        <f>CONCATENATE(C73,"     ",D73)</f>
        <v>     </v>
      </c>
      <c r="C55" s="60"/>
      <c r="D55" s="52" t="s">
        <v>28</v>
      </c>
      <c r="E55" s="46">
        <f>IF(E54-E27&gt;0,E54-E27,0)</f>
        <v>224.78999999999996</v>
      </c>
      <c r="G55" s="494">
        <f>ROUND(C50*0.05+C50,0)</f>
        <v>324</v>
      </c>
      <c r="H55" s="493" t="str">
        <f>CONCATENATE("Less ",E1-2," Expenditures + 5%")</f>
        <v>Less 2011 Expenditures + 5%</v>
      </c>
      <c r="I55" s="492"/>
      <c r="J55" s="489"/>
    </row>
    <row r="56" spans="2:10" ht="15">
      <c r="B56" s="52"/>
      <c r="C56" s="403" t="s">
        <v>625</v>
      </c>
      <c r="D56" s="698">
        <f>inputOth!$E$40</f>
        <v>0</v>
      </c>
      <c r="E56" s="32">
        <f>ROUND(IF(D56&gt;0,(E55*D56),0),0)</f>
        <v>0</v>
      </c>
      <c r="G56" s="496">
        <f>G53-G55</f>
        <v>572</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224.78999999999996</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0.268</v>
      </c>
      <c r="H60" s="491" t="str">
        <f>CONCATENATE("",E1," Fund Mill Rate")</f>
        <v>2013 Fund Mill Rate</v>
      </c>
      <c r="I60" s="700"/>
      <c r="J60" s="713"/>
      <c r="K60" s="16"/>
    </row>
    <row r="61" spans="2:10" ht="15.75">
      <c r="B61" s="52" t="s">
        <v>9</v>
      </c>
      <c r="C61" s="405">
        <f>IF(inputPrYr!D18&gt;0,7,6)</f>
        <v>6</v>
      </c>
      <c r="D61" s="14"/>
      <c r="E61" s="55"/>
      <c r="G61" s="715">
        <f>summ!F18</f>
        <v>0.271</v>
      </c>
      <c r="H61" s="491" t="str">
        <f>CONCATENATE("",E1-1," Fund Mill Rate")</f>
        <v>2012 Fund Mill Rate</v>
      </c>
      <c r="I61" s="700"/>
      <c r="J61" s="713"/>
    </row>
    <row r="62" spans="7:10" ht="15.75">
      <c r="G62" s="716">
        <f>summ!I32</f>
        <v>0.912</v>
      </c>
      <c r="H62" s="491" t="str">
        <f>CONCATENATE("Total ",E1," Mill Rate")</f>
        <v>Total 2013 Mill Rate</v>
      </c>
      <c r="I62" s="700"/>
      <c r="J62" s="713"/>
    </row>
    <row r="63" spans="2:10" ht="15.75">
      <c r="B63" s="12"/>
      <c r="G63" s="715">
        <f>summ!F32</f>
        <v>0.921</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CALVIN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0.912</v>
      </c>
      <c r="H45" s="641" t="str">
        <f>CONCATENATE("Total ",E1," Mill Rate")</f>
        <v>Total 2013 Mill Rate</v>
      </c>
      <c r="I45" s="665"/>
      <c r="J45" s="666"/>
    </row>
    <row r="46" spans="2:10" ht="15.75">
      <c r="B46" s="603" t="s">
        <v>144</v>
      </c>
      <c r="C46" s="608">
        <v>0</v>
      </c>
      <c r="D46" s="605">
        <f>C74</f>
        <v>0</v>
      </c>
      <c r="E46" s="606">
        <f>D74</f>
        <v>0</v>
      </c>
      <c r="F46" s="644"/>
      <c r="G46" s="668">
        <f>summ!F32</f>
        <v>0.921</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0.912</v>
      </c>
      <c r="H85" s="641" t="str">
        <f>CONCATENATE("Total ",E1," Mill Rate")</f>
        <v>Total 2013 Mill Rate</v>
      </c>
      <c r="I85" s="665"/>
      <c r="J85" s="666"/>
    </row>
    <row r="86" spans="7:10" ht="15.75">
      <c r="G86" s="668">
        <f>summ!F32</f>
        <v>0.921</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0.912</v>
      </c>
      <c r="H55" s="491" t="str">
        <f>CONCATENATE("Total ",E1," Mill Rate")</f>
        <v>Total 2013 Mill Rate</v>
      </c>
      <c r="I55" s="700"/>
      <c r="J55" s="713"/>
    </row>
    <row r="56" spans="2:10" ht="15.75">
      <c r="B56" s="72" t="s">
        <v>33</v>
      </c>
      <c r="C56" s="132"/>
      <c r="D56" s="14"/>
      <c r="E56" s="14"/>
      <c r="G56" s="715">
        <f>summ!F32</f>
        <v>0.921</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t="str">
        <f>inputPrYr!B20</f>
        <v>Fire</v>
      </c>
      <c r="C5" s="389" t="str">
        <f>gen!C5</f>
        <v>Actual for 2011</v>
      </c>
      <c r="D5" s="389" t="str">
        <f>gen!D5</f>
        <v>Estimate for 2012</v>
      </c>
      <c r="E5" s="26" t="str">
        <f>gen!E5</f>
        <v>Year for 2013</v>
      </c>
    </row>
    <row r="6" spans="2:5" ht="15">
      <c r="B6" s="27" t="s">
        <v>118</v>
      </c>
      <c r="C6" s="29">
        <v>339</v>
      </c>
      <c r="D6" s="390">
        <f>C34</f>
        <v>427</v>
      </c>
      <c r="E6" s="32">
        <f>D34</f>
        <v>427</v>
      </c>
    </row>
    <row r="7" spans="2:5" ht="15">
      <c r="B7" s="27" t="s">
        <v>120</v>
      </c>
      <c r="C7" s="390"/>
      <c r="D7" s="390"/>
      <c r="E7" s="33"/>
    </row>
    <row r="8" spans="2:5" ht="15">
      <c r="B8" s="27" t="s">
        <v>16</v>
      </c>
      <c r="C8" s="29">
        <v>541</v>
      </c>
      <c r="D8" s="390">
        <f>IF(inputPrYr!H15&gt;0,inputPrYr!G20,inputPrYr!E20)</f>
        <v>540</v>
      </c>
      <c r="E8" s="33" t="s">
        <v>290</v>
      </c>
    </row>
    <row r="9" spans="2:5" ht="15">
      <c r="B9" s="27" t="s">
        <v>17</v>
      </c>
      <c r="C9" s="29"/>
      <c r="D9" s="29"/>
      <c r="E9" s="34"/>
    </row>
    <row r="10" spans="2:5" ht="15">
      <c r="B10" s="27" t="s">
        <v>18</v>
      </c>
      <c r="C10" s="29">
        <v>74</v>
      </c>
      <c r="D10" s="29"/>
      <c r="E10" s="32">
        <f>mvalloc!G15</f>
        <v>53</v>
      </c>
    </row>
    <row r="11" spans="2:5" ht="15">
      <c r="B11" s="27" t="s">
        <v>19</v>
      </c>
      <c r="C11" s="29">
        <v>1</v>
      </c>
      <c r="D11" s="29"/>
      <c r="E11" s="32">
        <f>mvalloc!I15</f>
        <v>1</v>
      </c>
    </row>
    <row r="12" spans="2:5" ht="15">
      <c r="B12" s="35" t="s">
        <v>69</v>
      </c>
      <c r="C12" s="29">
        <v>12</v>
      </c>
      <c r="D12" s="29"/>
      <c r="E12" s="32">
        <f>mvalloc!J15</f>
        <v>15</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628</v>
      </c>
      <c r="D20" s="392">
        <f>SUM(D8:D18)</f>
        <v>540</v>
      </c>
      <c r="E20" s="42">
        <f>SUM(E8:E18)</f>
        <v>69</v>
      </c>
    </row>
    <row r="21" spans="2:5" ht="15">
      <c r="B21" s="43" t="s">
        <v>24</v>
      </c>
      <c r="C21" s="392">
        <f>C20+C6</f>
        <v>967</v>
      </c>
      <c r="D21" s="392">
        <f>D20+D6</f>
        <v>967</v>
      </c>
      <c r="E21" s="42">
        <f>E20+E6</f>
        <v>496</v>
      </c>
    </row>
    <row r="22" spans="2:5" ht="15">
      <c r="B22" s="27" t="s">
        <v>25</v>
      </c>
      <c r="C22" s="390"/>
      <c r="D22" s="390"/>
      <c r="E22" s="32"/>
    </row>
    <row r="23" spans="2:5" ht="15">
      <c r="B23" s="38"/>
      <c r="C23" s="29"/>
      <c r="D23" s="29"/>
      <c r="E23" s="34"/>
    </row>
    <row r="24" spans="2:11" ht="15.75">
      <c r="B24" s="38" t="s">
        <v>946</v>
      </c>
      <c r="C24" s="29">
        <v>540</v>
      </c>
      <c r="D24" s="29">
        <v>540</v>
      </c>
      <c r="E24" s="34">
        <v>1036</v>
      </c>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540</v>
      </c>
      <c r="D33" s="392">
        <f>SUM(D23:D31)</f>
        <v>540</v>
      </c>
      <c r="E33" s="42">
        <f>SUM(E23:E31)</f>
        <v>1036</v>
      </c>
      <c r="G33" s="640">
        <f>D34</f>
        <v>427</v>
      </c>
      <c r="H33" s="641" t="str">
        <f>CONCATENATE("",E1-1," Ending Cash Balance (est.)")</f>
        <v>2012 Ending Cash Balance (est.)</v>
      </c>
      <c r="I33" s="642"/>
      <c r="J33" s="637"/>
      <c r="K33" s="591"/>
    </row>
    <row r="34" spans="2:11" ht="15">
      <c r="B34" s="27" t="s">
        <v>119</v>
      </c>
      <c r="C34" s="385">
        <f>C21-C33</f>
        <v>427</v>
      </c>
      <c r="D34" s="385">
        <f>D21-D33</f>
        <v>427</v>
      </c>
      <c r="E34" s="33" t="s">
        <v>290</v>
      </c>
      <c r="G34" s="640">
        <f>E20</f>
        <v>69</v>
      </c>
      <c r="H34" s="624" t="str">
        <f>CONCATENATE("",E1," Non-AV Receipts (est.)")</f>
        <v>2013 Non-AV Receipts (est.)</v>
      </c>
      <c r="I34" s="642"/>
      <c r="J34" s="637"/>
      <c r="K34" s="591"/>
    </row>
    <row r="35" spans="2:11" ht="15">
      <c r="B35" s="48" t="str">
        <f>CONCATENATE("",E1-2,"/",E1-1," Budget Authority Amount:")</f>
        <v>2011/2012 Budget Authority Amount:</v>
      </c>
      <c r="C35" s="132">
        <f>inputOth!B50</f>
        <v>949</v>
      </c>
      <c r="D35" s="161">
        <f>inputPrYr!D20</f>
        <v>1010</v>
      </c>
      <c r="E35" s="33" t="s">
        <v>290</v>
      </c>
      <c r="F35" s="50"/>
      <c r="G35" s="649">
        <f>IF(E39&gt;0,E38,E40)</f>
        <v>540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1036</v>
      </c>
      <c r="H36" s="624" t="str">
        <f>CONCATENATE("Total ",E1," Resources Available")</f>
        <v>Total 2013 Resources Available</v>
      </c>
      <c r="I36" s="642"/>
      <c r="J36" s="637"/>
      <c r="K36" s="591"/>
    </row>
    <row r="37" spans="2:11" ht="15">
      <c r="B37" s="399" t="str">
        <f>CONCATENATE(C92,"     ",D92)</f>
        <v>     </v>
      </c>
      <c r="C37" s="807" t="s">
        <v>624</v>
      </c>
      <c r="D37" s="808"/>
      <c r="E37" s="32">
        <f>E33+E36</f>
        <v>1036</v>
      </c>
      <c r="G37" s="653"/>
      <c r="H37" s="624"/>
      <c r="I37" s="624"/>
      <c r="J37" s="637"/>
      <c r="K37" s="591"/>
    </row>
    <row r="38" spans="2:11" ht="15">
      <c r="B38" s="399" t="str">
        <f>CONCATENATE(C93,"     ",D93)</f>
        <v>     </v>
      </c>
      <c r="C38" s="60"/>
      <c r="D38" s="52" t="s">
        <v>28</v>
      </c>
      <c r="E38" s="46">
        <f>IF(E37-E21&gt;0,E37-E21,0)</f>
        <v>540</v>
      </c>
      <c r="G38" s="649">
        <f>C33*0.05+C33</f>
        <v>567</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469</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540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0.644</v>
      </c>
      <c r="H43" s="641" t="str">
        <f>CONCATENATE("",E1," Fund Mill Rate")</f>
        <v>2013 Fund Mill Rate</v>
      </c>
      <c r="I43" s="665"/>
      <c r="J43" s="666"/>
      <c r="K43" s="591"/>
    </row>
    <row r="44" spans="2:11" ht="15.75">
      <c r="B44" s="14"/>
      <c r="C44" s="388" t="s">
        <v>11</v>
      </c>
      <c r="D44" s="391" t="s">
        <v>12</v>
      </c>
      <c r="E44" s="23" t="s">
        <v>13</v>
      </c>
      <c r="G44" s="668">
        <f>summ!F22</f>
        <v>0.65</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0.912</v>
      </c>
      <c r="H45" s="641" t="str">
        <f>CONCATENATE("Total ",E1," Mill Rate")</f>
        <v>Total 2013 Mill Rate</v>
      </c>
      <c r="I45" s="665"/>
      <c r="J45" s="666"/>
      <c r="K45" s="591"/>
    </row>
    <row r="46" spans="2:11" ht="15.75">
      <c r="B46" s="27" t="s">
        <v>118</v>
      </c>
      <c r="C46" s="29"/>
      <c r="D46" s="390">
        <f>C74</f>
        <v>0</v>
      </c>
      <c r="E46" s="32">
        <f>D74</f>
        <v>0</v>
      </c>
      <c r="G46" s="668">
        <f>summ!F32</f>
        <v>0.921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v>7</v>
      </c>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0.912</v>
      </c>
      <c r="H85" s="641" t="str">
        <f>CONCATENATE("Total ",E1," Mill Rate")</f>
        <v>Total 2013 Mill Rate</v>
      </c>
      <c r="I85" s="665"/>
      <c r="J85" s="666"/>
      <c r="K85" s="591"/>
    </row>
    <row r="86" spans="7:11" ht="15.75">
      <c r="G86" s="668">
        <f>summ!F32</f>
        <v>0.921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9"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0.912</v>
      </c>
      <c r="H45" s="641" t="str">
        <f>CONCATENATE("Total ",E1," Mill Rate")</f>
        <v>Total 2013 Mill Rate</v>
      </c>
      <c r="I45" s="665"/>
      <c r="J45" s="666"/>
      <c r="K45" s="591"/>
    </row>
    <row r="46" spans="2:11" ht="15.75">
      <c r="B46" s="27" t="s">
        <v>118</v>
      </c>
      <c r="C46" s="29"/>
      <c r="D46" s="390">
        <f>C74</f>
        <v>0</v>
      </c>
      <c r="E46" s="32">
        <f>D74</f>
        <v>0</v>
      </c>
      <c r="G46" s="668">
        <f>summ!F32</f>
        <v>0.921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0.912</v>
      </c>
      <c r="H85" s="641" t="str">
        <f>CONCATENATE("Total ",E1," Mill Rate")</f>
        <v>Total 2013 Mill Rate</v>
      </c>
      <c r="I85" s="665"/>
      <c r="J85" s="666"/>
      <c r="K85" s="591"/>
    </row>
    <row r="86" spans="7:11" ht="15.75">
      <c r="G86" s="668">
        <f>summ!F32</f>
        <v>0.921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CALVIN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0.912</v>
      </c>
      <c r="H45" s="641" t="str">
        <f>CONCATENATE("Total ",E1," Mill Rate")</f>
        <v>Total 2013 Mill Rate</v>
      </c>
      <c r="I45" s="665"/>
      <c r="J45" s="666"/>
      <c r="K45" s="591"/>
    </row>
    <row r="46" spans="2:11" ht="15.75">
      <c r="B46" s="27" t="s">
        <v>118</v>
      </c>
      <c r="C46" s="29"/>
      <c r="D46" s="390">
        <f>C74</f>
        <v>0</v>
      </c>
      <c r="E46" s="32">
        <f>D74</f>
        <v>0</v>
      </c>
      <c r="G46" s="668">
        <f>summ!F32</f>
        <v>0.921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0.912</v>
      </c>
      <c r="H85" s="641" t="str">
        <f>CONCATENATE("Total ",E1," Mill Rate")</f>
        <v>Total 2013 Mill Rate</v>
      </c>
      <c r="I85" s="665"/>
      <c r="J85" s="666"/>
      <c r="K85" s="591"/>
    </row>
    <row r="86" spans="7:11" ht="15.75">
      <c r="G86" s="668">
        <f>summ!F32</f>
        <v>0.921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CALVIN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CALVIN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1162</v>
      </c>
      <c r="E16" s="187">
        <v>225</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t="s">
        <v>941</v>
      </c>
      <c r="C20" s="383"/>
      <c r="D20" s="187">
        <v>1010</v>
      </c>
      <c r="E20" s="187">
        <v>540</v>
      </c>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765</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2172</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0.3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t="str">
        <f t="shared" si="0"/>
        <v>Fire</v>
      </c>
      <c r="C46" s="14"/>
      <c r="D46" s="322">
        <v>0.667</v>
      </c>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0.9670000000000001</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783</v>
      </c>
    </row>
    <row r="55" spans="1:5" ht="15">
      <c r="A55" s="327" t="str">
        <f>CONCATENATE("Assessed Valuation (",D5-2," budget column)")</f>
        <v>Assessed Valuation (2011 budget column)</v>
      </c>
      <c r="B55" s="328"/>
      <c r="C55" s="267"/>
      <c r="D55" s="28"/>
      <c r="E55" s="187">
        <v>810243</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0">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69"/>
      <c r="D2" s="769"/>
      <c r="E2" s="769"/>
      <c r="F2" s="769"/>
      <c r="G2" s="769"/>
      <c r="H2" s="769"/>
      <c r="I2" s="769"/>
    </row>
    <row r="3" spans="2:9" ht="15">
      <c r="B3" s="14"/>
      <c r="C3" s="14"/>
      <c r="D3" s="14"/>
      <c r="E3" s="14"/>
      <c r="F3" s="14"/>
      <c r="G3" s="22" t="s">
        <v>37</v>
      </c>
      <c r="H3" s="22" t="s">
        <v>38</v>
      </c>
      <c r="I3" s="14"/>
    </row>
    <row r="4" spans="2:9" ht="15">
      <c r="B4" s="779" t="s">
        <v>39</v>
      </c>
      <c r="C4" s="779"/>
      <c r="D4" s="779"/>
      <c r="E4" s="779"/>
      <c r="F4" s="779"/>
      <c r="G4" s="779"/>
      <c r="H4" s="779"/>
      <c r="I4" s="779"/>
    </row>
    <row r="5" spans="2:9" ht="15">
      <c r="B5" s="788" t="str">
        <f>inputPrYr!D2</f>
        <v>CALVIN TOWNSHIP</v>
      </c>
      <c r="C5" s="788"/>
      <c r="D5" s="788"/>
      <c r="E5" s="788"/>
      <c r="F5" s="788"/>
      <c r="G5" s="788"/>
      <c r="H5" s="788"/>
      <c r="I5" s="788"/>
    </row>
    <row r="6" spans="2:9" ht="15">
      <c r="B6" s="788" t="str">
        <f>inputPrYr!D3</f>
        <v>JEWELL COUNTY</v>
      </c>
      <c r="C6" s="788"/>
      <c r="D6" s="788"/>
      <c r="E6" s="788"/>
      <c r="F6" s="788"/>
      <c r="G6" s="788"/>
      <c r="H6" s="788"/>
      <c r="I6" s="788"/>
    </row>
    <row r="7" spans="2:9" ht="15">
      <c r="B7" s="844" t="str">
        <f>CONCATENATE("will meet on ",inputBudSum!B8," at ",inputBudSum!B10," at ",inputBudSum!B12," for the purpose of hearing and")</f>
        <v>will meet on August 15, 2012 at 12:00 NOON at Saint Farm, 1537  H Road, Jewell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309</v>
      </c>
      <c r="D18" s="530">
        <f>IF(inputPrYr!D42&gt;0,inputPrYr!D42,"  ")</f>
        <v>0.3</v>
      </c>
      <c r="E18" s="32">
        <f>IF(gen!$D$50&lt;&gt;0,gen!$D$50,"  ")</f>
        <v>500</v>
      </c>
      <c r="F18" s="235">
        <f>IF(inputOth!D17&gt;0,inputOth!D17,"  ")</f>
        <v>0.271</v>
      </c>
      <c r="G18" s="32">
        <f>IF(gen!$E$50&lt;&gt;0,gen!$E$50,"  ")</f>
        <v>896</v>
      </c>
      <c r="H18" s="32">
        <f>IF(gen!$E$57&lt;&gt;0,gen!$E$57," ")</f>
        <v>224.78999999999996</v>
      </c>
      <c r="I18" s="532">
        <f>IF(gen!E57&gt;0,ROUND(H18/$G$37*1000,3)," ")</f>
        <v>0.268</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Fire</v>
      </c>
      <c r="C22" s="32">
        <f>IF(levypage9!$C$33&lt;&gt;0,levypage9!$C$33,"  ")</f>
        <v>540</v>
      </c>
      <c r="D22" s="530">
        <f>IF(inputPrYr!D46&gt;0,inputPrYr!D46,"  ")</f>
        <v>0.667</v>
      </c>
      <c r="E22" s="32">
        <f>IF(levypage9!$D$33&lt;&gt;0,levypage9!$D$33,"  ")</f>
        <v>540</v>
      </c>
      <c r="F22" s="235">
        <f>IF(inputOth!D21&gt;0,inputOth!D21,"  ")</f>
        <v>0.65</v>
      </c>
      <c r="G22" s="32">
        <f>IF(levypage9!$E$33&lt;&gt;0,levypage9!$E$33,"  ")</f>
        <v>1036</v>
      </c>
      <c r="H22" s="32">
        <f>IF(levypage9!$E$40&lt;&gt;0,levypage9!$E$40,"  ")</f>
        <v>540</v>
      </c>
      <c r="I22" s="532">
        <f>IF(levypage9!E40&gt;0,ROUND(H22/$G$37*1000,3)," ")</f>
        <v>0.644</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839</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0.921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8.210000000000036</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849</v>
      </c>
      <c r="D32" s="482">
        <f t="shared" si="0"/>
        <v>0.9670000000000001</v>
      </c>
      <c r="E32" s="533">
        <f t="shared" si="0"/>
        <v>1040</v>
      </c>
      <c r="F32" s="482">
        <f t="shared" si="0"/>
        <v>0.921</v>
      </c>
      <c r="G32" s="533">
        <f t="shared" si="0"/>
        <v>1932</v>
      </c>
      <c r="H32" s="533">
        <f t="shared" si="0"/>
        <v>764.79</v>
      </c>
      <c r="I32" s="536">
        <f t="shared" si="0"/>
        <v>0.912</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849</v>
      </c>
      <c r="D34" s="14"/>
      <c r="E34" s="534">
        <f>E32-E33</f>
        <v>1040</v>
      </c>
      <c r="F34" s="14"/>
      <c r="G34" s="534">
        <f>G32-G33</f>
        <v>1932</v>
      </c>
      <c r="H34" s="14"/>
      <c r="I34" s="14"/>
      <c r="K34" s="513" t="str">
        <f>CONCATENATE("",I1," Ad Valorem Tax Revenue:")</f>
        <v>2013 Ad Valorem Tax Revenue:</v>
      </c>
      <c r="L34" s="507"/>
      <c r="M34" s="507"/>
      <c r="N34" s="508">
        <f>H32</f>
        <v>764.79</v>
      </c>
    </row>
    <row r="35" spans="2:14" ht="15.75" thickTop="1">
      <c r="B35" s="274" t="s">
        <v>46</v>
      </c>
      <c r="C35" s="535">
        <f>inputPrYr!E54</f>
        <v>783</v>
      </c>
      <c r="D35" s="61"/>
      <c r="E35" s="535">
        <f>inputPrYr!E26</f>
        <v>765</v>
      </c>
      <c r="F35" s="14"/>
      <c r="G35" s="526" t="s">
        <v>290</v>
      </c>
      <c r="H35" s="14"/>
      <c r="I35" s="14"/>
      <c r="K35" s="513" t="str">
        <f>CONCATENATE("",I1-1," Ad Valorem Tax Revenue:")</f>
        <v>2012 Ad Valorem Tax Revenue:</v>
      </c>
      <c r="L35" s="507"/>
      <c r="M35" s="507"/>
      <c r="N35" s="521">
        <f>ROUND(G37*N27/1000,0)</f>
        <v>773</v>
      </c>
    </row>
    <row r="36" spans="2:14" ht="15">
      <c r="B36" s="274" t="s">
        <v>47</v>
      </c>
      <c r="C36" s="55"/>
      <c r="D36" s="61"/>
      <c r="E36" s="55"/>
      <c r="F36" s="61"/>
      <c r="G36" s="14"/>
      <c r="H36" s="14"/>
      <c r="I36" s="14"/>
      <c r="K36" s="518" t="s">
        <v>718</v>
      </c>
      <c r="L36" s="519"/>
      <c r="M36" s="519"/>
      <c r="N36" s="511">
        <f>N34-N35</f>
        <v>-8.210000000000036</v>
      </c>
    </row>
    <row r="37" spans="2:14" ht="15">
      <c r="B37" s="274" t="s">
        <v>48</v>
      </c>
      <c r="C37" s="32">
        <f>inputPrYr!E55</f>
        <v>810243</v>
      </c>
      <c r="D37" s="14"/>
      <c r="E37" s="32">
        <f>inputOth!E29</f>
        <v>830235</v>
      </c>
      <c r="F37" s="14"/>
      <c r="G37" s="32">
        <f>inputOth!E7</f>
        <v>839066</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0.912</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Curtis Saint</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8</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CALVIN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839066</v>
      </c>
      <c r="E19" s="14"/>
      <c r="F19" s="129"/>
    </row>
    <row r="20" spans="1:6" ht="15.75">
      <c r="A20" s="14"/>
      <c r="B20" s="14"/>
      <c r="C20" s="14"/>
      <c r="D20" s="14"/>
      <c r="E20" s="14"/>
      <c r="F20" s="129"/>
    </row>
    <row r="21" spans="1:6" ht="15.75">
      <c r="A21" s="14"/>
      <c r="B21" s="847" t="s">
        <v>366</v>
      </c>
      <c r="C21" s="847"/>
      <c r="D21" s="137">
        <f>IF(D19&gt;0,(D19*0.001),"")</f>
        <v>839.066</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CALVIN TOWNSHIP </v>
      </c>
      <c r="I6">
        <f>CONCATENATE(I7)</f>
      </c>
    </row>
    <row r="7" spans="1:7" ht="15.75">
      <c r="A7" s="853" t="str">
        <f>CONCATENATE("   with respect to financing the ",inputPrYr!D5," annual budget for ",(inputPrYr!D2)," , ",(inputPrYr!D3)," , Kansas.")</f>
        <v>   with respect to financing the 2013 annual budget for CALVIN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CALVIN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CALVIN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CALVIN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CALVIN TOWNSHIP of JEWELL COUNTY, Kansas that is our desire to notify the public of increased property taxes to finance the 2013 CALVIN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CALVIN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CALVIN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CALVIN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839066</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18456</v>
      </c>
    </row>
    <row r="10" spans="1:5" ht="15">
      <c r="A10" s="22" t="str">
        <f>CONCATENATE("Property that has changed in use for ",E1-1,"")</f>
        <v>Property that has changed in use for 2012</v>
      </c>
      <c r="B10" s="19"/>
      <c r="C10" s="19"/>
      <c r="D10" s="19"/>
      <c r="E10" s="283">
        <v>280</v>
      </c>
    </row>
    <row r="11" spans="1:5" ht="15">
      <c r="A11" s="22" t="str">
        <f>CONCATENATE("Personal Property excluding oil, gas, and mobile homes- ",E1-2,"")</f>
        <v>Personal Property excluding oil, gas, and mobile homes- 2011</v>
      </c>
      <c r="B11" s="19"/>
      <c r="C11" s="19"/>
      <c r="D11" s="19"/>
      <c r="E11" s="283">
        <v>19908</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0.271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t="str">
        <f>inputPrYr!B20</f>
        <v>Fire</v>
      </c>
      <c r="B21" s="267"/>
      <c r="C21" s="19"/>
      <c r="D21" s="289">
        <v>0.65</v>
      </c>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0.921</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830235</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75</v>
      </c>
    </row>
    <row r="33" spans="1:5" ht="15">
      <c r="A33" s="296" t="s">
        <v>277</v>
      </c>
      <c r="B33" s="267"/>
      <c r="C33" s="267"/>
      <c r="D33" s="31"/>
      <c r="E33" s="34">
        <v>1</v>
      </c>
    </row>
    <row r="34" spans="1:5" ht="15">
      <c r="A34" s="296" t="s">
        <v>160</v>
      </c>
      <c r="B34" s="267"/>
      <c r="C34" s="267"/>
      <c r="D34" s="31"/>
      <c r="E34" s="34">
        <v>21</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864</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Fire</v>
      </c>
      <c r="B50" s="36">
        <v>949</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942</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943</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5, 2012</v>
      </c>
      <c r="E9" s="356"/>
      <c r="F9" s="356"/>
      <c r="J9" s="721" t="s">
        <v>849</v>
      </c>
    </row>
    <row r="10" spans="1:10" ht="15.75">
      <c r="A10" s="357" t="s">
        <v>374</v>
      </c>
      <c r="B10" s="359" t="s">
        <v>944</v>
      </c>
      <c r="C10" s="363"/>
      <c r="D10" s="357"/>
      <c r="E10" s="356"/>
      <c r="F10" s="356"/>
      <c r="J10" s="721" t="s">
        <v>850</v>
      </c>
    </row>
    <row r="11" spans="1:10" ht="15.75">
      <c r="A11" s="357"/>
      <c r="B11" s="357"/>
      <c r="C11" s="357"/>
      <c r="D11" s="357"/>
      <c r="E11" s="356"/>
      <c r="F11" s="356"/>
      <c r="J11" s="721" t="s">
        <v>851</v>
      </c>
    </row>
    <row r="12" spans="1:10" ht="15.75">
      <c r="A12" s="357" t="s">
        <v>375</v>
      </c>
      <c r="B12" s="364" t="s">
        <v>945</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41126</v>
      </c>
    </row>
    <row r="22" spans="1:7" ht="15.75">
      <c r="A22" s="357" t="s">
        <v>374</v>
      </c>
      <c r="B22" s="357" t="s">
        <v>379</v>
      </c>
      <c r="C22" s="357"/>
      <c r="D22" s="357"/>
      <c r="E22" s="357"/>
      <c r="G22" s="724">
        <f>IF(B8="","",MONTH(G21))</f>
        <v>8</v>
      </c>
    </row>
    <row r="23" spans="1:7" ht="15.75">
      <c r="A23" s="357"/>
      <c r="B23" s="357"/>
      <c r="C23" s="357"/>
      <c r="D23" s="357"/>
      <c r="E23" s="357"/>
      <c r="G23" s="725">
        <f>IF(B8="","",DAY(G21))</f>
        <v>5</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1" sqref="B1:G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0" t="s">
        <v>70</v>
      </c>
      <c r="C1" s="770"/>
      <c r="D1" s="770"/>
      <c r="E1" s="770"/>
      <c r="F1" s="770"/>
      <c r="G1" s="770"/>
      <c r="H1" s="14">
        <f>inputPrYr!D5</f>
        <v>2013</v>
      </c>
    </row>
    <row r="2" spans="3:7" s="14" customFormat="1" ht="15">
      <c r="C2" s="145"/>
      <c r="D2" s="145"/>
      <c r="E2" s="145"/>
      <c r="F2" s="145"/>
      <c r="G2" s="62"/>
    </row>
    <row r="3" spans="2:8" s="14" customFormat="1" ht="15.75">
      <c r="B3" s="779" t="str">
        <f>CONCATENATE("To the Clerk of ",inputPrYr!D3,", State of Kansas")</f>
        <v>To the Clerk of JEWELL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CALVIN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
      <c r="B12" s="22"/>
      <c r="D12" s="66"/>
      <c r="E12" s="255" t="s">
        <v>278</v>
      </c>
      <c r="F12" s="771" t="str">
        <f>CONCATENATE("Amount of ",H1-1," Ad Valorem Tax")</f>
        <v>Amount of 2012 Ad Valorem Tax</v>
      </c>
      <c r="G12" s="23" t="s">
        <v>279</v>
      </c>
    </row>
    <row r="13" spans="4:7" s="14" customFormat="1" ht="15">
      <c r="D13" s="23" t="s">
        <v>280</v>
      </c>
      <c r="E13" s="528" t="s">
        <v>209</v>
      </c>
      <c r="F13" s="772"/>
      <c r="G13" s="156" t="s">
        <v>281</v>
      </c>
    </row>
    <row r="14" spans="2:7" s="14" customFormat="1" ht="15">
      <c r="B14" s="71" t="s">
        <v>282</v>
      </c>
      <c r="C14" s="20"/>
      <c r="D14" s="26" t="s">
        <v>283</v>
      </c>
      <c r="E14" s="529" t="s">
        <v>720</v>
      </c>
      <c r="F14" s="77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896</v>
      </c>
      <c r="F21" s="732">
        <f>IF(gen!$E$57&lt;&gt;0,gen!$E$57,0)</f>
        <v>224.78999999999996</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Fire</v>
      </c>
      <c r="C25" s="260" t="str">
        <f>IF(inputPrYr!C20&gt;0,inputPrYr!C20,"  ")</f>
        <v>  </v>
      </c>
      <c r="D25" s="261">
        <f>IF(levypage9!C81&gt;0,levypage9!C81,"  ")</f>
        <v>7</v>
      </c>
      <c r="E25" s="732">
        <f>IF(levypage9!$E$33&lt;&gt;0,levypage9!$E$33,"  ")</f>
        <v>1036</v>
      </c>
      <c r="F25" s="732">
        <f>IF(levypage9!$E$40&lt;&gt;0,levypage9!$E$40,"  ")</f>
        <v>540</v>
      </c>
      <c r="G25" s="733" t="str">
        <f>IF(AND(levypage9!E40=0,$C$40&gt;=0)," ",IF(AND(F25&gt;0,$C$40=0)," ",IF(AND(F25&gt;0,$C$40&gt;0),ROUND(F25/$C$40*1000,3))))</f>
        <v> </v>
      </c>
    </row>
    <row r="26" spans="2:7" s="14" customFormat="1" ht="15">
      <c r="B26" s="85" t="str">
        <f>IF(inputPrYr!$B21&gt;"  ",inputPrYr!$B21,"  ")</f>
        <v>  </v>
      </c>
      <c r="C26" s="260" t="str">
        <f>IF(inputPrYr!C21&gt;0,inputPrYr!C21,"  ")</f>
        <v>  </v>
      </c>
      <c r="D26" s="261">
        <f>IF(levypage9!C81&gt;0,levypage9!C81,"  ")</f>
        <v>7</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1932</v>
      </c>
      <c r="F35" s="734">
        <f>SUM(F21:F30)</f>
        <v>764.79</v>
      </c>
      <c r="G35" s="735">
        <f>IF(SUM(G21:G30)&gt;0,SUM(G21:G30),"")</f>
      </c>
    </row>
    <row r="36" spans="2:4" s="14" customFormat="1" ht="15.75" thickTop="1">
      <c r="B36" s="27" t="s">
        <v>168</v>
      </c>
      <c r="C36" s="259"/>
      <c r="D36" s="264">
        <f>summ!D49</f>
        <v>8</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68" t="s">
        <v>293</v>
      </c>
      <c r="F54" s="769"/>
      <c r="G54" s="76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CALVIN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0"/>
      <c r="C3" s="770"/>
      <c r="D3" s="770"/>
      <c r="E3" s="770"/>
      <c r="F3" s="770"/>
      <c r="G3" s="770"/>
      <c r="H3" s="770"/>
      <c r="I3" s="770"/>
      <c r="J3" s="770"/>
    </row>
    <row r="4" spans="1:10" ht="15">
      <c r="A4" s="14"/>
      <c r="B4" s="14"/>
      <c r="C4" s="14"/>
      <c r="D4" s="14"/>
      <c r="E4" s="770"/>
      <c r="F4" s="770"/>
      <c r="G4" s="77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765</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765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18456</v>
      </c>
      <c r="F14" s="246"/>
      <c r="G14" s="55"/>
      <c r="H14" s="55"/>
      <c r="I14" s="53"/>
      <c r="J14" s="55"/>
    </row>
    <row r="15" spans="1:10" ht="15">
      <c r="A15" s="245"/>
      <c r="B15" s="14" t="s">
        <v>87</v>
      </c>
      <c r="C15" s="14" t="str">
        <f>CONCATENATE("Personal Property ",J1-2,"")</f>
        <v>Personal Property 2011</v>
      </c>
      <c r="D15" s="245" t="s">
        <v>82</v>
      </c>
      <c r="E15" s="249">
        <f>inputOth!E11</f>
        <v>19908</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280</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280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839066</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838786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0.0003338157766104823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765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765</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CALVIN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225</v>
      </c>
      <c r="E11" s="131">
        <f>IF(inputOth!D17&gt;0,inputOth!D17,"  ")</f>
        <v>0.271</v>
      </c>
      <c r="F11" s="727"/>
      <c r="G11" s="161">
        <f>IF(inputPrYr!E16=0,0,G23-SUM(G12:G20))</f>
        <v>22</v>
      </c>
      <c r="H11" s="728"/>
      <c r="I11" s="161">
        <f>IF(inputPrYr!E16=0,0,I25-SUM(I12:I20))</f>
        <v>0</v>
      </c>
      <c r="J11" s="161">
        <f>IF(inputPrYr!E16=0,0,J27-SUM(J12:J20))</f>
        <v>6</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Fire</v>
      </c>
      <c r="C15" s="234"/>
      <c r="D15" s="161">
        <f>IF(inputPrYr!E20&gt;=0,inputPrYr!E20,"  ")</f>
        <v>540</v>
      </c>
      <c r="E15" s="131">
        <f>IF(inputOth!D21&gt;0,inputOth!D21,"  ")</f>
        <v>0.65</v>
      </c>
      <c r="F15" s="727"/>
      <c r="G15" s="161">
        <f>IF(inputPrYr!E20=0,0,ROUND(D15*$G$30,0))</f>
        <v>53</v>
      </c>
      <c r="H15" s="728"/>
      <c r="I15" s="161">
        <f>IF(inputPrYr!$E$20=0,0,ROUND($D$15*$I$32,0))</f>
        <v>1</v>
      </c>
      <c r="J15" s="161">
        <f>IF(inputPrYr!E20=0,0,ROUND($D15*$J$34,0))</f>
        <v>15</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765</v>
      </c>
      <c r="E21" s="730">
        <f>SUM(E11:E20)</f>
        <v>0.921</v>
      </c>
      <c r="F21" s="731"/>
      <c r="G21" s="729">
        <f>SUM(G11:G20)</f>
        <v>75</v>
      </c>
      <c r="H21" s="729"/>
      <c r="I21" s="729">
        <f>SUM(I11:I20)</f>
        <v>1</v>
      </c>
      <c r="J21" s="729">
        <f>SUM(J11:J20)</f>
        <v>21</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75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0.09803921568627451</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0.00130718954248366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0.027450980392156862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CALVIN TOWNSHIP</v>
      </c>
      <c r="B2" s="88"/>
      <c r="C2" s="14"/>
      <c r="D2" s="14"/>
      <c r="E2" s="52"/>
      <c r="F2" s="14"/>
    </row>
    <row r="3" spans="1:6" ht="15">
      <c r="A3" s="13"/>
      <c r="B3" s="88"/>
      <c r="C3" s="14"/>
      <c r="D3" s="14"/>
      <c r="E3" s="52"/>
      <c r="F3" s="14"/>
    </row>
    <row r="4" spans="1:6" ht="1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2012-07-19T19:11:02Z</cp:lastPrinted>
  <dcterms:created xsi:type="dcterms:W3CDTF">1998-08-26T16:30:41Z</dcterms:created>
  <dcterms:modified xsi:type="dcterms:W3CDTF">2012-07-19T19:13:52Z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