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<sst xmlns="http://schemas.openxmlformats.org/spreadsheetml/2006/main" count="1651" uniqueCount="934">
  <si>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</si>
  <si>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</si>
  <si>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</si>
  <si>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</si>
  <si>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</si>
  <si>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</si>
  <si>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</si>
  <si>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</si>
  <si>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</si>
  <si>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</si>
  <si>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</si>
  <si>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</si>
  <si>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</si>
  <si>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</si>
  <si>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</si>
  <si>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</si>
  <si>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</si>
  <si>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</si>
  <si>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</si>
  <si>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</si>
  <si>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</si>
  <si>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</si>
  <si>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</si>
  <si>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</si>
  <si>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</si>
  <si>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</si>
  <si>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</si>
  <si>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</si>
  <si>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</si>
  <si>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</si>
  <si>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</si>
  <si>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</si>
  <si>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</si>
  <si>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</si>
  <si>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</si>
  <si>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</si>
  <si>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</si>
  <si>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</si>
  <si>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</si>
  <si>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</si>
  <si>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</si>
  <si>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</si>
  <si>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</si>
  <si>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</si>
  <si>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</si>
  <si>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</si>
  <si>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</si>
  <si>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</si>
  <si>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</si>
  <si>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</si>
  <si>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</si>
  <si>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</si>
  <si>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</si>
  <si>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</si>
  <si>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</si>
  <si>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</si>
  <si>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</si>
  <si>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</si>
  <si>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</si>
  <si>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</si>
  <si>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</si>
  <si>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</si>
  <si>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</si>
  <si>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</si>
  <si>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</si>
  <si>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</si>
  <si>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</si>
  <si>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</si>
  <si>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</si>
  <si>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</si>
  <si>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</si>
  <si>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</si>
  <si>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</si>
  <si>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</si>
  <si>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</si>
  <si>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</si>
  <si>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</si>
  <si>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</si>
  <si>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</si>
  <si>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</si>
  <si>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</si>
  <si>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</si>
  <si>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</si>
  <si>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</si>
  <si>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</si>
  <si>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</si>
  <si>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</si>
  <si>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</si>
  <si>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</si>
  <si>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</si>
  <si>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</si>
  <si>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</si>
  <si>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</si>
  <si>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</si>
  <si>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</si>
  <si>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</si>
  <si>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</si>
  <si>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</si>
  <si>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</si>
  <si>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</si>
  <si>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</si>
  <si>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</si>
  <si>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</si>
  <si>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</si>
  <si>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</si>
  <si>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</si>
  <si>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</si>
  <si>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</si>
  <si>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</si>
  <si>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</si>
  <si>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</si>
  <si>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</si>
  <si>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</si>
  <si>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</si>
  <si>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</si>
  <si>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</si>
  <si>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</si>
  <si>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</si>
  <si>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</si>
  <si>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</si>
  <si>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</si>
  <si>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</si>
  <si>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</si>
  <si>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</si>
  <si>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</si>
  <si>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</si>
  <si>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</si>
  <si>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</si>
  <si>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</si>
  <si>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</si>
  <si>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</si>
  <si>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</si>
  <si>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</si>
  <si>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</si>
  <si>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</si>
  <si>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</si>
  <si>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</si>
  <si>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</si>
  <si>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</si>
  <si>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</si>
  <si>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</si>
  <si>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</si>
  <si>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</si>
  <si>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</si>
  <si>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</si>
  <si>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</si>
  <si>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</si>
  <si>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</si>
  <si>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</si>
  <si>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</si>
  <si>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</si>
  <si>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</si>
  <si>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</si>
  <si>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</si>
  <si>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</si>
  <si>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</si>
  <si>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</si>
  <si>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</si>
  <si>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</si>
  <si>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</si>
  <si>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</si>
  <si>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</si>
  <si>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</si>
  <si>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</si>
  <si>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</si>
  <si>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</si>
  <si>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</si>
  <si>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</si>
  <si>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</si>
  <si>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</si>
  <si>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</si>
  <si>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</si>
  <si>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</si>
  <si>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</si>
  <si>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</si>
  <si>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</si>
  <si>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</si>
  <si>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</si>
  <si>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</si>
  <si>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</si>
  <si>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</si>
  <si>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</si>
  <si>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</si>
  <si>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</si>
  <si>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</si>
  <si>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</si>
  <si>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</si>
  <si>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</si>
  <si>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</si>
  <si>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</si>
  <si>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</si>
  <si>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</si>
  <si>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</si>
  <si>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</si>
  <si>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</si>
  <si>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</si>
  <si>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</si>
  <si>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</si>
  <si>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</si>
  <si>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</si>
  <si>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</si>
  <si>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</si>
  <si>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</si>
  <si>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</si>
  <si>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</si>
  <si>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</si>
  <si>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</si>
  <si>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</si>
  <si>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</si>
  <si>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</si>
  <si>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</si>
  <si>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</si>
  <si>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</si>
  <si>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</si>
  <si>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</si>
  <si>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</si>
  <si>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</si>
  <si>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</si>
  <si>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</si>
  <si>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</si>
  <si>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</si>
  <si>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</si>
  <si>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</si>
  <si>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</si>
  <si>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</si>
  <si>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</si>
  <si>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</si>
  <si>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</si>
  <si>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</si>
  <si>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</si>
  <si>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</si>
  <si>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</si>
  <si>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</si>
  <si>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</si>
  <si>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</si>
  <si>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</si>
  <si>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</si>
  <si>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</si>
  <si>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</si>
  <si>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</si>
  <si>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</si>
  <si>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</si>
  <si>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</si>
  <si>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</si>
  <si>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</si>
  <si>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</si>
  <si>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</si>
  <si>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</si>
  <si>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</si>
  <si>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</si>
  <si>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</si>
  <si>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</si>
  <si>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</si>
  <si>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</si>
  <si>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</si>
  <si>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</si>
  <si>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</si>
  <si>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</si>
  <si>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</si>
  <si>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</si>
  <si>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</si>
  <si>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</si>
  <si>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</si>
  <si>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</si>
  <si>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</si>
  <si>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</si>
  <si>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</si>
  <si>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</si>
  <si>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</si>
  <si>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</si>
  <si>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</si>
  <si>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</si>
  <si>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</si>
  <si>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</si>
  <si>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</si>
  <si>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</si>
  <si>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</si>
  <si>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</si>
  <si>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</si>
  <si>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</si>
  <si>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</si>
  <si>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</si>
  <si>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</si>
  <si>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</si>
  <si>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</si>
  <si>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</si>
  <si>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</si>
  <si>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</si>
  <si>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</si>
  <si>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</si>
  <si>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</si>
  <si>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</si>
  <si>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</si>
  <si>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</si>
  <si>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</si>
  <si>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</si>
  <si>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</si>
  <si>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</si>
  <si>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</si>
  <si>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</si>
  <si>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</si>
  <si>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</si>
  <si>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</si>
  <si>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</si>
  <si>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</si>
  <si>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</si>
  <si>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</si>
  <si>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</si>
  <si>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</si>
  <si>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</si>
  <si>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</si>
  <si>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</si>
  <si>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</si>
  <si>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</si>
  <si>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</si>
  <si>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</si>
  <si>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</si>
  <si>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</si>
  <si>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</si>
  <si>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</si>
  <si>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</si>
  <si>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</si>
  <si>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</si>
  <si>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</si>
  <si>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</si>
  <si>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</si>
  <si>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</si>
  <si>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</si>
  <si>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</si>
  <si>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</si>
  <si>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</si>
  <si>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</si>
  <si>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</si>
  <si>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</si>
  <si>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</si>
  <si>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</si>
  <si>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</si>
  <si>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</si>
  <si>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</si>
  <si>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</si>
  <si>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</si>
  <si>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</si>
  <si>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</si>
  <si>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</si>
  <si>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</si>
  <si>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</si>
  <si>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</si>
  <si>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</si>
  <si>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</si>
  <si>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</si>
  <si>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</si>
  <si>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</si>
  <si>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</si>
  <si>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</si>
  <si>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</si>
  <si>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</si>
  <si>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</si>
  <si>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</si>
  <si>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</si>
  <si>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</si>
  <si>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</si>
  <si>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</si>
  <si>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</si>
  <si>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</si>
  <si>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</si>
  <si>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</si>
  <si>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</si>
  <si>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</si>
  <si>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</si>
  <si>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</si>
  <si>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</si>
  <si>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</si>
  <si>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</si>
  <si>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</si>
  <si>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</si>
  <si>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</si>
  <si>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</si>
  <si>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</si>
  <si>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</si>
  <si>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</si>
  <si>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</si>
  <si>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</si>
  <si>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</si>
  <si>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</si>
  <si>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</si>
  <si>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</si>
  <si>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</si>
  <si>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</si>
  <si>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</si>
  <si>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</si>
  <si>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</si>
  <si>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</si>
  <si>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</si>
  <si>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</si>
  <si>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</si>
  <si>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</si>
  <si>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</si>
  <si>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</si>
  <si>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</si>
  <si>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</si>
  <si>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</si>
  <si>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</si>
  <si>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</si>
  <si>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</si>
  <si>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</si>
  <si>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</si>
  <si>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</si>
  <si>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</si>
  <si>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</si>
  <si>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</si>
  <si>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</si>
  <si>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</si>
  <si>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</si>
  <si>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</si>
  <si>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</si>
  <si>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</si>
  <si>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</si>
  <si>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</si>
  <si>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</si>
  <si>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</si>
  <si>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</si>
  <si>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</si>
  <si>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</si>
  <si>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</si>
  <si>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</si>
  <si>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</si>
  <si>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</si>
  <si>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</si>
  <si>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</si>
  <si>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</si>
  <si>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</si>
  <si>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</si>
  <si>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</si>
  <si>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</si>
  <si>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</si>
  <si>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</si>
  <si>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</si>
  <si>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</si>
  <si>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</si>
  <si>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</si>
  <si>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</si>
  <si>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</si>
  <si>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</si>
  <si>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</si>
  <si>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</si>
  <si>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</si>
  <si>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</si>
  <si>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</si>
  <si>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</si>
  <si>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</si>
  <si>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</si>
  <si>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</si>
  <si>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</si>
  <si>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</si>
  <si>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</si>
  <si>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</si>
  <si>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</si>
  <si>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</si>
  <si>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</si>
  <si>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</si>
  <si>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</si>
  <si>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</si>
  <si>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</si>
  <si>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</si>
  <si>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</si>
  <si>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</si>
  <si>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</si>
  <si>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</si>
  <si>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</si>
  <si>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</si>
  <si>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</si>
  <si>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</si>
  <si>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</si>
  <si>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</si>
  <si>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</si>
  <si>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</si>
  <si>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</si>
  <si>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</si>
  <si>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</si>
  <si>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</si>
  <si>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</si>
  <si>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</si>
  <si>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</si>
  <si>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</si>
  <si>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</si>
  <si>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</si>
  <si>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</si>
  <si>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</si>
  <si>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</si>
  <si>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</si>
  <si>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</si>
  <si>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</si>
  <si>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</si>
  <si>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</si>
  <si>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</si>
  <si>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</si>
  <si>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</si>
  <si>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</si>
  <si>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</si>
  <si>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</si>
  <si>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</si>
  <si>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</si>
  <si>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</si>
  <si>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</si>
  <si>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</si>
  <si>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</si>
  <si>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</si>
  <si>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</si>
  <si>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</si>
  <si>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</si>
  <si>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</si>
  <si>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</si>
  <si>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</si>
  <si>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</si>
  <si>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</si>
  <si>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</si>
  <si>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</si>
  <si>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</si>
  <si>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</si>
  <si>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</si>
  <si>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</si>
  <si>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</si>
  <si>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</si>
  <si>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</si>
  <si>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</si>
  <si>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</si>
  <si>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</si>
  <si>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</si>
  <si>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</si>
  <si>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</si>
  <si>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</si>
  <si>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</si>
  <si>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</si>
  <si>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</si>
  <si>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</si>
  <si>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</si>
  <si>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</si>
  <si>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</si>
  <si>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</si>
  <si>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</si>
  <si>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</si>
  <si>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</si>
  <si>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</si>
  <si>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</si>
  <si>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</si>
  <si>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</si>
  <si>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</si>
  <si>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</si>
  <si>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</si>
  <si>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</si>
  <si>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</si>
  <si>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</si>
  <si>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</si>
  <si>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</si>
  <si>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</si>
  <si>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</si>
  <si>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</si>
  <si>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</si>
  <si>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</si>
  <si>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</si>
  <si>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</si>
  <si>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</si>
  <si>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</si>
  <si>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</si>
  <si>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</si>
  <si>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</si>
  <si>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</si>
  <si>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</si>
  <si>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</si>
  <si>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</si>
  <si>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</si>
  <si>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</si>
  <si>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</si>
  <si>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</si>
  <si>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</si>
  <si>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</si>
  <si>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</si>
  <si>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</si>
  <si>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</si>
  <si>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</si>
  <si>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</si>
  <si>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</si>
  <si>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</si>
  <si>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</si>
  <si>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</si>
  <si>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</si>
  <si>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</si>
  <si>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</si>
  <si>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</si>
  <si>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</si>
  <si>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</si>
  <si>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</si>
  <si>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</si>
  <si>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</si>
  <si>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</si>
  <si>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</si>
  <si>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</si>
  <si>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</si>
  <si>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</si>
  <si>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</si>
  <si>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</si>
  <si>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</si>
  <si>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</si>
  <si>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</si>
  <si>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</si>
  <si>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</si>
  <si>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</si>
  <si>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</si>
  <si>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</si>
  <si>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</si>
  <si>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</si>
  <si>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</si>
  <si>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</si>
  <si>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</si>
  <si>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</si>
  <si>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</si>
  <si>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</si>
  <si>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</si>
  <si>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</si>
  <si>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</si>
  <si>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</si>
  <si>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</si>
  <si>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</si>
  <si>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</si>
  <si>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</si>
  <si>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</si>
  <si>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</si>
  <si>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</si>
  <si>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</si>
  <si>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</si>
  <si>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</si>
  <si>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</si>
  <si>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</si>
  <si>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</si>
  <si>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</si>
  <si>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</si>
  <si>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</si>
  <si>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</si>
  <si>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</si>
  <si>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</si>
  <si>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</si>
  <si>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</si>
  <si>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</si>
  <si>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</si>
  <si>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</si>
  <si>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</si>
  <si>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</si>
  <si>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</si>
  <si>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</si>
  <si>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</si>
  <si>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</si>
  <si>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</si>
  <si>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</si>
  <si>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</si>
  <si>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</si>
  <si>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</si>
  <si>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</si>
  <si>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</si>
  <si>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</si>
  <si>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</si>
  <si>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</si>
  <si>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</si>
  <si>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</si>
  <si>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</si>
  <si>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</si>
  <si>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</si>
  <si>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</si>
  <si>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</si>
  <si>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</si>
  <si>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</si>
  <si>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</si>
  <si>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</si>
  <si>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</si>
  <si>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</si>
  <si>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</si>
  <si>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</si>
  <si>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</si>
  <si>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</si>
  <si>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</si>
  <si>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</si>
  <si>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</si>
  <si>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</si>
  <si>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</si>
  <si>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</si>
  <si>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</si>
  <si>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</si>
  <si>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</si>
  <si>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</si>
  <si>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</si>
  <si>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</si>
  <si>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</si>
  <si>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</si>
  <si>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</si>
  <si>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</si>
  <si>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</si>
  <si>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</si>
  <si>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</si>
  <si>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</si>
  <si>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</si>
  <si>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</si>
  <si>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</si>
  <si>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</si>
  <si>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</si>
  <si>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</si>
  <si>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</si>
  <si>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</si>
  <si>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</si>
  <si>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</si>
  <si>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</si>
  <si>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</si>
  <si>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</si>
  <si>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</si>
  <si>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</si>
  <si>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</si>
  <si>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</si>
  <si>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</si>
  <si>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</si>
  <si>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</si>
  <si>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</si>
  <si>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</si>
  <si>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</si>
  <si>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</si>
  <si>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</si>
  <si>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</si>
  <si>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</si>
  <si>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</si>
  <si>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</si>
  <si>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</si>
  <si>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</si>
  <si>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</si>
  <si>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</si>
  <si>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</si>
  <si>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</si>
  <si>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</si>
  <si>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</si>
  <si>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</si>
  <si>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</si>
  <si>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</si>
  <si>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</si>
  <si>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</si>
  <si>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</si>
  <si>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</si>
  <si>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</si>
  <si>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</si>
  <si>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</si>
  <si>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</si>
  <si>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</si>
  <si>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</si>
  <si>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</si>
  <si>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</si>
  <si>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</si>
  <si>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</si>
  <si>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</si>
  <si>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</si>
  <si>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</si>
  <si>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</si>
  <si>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</si>
  <si>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</si>
  <si>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</si>
  <si>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</si>
  <si>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</si>
  <si>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</si>
  <si>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</si>
  <si>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</si>
  <si>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</si>
  <si>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</si>
  <si>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</si>
  <si>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</si>
  <si>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</si>
  <si>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</si>
  <si>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</si>
  <si>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</si>
  <si>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</si>
  <si>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</si>
  <si>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</si>
  <si>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</si>
  <si>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</si>
  <si>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</si>
  <si>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</si>
  <si>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</si>
  <si>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</si>
  <si>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</si>
  <si>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</si>
  <si>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</si>
  <si>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</si>
  <si>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</si>
  <si>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</si>
  <si>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</si>
  <si>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</si>
  <si>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</si>
  <si>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</si>
  <si>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</si>
  <si>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</si>
  <si>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</si>
  <si>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</si>
  <si>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</si>
  <si>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</si>
  <si>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</si>
  <si>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</si>
  <si>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</si>
  <si>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</si>
  <si>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</si>
  <si>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</si>
  <si>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</si>
  <si>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</si>
  <si>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</si>
  <si>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</si>
  <si>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</si>
  <si>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</si>
  <si>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</si>
  <si>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</si>
  <si>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</si>
  <si>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</si>
  <si>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</si>
  <si>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</si>
  <si>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</si>
  <si>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</si>
  <si>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</si>
  <si>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</si>
  <si>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</si>
  <si>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</si>
  <si>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</si>
  <si>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</si>
  <si>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</si>
  <si>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</si>
  <si>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</si>
  <si>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</si>
  <si>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</si>
  <si>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</si>
  <si>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</si>
  <si>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</si>
  <si>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</si>
  <si>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</si>
  <si>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</si>
  <si>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</si>
  <si>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</si>
  <si>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</si>
  <si>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</si>
  <si>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</si>
  <si>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</si>
  <si>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</si>
  <si>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</si>
  <si>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</si>
  <si>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</si>
  <si>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</si>
  <si>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</si>
  <si>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</si>
  <si>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</si>
  <si>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</si>
  <si>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</si>
  <si>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</si>
  <si>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</si>
  <si>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</si>
  <si>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</si>
  <si>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</si>
  <si>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</si>
  <si>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</si>
  <si>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</si>
  <si>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</si>
  <si>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</si>
  <si>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</si>
  <si>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</si>
  <si>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</si>
  <si>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</si>
  <si>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</si>
  <si>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</si>
  <si>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</si>
  <si>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</si>
  <si>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</si>
  <si>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</si>
  <si>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</si>
  <si>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</si>
  <si>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</si>
  <si>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</si>
  <si>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</si>
  <si>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</si>
  <si>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</si>
  <si>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</si>
  <si>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</si>
  <si>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</si>
  <si>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</si>
  <si>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</si>
  <si>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</si>
  <si>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</si>
  <si>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</si>
  <si>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</si>
  <si>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</si>
  <si>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</si>
  <si>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</si>
  <si>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</si>
  <si>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</si>
  <si>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</si>
  <si>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</si>
  <si>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</si>
  <si>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</si>
  <si>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</si>
  <si>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</si>
  <si>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</si>
  <si>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</si>
  <si>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</si>
  <si>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</si>
  <si>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</si>
  <si>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</si>
  <si>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</si>
  <si>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</si>
  <si>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</si>
  <si>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</si>
  <si>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</si>
  <si>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</si>
  <si>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</si>
  <si>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</si>
  <si>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</si>
  <si>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</si>
  <si>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</si>
  <si>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</si>
  <si>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</si>
  <si>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</si>
  <si>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</si>
  <si>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</si>
  <si>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</si>
  <si>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</si>
  <si>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</si>
  <si>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</si>
  <si>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</si>
  <si>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</si>
  <si>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</si>
  <si>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</si>
  <si>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</si>
  <si>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FALL RIVER TOWNSHIP</t>
  </si>
  <si>
    <t>GREENWOOD COUNTY</t>
  </si>
  <si>
    <t>Mowing and Ditching</t>
  </si>
  <si>
    <t>Publications</t>
  </si>
  <si>
    <t>Buildings</t>
  </si>
  <si>
    <t>Accounting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</si>
</sst>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5">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8" borderId="10"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7" applyFont="1" applyAlignment="1">
      <alignment vertical="center"/>
      <protection/>
    </xf>
    <xf numFmtId="0" fontId="0" fillId="0" borderId="0" xfId="450">
      <alignment/>
      <protection/>
    </xf>
    <xf numFmtId="0" fontId="0" fillId="0" borderId="0" xfId="450" applyNumberFormat="1" applyFont="1" applyAlignment="1">
      <alignment horizontal="left" vertical="center"/>
      <protection/>
    </xf>
    <xf numFmtId="0" fontId="6" fillId="0" borderId="0" xfId="450" applyFont="1" applyAlignment="1">
      <alignment horizontal="left" vertical="center"/>
      <protection/>
    </xf>
    <xf numFmtId="49" fontId="6" fillId="42" borderId="0" xfId="450" applyNumberFormat="1" applyFont="1" applyFill="1" applyAlignment="1" applyProtection="1">
      <alignment horizontal="left" vertical="center"/>
      <protection locked="0"/>
    </xf>
    <xf numFmtId="182" fontId="27"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7" fillId="0" borderId="0" xfId="450" applyFont="1" applyAlignment="1">
      <alignment horizontal="left" vertical="center"/>
      <protection/>
    </xf>
    <xf numFmtId="183" fontId="27" fillId="0" borderId="0" xfId="450" applyNumberFormat="1" applyFont="1" applyAlignment="1">
      <alignment horizontal="left" vertical="center"/>
      <protection/>
    </xf>
    <xf numFmtId="0" fontId="6" fillId="42" borderId="0" xfId="450" applyFont="1" applyFill="1" applyAlignment="1" applyProtection="1">
      <alignment horizontal="left" vertical="center"/>
      <protection locked="0"/>
    </xf>
    <xf numFmtId="0" fontId="0" fillId="42" borderId="0" xfId="450"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6" applyFont="1" applyAlignment="1">
      <alignment vertical="center"/>
      <protection/>
    </xf>
    <xf numFmtId="0" fontId="6" fillId="0" borderId="0" xfId="141" applyFont="1" applyAlignment="1">
      <alignment vertical="center"/>
      <protection/>
    </xf>
    <xf numFmtId="0" fontId="6" fillId="0" borderId="0" xfId="463"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1" applyFont="1">
      <alignment/>
      <protection/>
    </xf>
    <xf numFmtId="0" fontId="4" fillId="0" borderId="0" xfId="211"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5"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5"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5" applyFont="1">
      <alignment/>
      <protection/>
    </xf>
    <xf numFmtId="0" fontId="39" fillId="0" borderId="0" xfId="85" applyFont="1" applyAlignment="1">
      <alignment horizontal="center"/>
      <protection/>
    </xf>
    <xf numFmtId="0" fontId="6" fillId="0" borderId="0" xfId="85" applyFont="1" applyAlignment="1">
      <alignment wrapText="1"/>
      <protection/>
    </xf>
    <xf numFmtId="0" fontId="40" fillId="0" borderId="0" xfId="67"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0" applyFont="1" applyFill="1" applyAlignment="1" applyProtection="1">
      <alignment horizontal="right" vertical="center"/>
      <protection/>
    </xf>
    <xf numFmtId="0" fontId="5" fillId="34" borderId="0" xfId="85"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6"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vertical="center"/>
      <protection/>
    </xf>
    <xf numFmtId="37" fontId="6" fillId="34" borderId="13" xfId="436" applyNumberFormat="1" applyFont="1" applyFill="1" applyBorder="1" applyAlignment="1" applyProtection="1">
      <alignment horizontal="center" vertical="center"/>
      <protection/>
    </xf>
    <xf numFmtId="0" fontId="6" fillId="0" borderId="0" xfId="304" applyFont="1" applyAlignment="1">
      <alignment vertical="center" wrapText="1"/>
      <protection/>
    </xf>
    <xf numFmtId="0" fontId="6" fillId="0" borderId="0" xfId="100" applyFont="1" applyAlignment="1">
      <alignment vertical="center" wrapText="1"/>
      <protection/>
    </xf>
    <xf numFmtId="0" fontId="6" fillId="0" borderId="0" xfId="100"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3"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5" applyFont="1" applyFill="1">
      <alignment/>
      <protection/>
    </xf>
    <xf numFmtId="0" fontId="4" fillId="0" borderId="0" xfId="85">
      <alignment/>
      <protection/>
    </xf>
    <xf numFmtId="0" fontId="6" fillId="44" borderId="0" xfId="85" applyFont="1" applyFill="1" applyAlignment="1">
      <alignment vertical="center"/>
      <protection/>
    </xf>
    <xf numFmtId="37" fontId="6" fillId="44" borderId="0" xfId="85" applyNumberFormat="1" applyFont="1" applyFill="1" applyAlignment="1">
      <alignment vertical="center"/>
      <protection/>
    </xf>
    <xf numFmtId="0" fontId="6" fillId="44" borderId="11" xfId="85" applyFont="1" applyFill="1" applyBorder="1" applyAlignment="1">
      <alignment vertical="center"/>
      <protection/>
    </xf>
    <xf numFmtId="0" fontId="6" fillId="44" borderId="0" xfId="85" applyFont="1" applyFill="1" applyAlignment="1">
      <alignment horizontal="center" vertical="center"/>
      <protection/>
    </xf>
    <xf numFmtId="0" fontId="7" fillId="44" borderId="0" xfId="85" applyFont="1" applyFill="1" applyAlignment="1">
      <alignment horizontal="center" vertical="center"/>
      <protection/>
    </xf>
    <xf numFmtId="186" fontId="6" fillId="44" borderId="0" xfId="85" applyNumberFormat="1" applyFont="1" applyFill="1" applyAlignment="1">
      <alignment vertical="center"/>
      <protection/>
    </xf>
    <xf numFmtId="186" fontId="6" fillId="44" borderId="24" xfId="85" applyNumberFormat="1" applyFont="1" applyFill="1" applyBorder="1" applyAlignment="1">
      <alignment vertical="center"/>
      <protection/>
    </xf>
    <xf numFmtId="6" fontId="6" fillId="44" borderId="0" xfId="85" applyNumberFormat="1" applyFont="1" applyFill="1" applyBorder="1" applyAlignment="1">
      <alignment vertical="center"/>
      <protection/>
    </xf>
    <xf numFmtId="186" fontId="6" fillId="44" borderId="0" xfId="85" applyNumberFormat="1" applyFont="1" applyFill="1" applyBorder="1" applyAlignment="1">
      <alignment vertical="center"/>
      <protection/>
    </xf>
    <xf numFmtId="0" fontId="92" fillId="47" borderId="0" xfId="85" applyFont="1" applyFill="1" applyAlignment="1">
      <alignment vertical="center"/>
      <protection/>
    </xf>
    <xf numFmtId="0" fontId="92" fillId="44" borderId="0" xfId="85" applyFont="1" applyFill="1" applyAlignment="1">
      <alignment horizontal="center" vertical="center"/>
      <protection/>
    </xf>
    <xf numFmtId="181" fontId="6" fillId="44" borderId="0" xfId="85" applyNumberFormat="1" applyFont="1" applyFill="1" applyAlignment="1">
      <alignment horizontal="center" vertical="center"/>
      <protection/>
    </xf>
    <xf numFmtId="190" fontId="92" fillId="44" borderId="0" xfId="85" applyNumberFormat="1" applyFont="1" applyFill="1" applyAlignment="1">
      <alignment horizontal="center" vertical="center"/>
      <protection/>
    </xf>
    <xf numFmtId="0" fontId="92" fillId="47" borderId="0" xfId="85" applyFont="1" applyFill="1" applyAlignment="1">
      <alignment horizontal="center" vertical="center"/>
      <protection/>
    </xf>
    <xf numFmtId="0" fontId="84" fillId="47" borderId="0" xfId="85" applyFont="1" applyFill="1" applyAlignment="1">
      <alignment horizontal="center" vertical="center"/>
      <protection/>
    </xf>
    <xf numFmtId="0" fontId="6" fillId="44" borderId="0" xfId="85" applyFont="1" applyFill="1" applyAlignment="1">
      <alignment horizontal="right" vertical="center"/>
      <protection/>
    </xf>
    <xf numFmtId="0" fontId="6" fillId="44" borderId="0" xfId="85" applyFont="1" applyFill="1" applyAlignment="1">
      <alignment horizontal="left" vertical="center"/>
      <protection/>
    </xf>
    <xf numFmtId="0" fontId="6" fillId="44" borderId="0" xfId="82" applyFont="1" applyFill="1">
      <alignment/>
      <protection/>
    </xf>
    <xf numFmtId="0" fontId="4" fillId="44" borderId="0" xfId="85" applyFill="1">
      <alignment/>
      <protection/>
    </xf>
    <xf numFmtId="0" fontId="5" fillId="44" borderId="0" xfId="82" applyFont="1" applyFill="1">
      <alignment/>
      <protection/>
    </xf>
    <xf numFmtId="0" fontId="4" fillId="44" borderId="0" xfId="82" applyFill="1">
      <alignment/>
      <protection/>
    </xf>
    <xf numFmtId="0" fontId="33" fillId="0" borderId="0" xfId="64" applyAlignment="1" applyProtection="1">
      <alignment/>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0" fontId="5" fillId="34" borderId="0" xfId="82" applyFont="1" applyFill="1" applyAlignment="1" applyProtection="1">
      <alignmen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2" xfId="82" applyNumberFormat="1" applyFont="1" applyFill="1" applyBorder="1" applyAlignment="1" applyProtection="1">
      <alignment horizontal="center" vertical="center"/>
      <protection/>
    </xf>
    <xf numFmtId="37" fontId="6" fillId="34" borderId="20" xfId="82" applyNumberFormat="1" applyFont="1" applyFill="1" applyBorder="1" applyAlignment="1" applyProtection="1">
      <alignment horizontal="center" vertical="center"/>
      <protection/>
    </xf>
    <xf numFmtId="37" fontId="6" fillId="34" borderId="12" xfId="82" applyNumberFormat="1" applyFont="1" applyFill="1" applyBorder="1" applyAlignment="1" applyProtection="1">
      <alignment horizontal="center" vertical="center"/>
      <protection/>
    </xf>
    <xf numFmtId="37" fontId="5" fillId="34" borderId="11"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21"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0"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0"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0"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0"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41" borderId="14" xfId="82" applyNumberFormat="1" applyFont="1" applyFill="1" applyBorder="1" applyAlignment="1" applyProtection="1">
      <alignment horizontal="center" vertical="center"/>
      <protection/>
    </xf>
    <xf numFmtId="3" fontId="18" fillId="41" borderId="10"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0" xfId="82" applyNumberFormat="1" applyFont="1" applyFill="1" applyBorder="1" applyAlignment="1" applyProtection="1">
      <alignment vertical="center"/>
      <protection/>
    </xf>
    <xf numFmtId="0" fontId="10" fillId="44" borderId="28" xfId="82" applyFont="1" applyFill="1" applyBorder="1" applyAlignment="1" applyProtection="1">
      <alignment vertical="center"/>
      <protection/>
    </xf>
    <xf numFmtId="0" fontId="6" fillId="44" borderId="0" xfId="82" applyFont="1" applyFill="1" applyBorder="1" applyAlignment="1" applyProtection="1">
      <alignment vertical="center"/>
      <protection/>
    </xf>
    <xf numFmtId="0" fontId="10" fillId="44" borderId="0" xfId="82" applyFont="1" applyFill="1" applyBorder="1" applyAlignment="1" applyProtection="1">
      <alignment vertical="center"/>
      <protection/>
    </xf>
    <xf numFmtId="186" fontId="10" fillId="44" borderId="23" xfId="82" applyNumberFormat="1" applyFont="1" applyFill="1" applyBorder="1" applyAlignment="1" applyProtection="1">
      <alignment horizontal="center" vertical="center"/>
      <protection/>
    </xf>
    <xf numFmtId="0" fontId="10" fillId="44" borderId="28" xfId="82" applyFont="1" applyFill="1" applyBorder="1" applyAlignment="1" applyProtection="1">
      <alignment horizontal="left" vertical="center"/>
      <protection/>
    </xf>
    <xf numFmtId="186" fontId="10" fillId="42" borderId="10" xfId="82" applyNumberFormat="1" applyFont="1" applyFill="1" applyBorder="1" applyAlignment="1" applyProtection="1">
      <alignment horizontal="center" vertical="center"/>
      <protection locked="0"/>
    </xf>
    <xf numFmtId="181" fontId="42" fillId="44" borderId="15" xfId="82" applyNumberFormat="1" applyFont="1" applyFill="1" applyBorder="1" applyAlignment="1" applyProtection="1">
      <alignment horizontal="center" vertical="center"/>
      <protection/>
    </xf>
    <xf numFmtId="0" fontId="42" fillId="47" borderId="28"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6" fontId="42" fillId="47" borderId="15" xfId="82" applyNumberFormat="1" applyFont="1" applyFill="1" applyBorder="1" applyAlignment="1" applyProtection="1">
      <alignment horizontal="center" vertical="center"/>
      <protection/>
    </xf>
    <xf numFmtId="37" fontId="10" fillId="34" borderId="21" xfId="82" applyNumberFormat="1" applyFont="1" applyFill="1" applyBorder="1" applyAlignment="1" applyProtection="1">
      <alignment horizontal="left" vertical="center"/>
      <protection/>
    </xf>
    <xf numFmtId="0" fontId="44" fillId="44" borderId="11" xfId="82" applyFont="1" applyFill="1" applyBorder="1" applyAlignment="1">
      <alignment horizontal="left" vertical="center"/>
      <protection/>
    </xf>
    <xf numFmtId="186" fontId="42" fillId="47" borderId="18"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23" xfId="82" applyNumberFormat="1" applyFont="1" applyFill="1" applyBorder="1" applyAlignment="1" applyProtection="1">
      <alignment horizontal="right" vertical="center"/>
      <protection/>
    </xf>
    <xf numFmtId="3" fontId="5" fillId="38" borderId="14" xfId="82" applyNumberFormat="1" applyFont="1" applyFill="1" applyBorder="1" applyAlignment="1" applyProtection="1">
      <alignment vertical="center"/>
      <protection/>
    </xf>
    <xf numFmtId="3" fontId="5" fillId="38" borderId="10" xfId="82" applyNumberFormat="1" applyFont="1" applyFill="1" applyBorder="1" applyAlignment="1" applyProtection="1">
      <alignment vertical="center"/>
      <protection/>
    </xf>
    <xf numFmtId="186" fontId="10" fillId="44" borderId="28" xfId="82" applyNumberFormat="1" applyFont="1" applyFill="1" applyBorder="1" applyAlignment="1" applyProtection="1">
      <alignment horizontal="center" vertical="center"/>
      <protection/>
    </xf>
    <xf numFmtId="0" fontId="10" fillId="44" borderId="0" xfId="82" applyFont="1" applyFill="1" applyBorder="1" applyAlignment="1" applyProtection="1">
      <alignment horizontal="left" vertical="center"/>
      <protection/>
    </xf>
    <xf numFmtId="0" fontId="10" fillId="44" borderId="23" xfId="82" applyFont="1" applyFill="1" applyBorder="1" applyAlignment="1" applyProtection="1">
      <alignment vertical="center"/>
      <protection/>
    </xf>
    <xf numFmtId="3" fontId="6" fillId="38"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0"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6" fontId="10" fillId="44" borderId="21" xfId="82" applyNumberFormat="1" applyFont="1" applyFill="1" applyBorder="1" applyAlignment="1" applyProtection="1">
      <alignment horizontal="center" vertical="center"/>
      <protection/>
    </xf>
    <xf numFmtId="0" fontId="93" fillId="0" borderId="0" xfId="82" applyFont="1" applyProtection="1">
      <alignment/>
      <protection locked="0"/>
    </xf>
    <xf numFmtId="0" fontId="88" fillId="34" borderId="0" xfId="82" applyFont="1" applyFill="1" applyAlignment="1" applyProtection="1">
      <alignment horizontal="center" vertical="center"/>
      <protection/>
    </xf>
    <xf numFmtId="186" fontId="10" fillId="44" borderId="28"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8" borderId="10" xfId="82" applyNumberFormat="1" applyFont="1" applyFill="1" applyBorder="1" applyAlignment="1" applyProtection="1">
      <alignment vertical="center"/>
      <protection/>
    </xf>
    <xf numFmtId="189" fontId="6" fillId="44" borderId="0" xfId="100" applyNumberFormat="1" applyFont="1" applyFill="1" applyAlignment="1">
      <alignment horizontal="center" vertical="center"/>
      <protection/>
    </xf>
    <xf numFmtId="186" fontId="10" fillId="47" borderId="21" xfId="82" applyNumberFormat="1" applyFont="1" applyFill="1" applyBorder="1" applyAlignment="1" applyProtection="1">
      <alignment horizontal="center" vertical="center"/>
      <protection/>
    </xf>
    <xf numFmtId="0" fontId="10" fillId="47" borderId="11" xfId="82" applyFont="1" applyFill="1" applyBorder="1" applyAlignment="1" applyProtection="1">
      <alignment vertical="center"/>
      <protection/>
    </xf>
    <xf numFmtId="0" fontId="10" fillId="47" borderId="18" xfId="82" applyFont="1" applyFill="1" applyBorder="1" applyAlignment="1" applyProtection="1">
      <alignment vertical="center"/>
      <protection/>
    </xf>
    <xf numFmtId="37" fontId="6" fillId="47" borderId="18" xfId="82" applyNumberFormat="1" applyFont="1" applyFill="1" applyBorder="1" applyAlignment="1" applyProtection="1">
      <alignment horizontal="right" vertical="center"/>
      <protection/>
    </xf>
    <xf numFmtId="0" fontId="6" fillId="34" borderId="0" xfId="64" applyNumberFormat="1" applyFont="1" applyFill="1" applyBorder="1" applyAlignment="1" applyProtection="1">
      <alignment horizontal="right" vertical="center"/>
      <protection/>
    </xf>
    <xf numFmtId="3" fontId="6" fillId="40" borderId="19" xfId="82" applyNumberFormat="1" applyFont="1" applyFill="1" applyBorder="1" applyAlignment="1" applyProtection="1">
      <alignment vertical="center"/>
      <protection/>
    </xf>
    <xf numFmtId="181" fontId="6" fillId="44" borderId="0" xfId="82" applyNumberFormat="1" applyFont="1" applyFill="1" applyBorder="1" applyAlignment="1" applyProtection="1">
      <alignment vertical="center"/>
      <protection/>
    </xf>
    <xf numFmtId="181" fontId="10" fillId="44" borderId="28" xfId="82" applyNumberFormat="1" applyFont="1" applyFill="1" applyBorder="1" applyAlignment="1" applyProtection="1">
      <alignment horizontal="center" vertical="center"/>
      <protection/>
    </xf>
    <xf numFmtId="0" fontId="41" fillId="44" borderId="0" xfId="82" applyFont="1" applyFill="1" applyBorder="1" applyAlignment="1" applyProtection="1">
      <alignment horizontal="center" vertical="center"/>
      <protection/>
    </xf>
    <xf numFmtId="0" fontId="4" fillId="44" borderId="23" xfId="82" applyFill="1" applyBorder="1" applyAlignment="1" applyProtection="1">
      <alignment vertical="center"/>
      <protection/>
    </xf>
    <xf numFmtId="181" fontId="10" fillId="47" borderId="21" xfId="82" applyNumberFormat="1" applyFont="1" applyFill="1" applyBorder="1" applyAlignment="1" applyProtection="1">
      <alignment horizontal="center" vertical="center"/>
      <protection/>
    </xf>
    <xf numFmtId="181" fontId="10" fillId="44"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4" borderId="11" xfId="82" applyFont="1" applyFill="1" applyBorder="1" applyAlignment="1" applyProtection="1">
      <alignment horizontal="left" vertical="center"/>
      <protection/>
    </xf>
    <xf numFmtId="0" fontId="41" fillId="44" borderId="11" xfId="82" applyFont="1" applyFill="1" applyBorder="1" applyAlignment="1" applyProtection="1">
      <alignment horizontal="center" vertical="center"/>
      <protection/>
    </xf>
    <xf numFmtId="0" fontId="4" fillId="44" borderId="18" xfId="82" applyFill="1" applyBorder="1" applyAlignment="1" applyProtection="1">
      <alignment vertical="center"/>
      <protection/>
    </xf>
    <xf numFmtId="37" fontId="6" fillId="34" borderId="21" xfId="82" applyNumberFormat="1" applyFont="1" applyFill="1" applyBorder="1" applyAlignment="1" applyProtection="1">
      <alignment horizontal="left" vertical="center"/>
      <protection/>
    </xf>
    <xf numFmtId="3" fontId="6" fillId="33" borderId="10" xfId="82" applyNumberFormat="1" applyFont="1" applyFill="1" applyBorder="1" applyAlignment="1" applyProtection="1">
      <alignment horizontal="right" vertical="center"/>
      <protection locked="0"/>
    </xf>
    <xf numFmtId="0" fontId="6" fillId="44" borderId="28" xfId="82" applyFont="1" applyFill="1" applyBorder="1" applyAlignment="1" applyProtection="1">
      <alignment vertical="center"/>
      <protection/>
    </xf>
    <xf numFmtId="0" fontId="6" fillId="44" borderId="23" xfId="82" applyFont="1" applyFill="1" applyBorder="1" applyProtection="1">
      <alignment/>
      <protection locked="0"/>
    </xf>
    <xf numFmtId="0" fontId="45" fillId="0" borderId="0" xfId="82" applyFont="1" applyAlignment="1" applyProtection="1">
      <alignment horizontal="right" vertical="center"/>
      <protection/>
    </xf>
    <xf numFmtId="186" fontId="27" fillId="44" borderId="28" xfId="82" applyNumberFormat="1" applyFont="1" applyFill="1" applyBorder="1" applyAlignment="1" applyProtection="1">
      <alignment horizontal="center" vertical="center"/>
      <protection/>
    </xf>
    <xf numFmtId="0" fontId="6" fillId="44" borderId="23" xfId="82" applyFont="1" applyFill="1" applyBorder="1" applyAlignment="1" applyProtection="1">
      <alignment vertical="center"/>
      <protection/>
    </xf>
    <xf numFmtId="186" fontId="27" fillId="44" borderId="28" xfId="82" applyNumberFormat="1" applyFont="1" applyFill="1" applyBorder="1" applyAlignment="1" applyProtection="1">
      <alignment vertical="center"/>
      <protection/>
    </xf>
    <xf numFmtId="0" fontId="27" fillId="44" borderId="0" xfId="82" applyFont="1" applyFill="1" applyBorder="1" applyAlignment="1" applyProtection="1">
      <alignment vertical="center"/>
      <protection/>
    </xf>
    <xf numFmtId="0" fontId="6" fillId="47" borderId="18" xfId="82" applyFont="1" applyFill="1" applyBorder="1" applyAlignment="1" applyProtection="1">
      <alignment vertical="center"/>
      <protection/>
    </xf>
    <xf numFmtId="0" fontId="6" fillId="47" borderId="18" xfId="82" applyFont="1" applyFill="1" applyBorder="1" applyProtection="1">
      <alignment/>
      <protection locked="0"/>
    </xf>
    <xf numFmtId="0" fontId="93"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4"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8" fillId="0" borderId="0" xfId="82" applyFont="1" applyProtection="1">
      <alignment/>
      <protection locked="0"/>
    </xf>
    <xf numFmtId="0" fontId="88" fillId="0" borderId="0" xfId="100"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3" applyFont="1" applyFill="1" applyBorder="1" applyAlignment="1" applyProtection="1">
      <alignment vertical="center"/>
      <protection/>
    </xf>
    <xf numFmtId="0" fontId="5" fillId="34" borderId="16"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0" xfId="473" applyFont="1" applyFill="1" applyBorder="1" applyAlignment="1" applyProtection="1">
      <alignment horizontal="left" vertical="center"/>
      <protection/>
    </xf>
    <xf numFmtId="0" fontId="5" fillId="34" borderId="10" xfId="473"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50" applyNumberFormat="1" applyFont="1" applyFill="1" applyAlignment="1" applyProtection="1">
      <alignment horizontal="left" vertical="center"/>
      <protection locked="0"/>
    </xf>
    <xf numFmtId="0" fontId="94" fillId="0" borderId="0" xfId="0" applyFont="1" applyAlignment="1">
      <alignment/>
    </xf>
    <xf numFmtId="0" fontId="95" fillId="0" borderId="0" xfId="450" applyFont="1">
      <alignment/>
      <protection/>
    </xf>
    <xf numFmtId="182" fontId="96" fillId="0" borderId="0" xfId="450" applyNumberFormat="1" applyFont="1" applyAlignment="1">
      <alignment horizontal="left" vertical="center"/>
      <protection/>
    </xf>
    <xf numFmtId="0" fontId="96" fillId="0" borderId="0" xfId="450" applyNumberFormat="1" applyFont="1" applyAlignment="1">
      <alignment horizontal="left" vertical="center"/>
      <protection/>
    </xf>
    <xf numFmtId="1" fontId="96" fillId="0" borderId="0" xfId="450" applyNumberFormat="1" applyFont="1" applyAlignment="1">
      <alignment horizontal="left" vertical="center"/>
      <protection/>
    </xf>
    <xf numFmtId="0" fontId="97" fillId="0" borderId="0" xfId="450"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2" applyFont="1" applyAlignment="1" applyProtection="1">
      <alignment vertical="center"/>
      <protection/>
    </xf>
    <xf numFmtId="0" fontId="6" fillId="34" borderId="17" xfId="0" applyFont="1" applyFill="1" applyBorder="1" applyAlignment="1" applyProtection="1">
      <alignment/>
      <protection/>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0" applyNumberFormat="1" applyFont="1" applyAlignment="1">
      <alignment vertical="center" wrapText="1"/>
    </xf>
    <xf numFmtId="0" fontId="6" fillId="0" borderId="0" xfId="80" applyFont="1" applyAlignment="1">
      <alignment vertical="center" wrapText="1"/>
      <protection/>
    </xf>
    <xf numFmtId="0" fontId="6" fillId="0" borderId="0" xfId="79" applyFont="1" applyAlignment="1">
      <alignment vertical="center" wrapText="1"/>
      <protection/>
    </xf>
    <xf numFmtId="0" fontId="6" fillId="0" borderId="0" xfId="124" applyFont="1" applyAlignment="1">
      <alignment vertical="center" wrapText="1"/>
      <protection/>
    </xf>
    <xf numFmtId="0" fontId="6" fillId="0" borderId="0" xfId="79" applyFont="1" applyAlignment="1">
      <alignment vertical="center"/>
      <protection/>
    </xf>
    <xf numFmtId="0" fontId="33" fillId="32" borderId="0" xfId="65" applyFill="1" applyAlignment="1" applyProtection="1">
      <alignment/>
      <protection/>
    </xf>
    <xf numFmtId="0" fontId="67" fillId="32" borderId="0" xfId="406" applyFill="1">
      <alignment/>
      <protection/>
    </xf>
    <xf numFmtId="0" fontId="6" fillId="0" borderId="0" xfId="209"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4" borderId="0" xfId="85" applyFont="1" applyFill="1" applyAlignment="1">
      <alignment horizontal="center" vertical="center"/>
      <protection/>
    </xf>
    <xf numFmtId="0" fontId="20" fillId="44" borderId="0" xfId="85" applyFont="1" applyFill="1" applyAlignment="1">
      <alignment horizontal="center" vertical="center"/>
      <protection/>
    </xf>
    <xf numFmtId="0" fontId="6" fillId="44" borderId="0" xfId="85" applyFont="1" applyFill="1" applyAlignment="1">
      <alignment vertical="center" wrapText="1"/>
      <protection/>
    </xf>
    <xf numFmtId="0" fontId="20" fillId="44" borderId="0" xfId="464" applyFont="1" applyFill="1" applyAlignment="1">
      <alignment horizontal="center"/>
      <protection/>
    </xf>
    <xf numFmtId="0" fontId="4" fillId="44" borderId="0" xfId="85"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3" fontId="6" fillId="34" borderId="24" xfId="100" applyNumberFormat="1" applyFont="1" applyFill="1" applyBorder="1" applyAlignment="1" applyProtection="1">
      <alignment horizontal="right" vertical="center"/>
      <protection/>
    </xf>
    <xf numFmtId="0" fontId="4" fillId="0" borderId="22" xfId="100" applyBorder="1" applyAlignment="1">
      <alignment horizontal="right" vertical="center"/>
      <protection/>
    </xf>
    <xf numFmtId="0" fontId="6" fillId="34" borderId="0" xfId="100" applyFont="1" applyFill="1" applyAlignment="1" applyProtection="1">
      <alignment horizontal="right" vertical="center"/>
      <protection/>
    </xf>
    <xf numFmtId="0" fontId="6" fillId="0" borderId="23" xfId="100"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22" xfId="82" applyBorder="1" applyAlignment="1">
      <alignment vertical="center"/>
      <protection/>
    </xf>
    <xf numFmtId="0" fontId="44" fillId="0" borderId="24" xfId="82" applyFont="1" applyBorder="1" applyAlignment="1">
      <alignment horizontal="center" vertical="center"/>
      <protection/>
    </xf>
    <xf numFmtId="0" fontId="4" fillId="0" borderId="22" xfId="82" applyBorder="1" applyAlignment="1">
      <alignment/>
      <protection/>
    </xf>
    <xf numFmtId="0" fontId="6" fillId="34" borderId="0" xfId="64" applyNumberFormat="1" applyFont="1" applyFill="1" applyBorder="1" applyAlignment="1" applyProtection="1">
      <alignment horizontal="right" vertical="center"/>
      <protection/>
    </xf>
    <xf numFmtId="0" fontId="6" fillId="0" borderId="0" xfId="64" applyFont="1" applyAlignment="1" applyProtection="1">
      <alignment horizontal="right" vertical="center"/>
      <protection/>
    </xf>
    <xf numFmtId="181" fontId="41" fillId="44" borderId="20"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22" xfId="82" applyFont="1" applyBorder="1" applyAlignment="1">
      <alignment/>
      <protection/>
    </xf>
    <xf numFmtId="0" fontId="4" fillId="0" borderId="24" xfId="82"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7" xfId="52"/>
    <cellStyle name="Comma 7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2 3" xfId="66"/>
    <cellStyle name="Hyperlink 3" xfId="67"/>
    <cellStyle name="Hyperlink 3 2" xfId="68"/>
    <cellStyle name="Hyperlink 3 3" xfId="69"/>
    <cellStyle name="Hyperlink 3 4" xfId="70"/>
    <cellStyle name="Hyperlink 4" xfId="71"/>
    <cellStyle name="Hyperlink 4 2" xfId="72"/>
    <cellStyle name="Hyperlink 7" xfId="73"/>
    <cellStyle name="Hyperlink 7 2" xfId="74"/>
    <cellStyle name="Hyperlink 7 3" xfId="75"/>
    <cellStyle name="Input" xfId="76"/>
    <cellStyle name="Linked Cell" xfId="77"/>
    <cellStyle name="Neutral" xfId="78"/>
    <cellStyle name="Normal 10" xfId="79"/>
    <cellStyle name="Normal 10 2" xfId="80"/>
    <cellStyle name="Normal 10 2 2" xfId="81"/>
    <cellStyle name="Normal 10 2 2 2" xfId="82"/>
    <cellStyle name="Normal 10 3" xfId="83"/>
    <cellStyle name="Normal 10 4" xfId="84"/>
    <cellStyle name="Normal 10 5" xfId="85"/>
    <cellStyle name="Normal 10 6" xfId="86"/>
    <cellStyle name="Normal 10 7" xfId="87"/>
    <cellStyle name="Normal 11" xfId="88"/>
    <cellStyle name="Normal 11 2" xfId="89"/>
    <cellStyle name="Normal 11 2 2" xfId="90"/>
    <cellStyle name="Normal 11 3" xfId="91"/>
    <cellStyle name="Normal 11 4" xfId="92"/>
    <cellStyle name="Normal 11 5" xfId="93"/>
    <cellStyle name="Normal 11 6" xfId="94"/>
    <cellStyle name="Normal 12" xfId="95"/>
    <cellStyle name="Normal 12 10" xfId="96"/>
    <cellStyle name="Normal 12 11" xfId="97"/>
    <cellStyle name="Normal 12 12" xfId="98"/>
    <cellStyle name="Normal 12 13"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13"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5 5" xfId="134"/>
    <cellStyle name="Normal 16" xfId="135"/>
    <cellStyle name="Normal 16 2" xfId="136"/>
    <cellStyle name="Normal 16 3" xfId="137"/>
    <cellStyle name="Normal 16 4" xfId="138"/>
    <cellStyle name="Normal 16 5" xfId="139"/>
    <cellStyle name="Normal 17" xfId="140"/>
    <cellStyle name="Normal 17 2" xfId="141"/>
    <cellStyle name="Normal 17 3" xfId="142"/>
    <cellStyle name="Normal 17 4" xfId="143"/>
    <cellStyle name="Normal 17 5"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8 9"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19 8" xfId="165"/>
    <cellStyle name="Normal 2" xfId="166"/>
    <cellStyle name="Normal 2 10" xfId="167"/>
    <cellStyle name="Normal 2 10 10" xfId="168"/>
    <cellStyle name="Normal 2 10 11" xfId="169"/>
    <cellStyle name="Normal 2 10 11 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17" xfId="209"/>
    <cellStyle name="Normal 2 2" xfId="210"/>
    <cellStyle name="Normal 2 2 10" xfId="211"/>
    <cellStyle name="Normal 2 2 10 2" xfId="212"/>
    <cellStyle name="Normal 2 2 11" xfId="213"/>
    <cellStyle name="Normal 2 2 11 2" xfId="214"/>
    <cellStyle name="Normal 2 2 12" xfId="215"/>
    <cellStyle name="Normal 2 2 12 2" xfId="216"/>
    <cellStyle name="Normal 2 2 12 2 2" xfId="217"/>
    <cellStyle name="Normal 2 2 13" xfId="218"/>
    <cellStyle name="Normal 2 2 13 2" xfId="219"/>
    <cellStyle name="Normal 2 2 13 2 2"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4" xfId="237"/>
    <cellStyle name="Normal 2 2 2 4 2" xfId="238"/>
    <cellStyle name="Normal 2 2 2 5" xfId="239"/>
    <cellStyle name="Normal 2 2 2 5 2" xfId="240"/>
    <cellStyle name="Normal 2 2 2 6" xfId="241"/>
    <cellStyle name="Normal 2 2 2 6 2" xfId="242"/>
    <cellStyle name="Normal 2 2 2 7" xfId="243"/>
    <cellStyle name="Normal 2 2 2 8" xfId="244"/>
    <cellStyle name="Normal 2 2 20" xfId="245"/>
    <cellStyle name="Normal 2 2 21" xfId="246"/>
    <cellStyle name="Normal 2 2 22" xfId="247"/>
    <cellStyle name="Normal 2 2 3" xfId="248"/>
    <cellStyle name="Normal 2 2 3 2" xfId="249"/>
    <cellStyle name="Normal 2 2 4" xfId="250"/>
    <cellStyle name="Normal 2 2 4 2" xfId="251"/>
    <cellStyle name="Normal 2 2 5" xfId="252"/>
    <cellStyle name="Normal 2 2 5 2" xfId="253"/>
    <cellStyle name="Normal 2 2 6" xfId="254"/>
    <cellStyle name="Normal 2 2 6 2" xfId="255"/>
    <cellStyle name="Normal 2 2 7" xfId="256"/>
    <cellStyle name="Normal 2 2 7 2" xfId="257"/>
    <cellStyle name="Normal 2 2 8" xfId="258"/>
    <cellStyle name="Normal 2 2 8 2" xfId="259"/>
    <cellStyle name="Normal 2 2 9" xfId="260"/>
    <cellStyle name="Normal 2 2 9 2" xfId="261"/>
    <cellStyle name="Normal 2 3" xfId="262"/>
    <cellStyle name="Normal 2 3 10" xfId="263"/>
    <cellStyle name="Normal 2 3 11" xfId="264"/>
    <cellStyle name="Normal 2 3 12" xfId="265"/>
    <cellStyle name="Normal 2 3 13" xfId="266"/>
    <cellStyle name="Normal 2 3 14" xfId="267"/>
    <cellStyle name="Normal 2 3 15" xfId="268"/>
    <cellStyle name="Normal 2 3 2" xfId="269"/>
    <cellStyle name="Normal 2 3 2 2" xfId="270"/>
    <cellStyle name="Normal 2 3 2 2 2" xfId="271"/>
    <cellStyle name="Normal 2 3 2 2 3" xfId="272"/>
    <cellStyle name="Normal 2 3 2 3" xfId="273"/>
    <cellStyle name="Normal 2 3 2 4" xfId="274"/>
    <cellStyle name="Normal 2 3 3" xfId="275"/>
    <cellStyle name="Normal 2 3 3 2" xfId="276"/>
    <cellStyle name="Normal 2 3 3 3" xfId="277"/>
    <cellStyle name="Normal 2 3 4" xfId="278"/>
    <cellStyle name="Normal 2 3 5" xfId="279"/>
    <cellStyle name="Normal 2 3 6" xfId="280"/>
    <cellStyle name="Normal 2 3 7" xfId="281"/>
    <cellStyle name="Normal 2 3 8" xfId="282"/>
    <cellStyle name="Normal 2 3 9" xfId="283"/>
    <cellStyle name="Normal 2 4" xfId="284"/>
    <cellStyle name="Normal 2 4 10" xfId="285"/>
    <cellStyle name="Normal 2 4 11" xfId="286"/>
    <cellStyle name="Normal 2 4 12" xfId="287"/>
    <cellStyle name="Normal 2 4 13" xfId="288"/>
    <cellStyle name="Normal 2 4 2" xfId="289"/>
    <cellStyle name="Normal 2 4 2 2" xfId="290"/>
    <cellStyle name="Normal 2 4 2 2 2" xfId="291"/>
    <cellStyle name="Normal 2 4 2 2 3" xfId="292"/>
    <cellStyle name="Normal 2 4 2 3" xfId="293"/>
    <cellStyle name="Normal 2 4 2 4"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11"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1 3" xfId="393"/>
    <cellStyle name="Normal 22" xfId="394"/>
    <cellStyle name="Normal 22 2" xfId="395"/>
    <cellStyle name="Normal 22 3" xfId="396"/>
    <cellStyle name="Normal 23" xfId="397"/>
    <cellStyle name="Normal 23 2" xfId="398"/>
    <cellStyle name="Normal 23 3" xfId="399"/>
    <cellStyle name="Normal 24" xfId="400"/>
    <cellStyle name="Normal 24 2" xfId="401"/>
    <cellStyle name="Normal 24 3" xfId="402"/>
    <cellStyle name="Normal 25" xfId="403"/>
    <cellStyle name="Normal 25 2" xfId="404"/>
    <cellStyle name="Normal 25 3" xfId="405"/>
    <cellStyle name="Normal 26"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3" sqref="D13"/>
    </sheetView>
  </sheetViews>
  <sheetFormatPr defaultColWidth="8.796875" defaultRowHeight="15.75"/>
  <cols>
    <col min="1" max="1" width="81.59765625" style="1" customWidth="1"/>
    <col min="2" max="16384" width="8.796875" style="1" customWidth="1"/>
  </cols>
  <sheetData>
    <row r="1" ht="15.75">
      <c r="A1" s="3" t="s">
        <v>328</v>
      </c>
    </row>
    <row r="3" ht="34.5" customHeight="1">
      <c r="A3" s="6" t="s">
        <v>180</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7" t="s">
        <v>299</v>
      </c>
    </row>
    <row r="17" ht="9.75" customHeight="1">
      <c r="A17" s="7"/>
    </row>
    <row r="20" ht="15.75">
      <c r="A20" s="3" t="s">
        <v>182</v>
      </c>
    </row>
    <row r="22" ht="34.5" customHeight="1">
      <c r="A22" s="4" t="s">
        <v>227</v>
      </c>
    </row>
    <row r="23" ht="9.75" customHeight="1">
      <c r="A23" s="4"/>
    </row>
    <row r="24" ht="15.75">
      <c r="A24" s="110" t="s">
        <v>183</v>
      </c>
    </row>
    <row r="25" ht="15.75">
      <c r="A25" s="4"/>
    </row>
    <row r="26" ht="17.25" customHeight="1">
      <c r="A26" s="85" t="s">
        <v>184</v>
      </c>
    </row>
    <row r="27" ht="17.25" customHeight="1">
      <c r="A27" s="86"/>
    </row>
    <row r="28" ht="87.75" customHeight="1">
      <c r="A28" s="87" t="s">
        <v>204</v>
      </c>
    </row>
    <row r="30" ht="15.75">
      <c r="A30" s="88" t="s">
        <v>185</v>
      </c>
    </row>
    <row r="32" ht="15.75">
      <c r="A32" s="111" t="s">
        <v>225</v>
      </c>
    </row>
    <row r="34" ht="15.75">
      <c r="A34" s="4" t="s">
        <v>186</v>
      </c>
    </row>
    <row r="37" ht="15.75">
      <c r="A37" s="3" t="s">
        <v>187</v>
      </c>
    </row>
    <row r="39" ht="78" customHeight="1">
      <c r="A39" s="4" t="s">
        <v>851</v>
      </c>
    </row>
    <row r="40" ht="40.5" customHeight="1">
      <c r="A40" s="771" t="s">
        <v>852</v>
      </c>
    </row>
    <row r="41" ht="57.75" customHeight="1">
      <c r="A41" s="89" t="s">
        <v>853</v>
      </c>
    </row>
    <row r="42" ht="87.75" customHeight="1">
      <c r="A42" s="772"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3" t="s">
        <v>855</v>
      </c>
    </row>
    <row r="49" ht="69.75" customHeight="1">
      <c r="A49" s="417" t="s">
        <v>596</v>
      </c>
    </row>
    <row r="50" ht="42" customHeight="1">
      <c r="A50" s="775" t="s">
        <v>856</v>
      </c>
    </row>
    <row r="51" ht="12" customHeight="1">
      <c r="A51" s="4"/>
    </row>
    <row r="52" ht="68.25" customHeight="1">
      <c r="A52" s="4" t="s">
        <v>597</v>
      </c>
    </row>
    <row r="53" ht="74.25" customHeight="1">
      <c r="A53" s="4" t="s">
        <v>857</v>
      </c>
    </row>
    <row r="54" ht="50.25" customHeight="1">
      <c r="A54" s="776" t="s">
        <v>858</v>
      </c>
    </row>
    <row r="55" ht="76.5" customHeight="1">
      <c r="A55" s="771" t="s">
        <v>859</v>
      </c>
    </row>
    <row r="56" ht="15.75" customHeight="1"/>
    <row r="57" ht="80.25" customHeight="1">
      <c r="A57" s="4" t="s">
        <v>598</v>
      </c>
    </row>
    <row r="58" ht="40.5" customHeight="1">
      <c r="A58" s="4" t="s">
        <v>599</v>
      </c>
    </row>
    <row r="59" ht="45" customHeight="1">
      <c r="A59" s="4" t="s">
        <v>600</v>
      </c>
    </row>
    <row r="60" ht="15.75">
      <c r="A60" s="4"/>
    </row>
    <row r="61" ht="68.25" customHeight="1">
      <c r="A61" s="771" t="s">
        <v>860</v>
      </c>
    </row>
    <row r="62" ht="15.75">
      <c r="A62" s="4"/>
    </row>
    <row r="63" ht="40.5" customHeight="1">
      <c r="A63" s="4" t="s">
        <v>601</v>
      </c>
    </row>
    <row r="64" ht="30" customHeight="1">
      <c r="A64" s="4" t="s">
        <v>608</v>
      </c>
    </row>
    <row r="65" ht="75" customHeight="1">
      <c r="A65" s="384"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1" t="s">
        <v>861</v>
      </c>
    </row>
    <row r="74" ht="9" customHeight="1"/>
    <row r="75" ht="76.5" customHeight="1">
      <c r="A75" s="4" t="s">
        <v>862</v>
      </c>
    </row>
    <row r="76" ht="69" customHeight="1">
      <c r="A76" s="771" t="s">
        <v>863</v>
      </c>
    </row>
    <row r="77" ht="83.25" customHeight="1">
      <c r="A77" s="581" t="s">
        <v>864</v>
      </c>
    </row>
    <row r="78" ht="68.25" customHeight="1">
      <c r="A78" s="581" t="s">
        <v>865</v>
      </c>
    </row>
    <row r="79" ht="66" customHeight="1">
      <c r="A79" s="581" t="s">
        <v>866</v>
      </c>
    </row>
    <row r="80" ht="60" customHeight="1">
      <c r="A80" s="4" t="s">
        <v>867</v>
      </c>
    </row>
    <row r="81" ht="105" customHeight="1">
      <c r="A81" s="4" t="s">
        <v>868</v>
      </c>
    </row>
    <row r="82" ht="64.5" customHeight="1">
      <c r="A82" s="4" t="s">
        <v>869</v>
      </c>
    </row>
    <row r="83" ht="80.25" customHeight="1">
      <c r="A83" s="4" t="s">
        <v>870</v>
      </c>
    </row>
    <row r="84" ht="122.25" customHeight="1">
      <c r="A84" s="384" t="s">
        <v>871</v>
      </c>
    </row>
    <row r="85" ht="102.75" customHeight="1">
      <c r="A85" s="774" t="s">
        <v>872</v>
      </c>
    </row>
    <row r="86" ht="66.75" customHeight="1">
      <c r="A86" s="580" t="s">
        <v>873</v>
      </c>
    </row>
    <row r="87" ht="122.25" customHeight="1">
      <c r="A87" s="384" t="s">
        <v>923</v>
      </c>
    </row>
    <row r="88" ht="78" customHeight="1">
      <c r="A88" s="122" t="s">
        <v>874</v>
      </c>
    </row>
    <row r="89" ht="88.5" customHeight="1">
      <c r="A89" s="774" t="s">
        <v>924</v>
      </c>
    </row>
    <row r="90" ht="102" customHeight="1">
      <c r="A90" s="4" t="s">
        <v>875</v>
      </c>
    </row>
    <row r="91" ht="138" customHeight="1">
      <c r="A91" s="4" t="s">
        <v>876</v>
      </c>
    </row>
    <row r="92" ht="101.25" customHeight="1">
      <c r="A92" s="384" t="s">
        <v>877</v>
      </c>
    </row>
    <row r="94" ht="108.75" customHeight="1">
      <c r="A94" s="4" t="s">
        <v>878</v>
      </c>
    </row>
    <row r="95" ht="89.25" customHeight="1">
      <c r="A95" s="122" t="s">
        <v>879</v>
      </c>
    </row>
    <row r="96" ht="57" customHeight="1">
      <c r="A96" s="122" t="s">
        <v>880</v>
      </c>
    </row>
    <row r="97" ht="20.25" customHeight="1">
      <c r="A97" s="4" t="s">
        <v>881</v>
      </c>
    </row>
    <row r="99" ht="53.25" customHeight="1">
      <c r="A99" s="4" t="s">
        <v>882</v>
      </c>
    </row>
    <row r="100" ht="21" customHeight="1">
      <c r="A100" s="4" t="s">
        <v>883</v>
      </c>
    </row>
    <row r="101" ht="27.75" customHeight="1">
      <c r="A101" s="581" t="s">
        <v>884</v>
      </c>
    </row>
    <row r="102" ht="105.75" customHeight="1">
      <c r="A102" s="581" t="s">
        <v>885</v>
      </c>
    </row>
    <row r="103" ht="114.75" customHeight="1">
      <c r="A103" s="581" t="s">
        <v>886</v>
      </c>
    </row>
    <row r="104" ht="69" customHeight="1">
      <c r="A104" s="777" t="s">
        <v>887</v>
      </c>
    </row>
    <row r="105" ht="51.75" customHeight="1">
      <c r="A105" s="776" t="s">
        <v>888</v>
      </c>
    </row>
    <row r="106" ht="14.25" customHeight="1"/>
    <row r="107" ht="69.75" customHeight="1">
      <c r="A107" s="4" t="s">
        <v>889</v>
      </c>
    </row>
    <row r="109" ht="57.75" customHeight="1">
      <c r="A109" s="581" t="s">
        <v>890</v>
      </c>
    </row>
    <row r="110" ht="90" customHeight="1">
      <c r="A110" s="581" t="s">
        <v>891</v>
      </c>
    </row>
    <row r="111" ht="94.5">
      <c r="A111" s="581"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FALL RIVER TOWNSHIP</v>
      </c>
      <c r="C1" s="243"/>
      <c r="D1" s="243"/>
      <c r="E1" s="243"/>
      <c r="F1" s="243"/>
      <c r="G1" s="243"/>
      <c r="H1" s="243"/>
      <c r="I1" s="243"/>
      <c r="J1" s="125"/>
      <c r="K1" s="125"/>
      <c r="L1" s="192">
        <f>inputPrYr!D5</f>
        <v>2013</v>
      </c>
    </row>
    <row r="2" spans="2:12" ht="15.75">
      <c r="B2" s="242" t="str">
        <f>inputPrYr!$D$3</f>
        <v>GREENWOOD COUNTY</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828</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829</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156</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157</v>
      </c>
      <c r="C15" s="262"/>
      <c r="D15" s="263"/>
      <c r="E15" s="264"/>
      <c r="F15" s="265">
        <f>SUM(F13:F14)</f>
        <v>0</v>
      </c>
      <c r="G15" s="266"/>
      <c r="H15" s="266"/>
      <c r="I15" s="265">
        <f>SUM(I13:I14)</f>
        <v>0</v>
      </c>
      <c r="J15" s="265">
        <f>SUM(J13:J14)</f>
        <v>0</v>
      </c>
      <c r="K15" s="265">
        <f>SUM(K13:K14)</f>
        <v>0</v>
      </c>
      <c r="L15" s="265">
        <f>SUM(L13:L14)</f>
        <v>0</v>
      </c>
    </row>
    <row r="16" spans="2:12" ht="15.75">
      <c r="B16" s="267" t="s">
        <v>77</v>
      </c>
      <c r="C16" s="731"/>
      <c r="D16" s="732"/>
      <c r="E16" s="733"/>
      <c r="F16" s="269">
        <f>SUM(F11+F15)</f>
        <v>0</v>
      </c>
      <c r="G16" s="731"/>
      <c r="H16" s="734"/>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8" t="s">
        <v>74</v>
      </c>
      <c r="C18" s="819"/>
      <c r="D18" s="819"/>
      <c r="E18" s="819"/>
      <c r="F18" s="819"/>
      <c r="G18" s="819"/>
      <c r="H18" s="819"/>
      <c r="I18" s="819"/>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278</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830</v>
      </c>
      <c r="C22" s="249" t="s">
        <v>65</v>
      </c>
      <c r="D22" s="249" t="s">
        <v>66</v>
      </c>
      <c r="E22" s="249" t="s">
        <v>3</v>
      </c>
      <c r="F22" s="249" t="s">
        <v>67</v>
      </c>
      <c r="G22" s="249" t="s">
        <v>108</v>
      </c>
      <c r="H22" s="249" t="s">
        <v>68</v>
      </c>
      <c r="I22" s="249" t="s">
        <v>68</v>
      </c>
      <c r="J22" s="271"/>
      <c r="K22" s="271"/>
      <c r="L22" s="271"/>
    </row>
    <row r="23" spans="2:12" s="272" customFormat="1" ht="15.75">
      <c r="B23" s="201" t="s">
        <v>831</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5"/>
      <c r="C36" s="268"/>
      <c r="D36" s="268"/>
      <c r="E36" s="279"/>
      <c r="F36" s="736"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248</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32" sqref="K32"/>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5.75">
      <c r="B1" s="602"/>
      <c r="C1" s="602"/>
      <c r="D1" s="602"/>
      <c r="E1" s="602"/>
      <c r="F1" s="602"/>
      <c r="G1" s="602"/>
      <c r="H1" s="602"/>
      <c r="I1" s="602"/>
    </row>
    <row r="2" spans="2:9" ht="15.75">
      <c r="B2" s="829" t="s">
        <v>766</v>
      </c>
      <c r="C2" s="829"/>
      <c r="D2" s="829"/>
      <c r="E2" s="829"/>
      <c r="F2" s="829"/>
      <c r="G2" s="829"/>
      <c r="H2" s="829"/>
      <c r="I2" s="829"/>
    </row>
    <row r="3" spans="2:9" ht="15.75">
      <c r="B3" s="829" t="s">
        <v>767</v>
      </c>
      <c r="C3" s="829"/>
      <c r="D3" s="829"/>
      <c r="E3" s="829"/>
      <c r="F3" s="829"/>
      <c r="G3" s="829"/>
      <c r="H3" s="829"/>
      <c r="I3" s="829"/>
    </row>
    <row r="4" spans="2:9" ht="15.75">
      <c r="B4" s="604"/>
      <c r="C4" s="604"/>
      <c r="D4" s="604"/>
      <c r="E4" s="604"/>
      <c r="F4" s="604"/>
      <c r="G4" s="604"/>
      <c r="H4" s="604"/>
      <c r="I4" s="604"/>
    </row>
    <row r="5" spans="2:9" ht="15.75">
      <c r="B5" s="830" t="str">
        <f>CONCATENATE("Budgeted Year: ",inputPrYr!D5,"")</f>
        <v>Budgeted Year: 2013</v>
      </c>
      <c r="C5" s="830"/>
      <c r="D5" s="830"/>
      <c r="E5" s="830"/>
      <c r="F5" s="830"/>
      <c r="G5" s="830"/>
      <c r="H5" s="830"/>
      <c r="I5" s="830"/>
    </row>
    <row r="6" spans="2:9" ht="15.75">
      <c r="B6" s="605"/>
      <c r="C6" s="604"/>
      <c r="D6" s="604"/>
      <c r="E6" s="604"/>
      <c r="F6" s="604"/>
      <c r="G6" s="604"/>
      <c r="H6" s="604"/>
      <c r="I6" s="604"/>
    </row>
    <row r="7" spans="2:9" ht="15.75">
      <c r="B7" s="605" t="str">
        <f>CONCATENATE("Library found in: ",inputPrYr!D2,"")</f>
        <v>Library found in: FALL RIVER TOWNSHIP</v>
      </c>
      <c r="C7" s="604"/>
      <c r="D7" s="604"/>
      <c r="E7" s="604"/>
      <c r="F7" s="604"/>
      <c r="G7" s="604"/>
      <c r="H7" s="604"/>
      <c r="I7" s="604"/>
    </row>
    <row r="8" spans="2:9" ht="15.75">
      <c r="B8" s="605" t="str">
        <f>inputPrYr!D3</f>
        <v>GREENWOOD COUNTY</v>
      </c>
      <c r="C8" s="604"/>
      <c r="D8" s="604"/>
      <c r="E8" s="604"/>
      <c r="F8" s="604"/>
      <c r="G8" s="604"/>
      <c r="H8" s="604"/>
      <c r="I8" s="604"/>
    </row>
    <row r="9" spans="2:9" ht="15.75">
      <c r="B9" s="604"/>
      <c r="C9" s="604"/>
      <c r="D9" s="604"/>
      <c r="E9" s="604"/>
      <c r="F9" s="604"/>
      <c r="G9" s="604"/>
      <c r="H9" s="604"/>
      <c r="I9" s="604"/>
    </row>
    <row r="10" spans="2:9" ht="39" customHeight="1">
      <c r="B10" s="831" t="s">
        <v>768</v>
      </c>
      <c r="C10" s="831"/>
      <c r="D10" s="831"/>
      <c r="E10" s="831"/>
      <c r="F10" s="831"/>
      <c r="G10" s="831"/>
      <c r="H10" s="831"/>
      <c r="I10" s="831"/>
    </row>
    <row r="11" spans="2:9" ht="15.75">
      <c r="B11" s="604"/>
      <c r="C11" s="604"/>
      <c r="D11" s="604"/>
      <c r="E11" s="604"/>
      <c r="F11" s="604"/>
      <c r="G11" s="604"/>
      <c r="H11" s="604"/>
      <c r="I11" s="604"/>
    </row>
    <row r="12" spans="2:9" ht="15.75">
      <c r="B12" s="606" t="s">
        <v>769</v>
      </c>
      <c r="C12" s="604"/>
      <c r="D12" s="604"/>
      <c r="E12" s="604"/>
      <c r="F12" s="604"/>
      <c r="G12" s="604"/>
      <c r="H12" s="604"/>
      <c r="I12" s="604"/>
    </row>
    <row r="13" spans="2:9" ht="15.75">
      <c r="B13" s="604"/>
      <c r="C13" s="604"/>
      <c r="D13" s="604"/>
      <c r="E13" s="607" t="s">
        <v>12</v>
      </c>
      <c r="F13" s="604"/>
      <c r="G13" s="607" t="s">
        <v>770</v>
      </c>
      <c r="H13" s="604"/>
      <c r="I13" s="604"/>
    </row>
    <row r="14" spans="2:9" ht="15.75">
      <c r="B14" s="604"/>
      <c r="C14" s="604"/>
      <c r="D14" s="604"/>
      <c r="E14" s="608">
        <f>inputPrYr!D5-1</f>
        <v>2012</v>
      </c>
      <c r="F14" s="604"/>
      <c r="G14" s="608">
        <f>inputPrYr!D5</f>
        <v>2013</v>
      </c>
      <c r="H14" s="604"/>
      <c r="I14" s="604"/>
    </row>
    <row r="15" spans="2:9" ht="15.75">
      <c r="B15" s="605" t="str">
        <f>'DebtSvs-Library'!B48</f>
        <v>Ad Valorem Tax</v>
      </c>
      <c r="C15" s="604"/>
      <c r="D15" s="604"/>
      <c r="E15" s="609">
        <f>'DebtSvs-Library'!D48</f>
        <v>0</v>
      </c>
      <c r="F15" s="604"/>
      <c r="G15" s="609">
        <f>'DebtSvs-Library'!E80</f>
        <v>0</v>
      </c>
      <c r="H15" s="604"/>
      <c r="I15" s="604"/>
    </row>
    <row r="16" spans="2:9" ht="15.75">
      <c r="B16" s="605" t="str">
        <f>'DebtSvs-Library'!B49</f>
        <v>Delinquent Tax</v>
      </c>
      <c r="C16" s="604"/>
      <c r="D16" s="604"/>
      <c r="E16" s="609">
        <f>'DebtSvs-Library'!D49</f>
        <v>0</v>
      </c>
      <c r="F16" s="604"/>
      <c r="G16" s="609">
        <f>'DebtSvs-Library'!E49</f>
        <v>0</v>
      </c>
      <c r="H16" s="604"/>
      <c r="I16" s="604"/>
    </row>
    <row r="17" spans="2:9" ht="15.75">
      <c r="B17" s="605" t="str">
        <f>'DebtSvs-Library'!B50</f>
        <v>Motor Vehicle Tax</v>
      </c>
      <c r="C17" s="604"/>
      <c r="D17" s="604"/>
      <c r="E17" s="609">
        <f>'DebtSvs-Library'!D50</f>
        <v>0</v>
      </c>
      <c r="F17" s="604"/>
      <c r="G17" s="609">
        <f>'DebtSvs-Library'!E50</f>
        <v>0</v>
      </c>
      <c r="H17" s="604"/>
      <c r="I17" s="604"/>
    </row>
    <row r="18" spans="2:9" ht="15.75">
      <c r="B18" s="605" t="str">
        <f>'DebtSvs-Library'!B51</f>
        <v>Recreational Vehicle Tax</v>
      </c>
      <c r="C18" s="604"/>
      <c r="D18" s="604"/>
      <c r="E18" s="609">
        <f>'DebtSvs-Library'!D51</f>
        <v>0</v>
      </c>
      <c r="F18" s="604"/>
      <c r="G18" s="609">
        <f>'DebtSvs-Library'!E51</f>
        <v>0</v>
      </c>
      <c r="H18" s="604"/>
      <c r="I18" s="604"/>
    </row>
    <row r="19" spans="2:9" ht="15.75">
      <c r="B19" s="605" t="str">
        <f>'DebtSvs-Library'!B52</f>
        <v>16/20M Vehicle Tax</v>
      </c>
      <c r="C19" s="604"/>
      <c r="D19" s="604"/>
      <c r="E19" s="609">
        <f>'DebtSvs-Library'!D52</f>
        <v>0</v>
      </c>
      <c r="F19" s="604"/>
      <c r="G19" s="609">
        <f>'DebtSvs-Library'!E52</f>
        <v>0</v>
      </c>
      <c r="H19" s="604"/>
      <c r="I19" s="604"/>
    </row>
    <row r="20" spans="2:9" ht="15.75">
      <c r="B20" s="604" t="s">
        <v>163</v>
      </c>
      <c r="C20" s="604"/>
      <c r="D20" s="604"/>
      <c r="E20" s="609">
        <v>0</v>
      </c>
      <c r="F20" s="604"/>
      <c r="G20" s="609">
        <v>0</v>
      </c>
      <c r="H20" s="604"/>
      <c r="I20" s="604"/>
    </row>
    <row r="21" spans="2:9" ht="15.75">
      <c r="B21" s="604"/>
      <c r="C21" s="604"/>
      <c r="D21" s="604"/>
      <c r="E21" s="609">
        <v>0</v>
      </c>
      <c r="F21" s="604"/>
      <c r="G21" s="609">
        <v>0</v>
      </c>
      <c r="H21" s="604"/>
      <c r="I21" s="604"/>
    </row>
    <row r="22" spans="2:9" ht="15.75">
      <c r="B22" s="604" t="s">
        <v>771</v>
      </c>
      <c r="C22" s="604"/>
      <c r="D22" s="604"/>
      <c r="E22" s="610">
        <f>SUM(E15:E21)</f>
        <v>0</v>
      </c>
      <c r="F22" s="604"/>
      <c r="G22" s="610">
        <f>SUM(G15:G21)</f>
        <v>0</v>
      </c>
      <c r="H22" s="604"/>
      <c r="I22" s="604"/>
    </row>
    <row r="23" spans="2:9" ht="15.75">
      <c r="B23" s="604" t="s">
        <v>772</v>
      </c>
      <c r="C23" s="604"/>
      <c r="D23" s="604"/>
      <c r="E23" s="611">
        <f>G22-E22</f>
        <v>0</v>
      </c>
      <c r="F23" s="604"/>
      <c r="G23" s="612"/>
      <c r="H23" s="604"/>
      <c r="I23" s="604"/>
    </row>
    <row r="24" spans="2:9" ht="15.75">
      <c r="B24" s="604" t="s">
        <v>773</v>
      </c>
      <c r="C24" s="604"/>
      <c r="D24" s="613" t="str">
        <f>IF((G22-E22)&gt;0,"Qualify","Not Qualify")</f>
        <v>Not Qualify</v>
      </c>
      <c r="E24" s="604"/>
      <c r="F24" s="604"/>
      <c r="G24" s="604"/>
      <c r="H24" s="604"/>
      <c r="I24" s="604"/>
    </row>
    <row r="25" spans="2:9" ht="15.75">
      <c r="B25" s="604"/>
      <c r="C25" s="604"/>
      <c r="D25" s="604"/>
      <c r="E25" s="604"/>
      <c r="F25" s="604"/>
      <c r="G25" s="604"/>
      <c r="H25" s="604"/>
      <c r="I25" s="604"/>
    </row>
    <row r="26" spans="2:9" ht="15.75">
      <c r="B26" s="606" t="s">
        <v>774</v>
      </c>
      <c r="C26" s="604"/>
      <c r="D26" s="604"/>
      <c r="E26" s="604"/>
      <c r="F26" s="604"/>
      <c r="G26" s="604"/>
      <c r="H26" s="604"/>
      <c r="I26" s="604"/>
    </row>
    <row r="27" spans="2:9" ht="15.75">
      <c r="B27" s="604" t="s">
        <v>775</v>
      </c>
      <c r="C27" s="604"/>
      <c r="D27" s="604"/>
      <c r="E27" s="609">
        <f>summ!E41</f>
        <v>0</v>
      </c>
      <c r="F27" s="604"/>
      <c r="G27" s="609">
        <f>summ!G41</f>
        <v>1443637</v>
      </c>
      <c r="H27" s="604"/>
      <c r="I27" s="604"/>
    </row>
    <row r="28" spans="2:9" ht="15.75">
      <c r="B28" s="604" t="s">
        <v>776</v>
      </c>
      <c r="C28" s="604"/>
      <c r="D28" s="604"/>
      <c r="E28" s="614" t="str">
        <f>IF(G27-E27&gt;0,"No","Yes")</f>
        <v>No</v>
      </c>
      <c r="F28" s="604"/>
      <c r="G28" s="604"/>
      <c r="H28" s="604"/>
      <c r="I28" s="604"/>
    </row>
    <row r="29" spans="2:9" ht="15.75">
      <c r="B29" s="604" t="s">
        <v>777</v>
      </c>
      <c r="C29" s="604"/>
      <c r="D29" s="604"/>
      <c r="E29" s="615">
        <f>summ!F36</f>
        <v>20.454</v>
      </c>
      <c r="F29" s="604"/>
      <c r="G29" s="615">
        <f>summ!I36</f>
        <v>0</v>
      </c>
      <c r="H29" s="604"/>
      <c r="I29" s="604"/>
    </row>
    <row r="30" spans="2:9" ht="15.75">
      <c r="B30" s="604" t="s">
        <v>778</v>
      </c>
      <c r="C30" s="604"/>
      <c r="D30" s="604"/>
      <c r="E30" s="616">
        <f>G29-E29</f>
        <v>-20.454</v>
      </c>
      <c r="F30" s="604"/>
      <c r="G30" s="604"/>
      <c r="H30" s="604"/>
      <c r="I30" s="604"/>
    </row>
    <row r="31" spans="2:9" ht="15.75">
      <c r="B31" s="604" t="s">
        <v>773</v>
      </c>
      <c r="C31" s="604"/>
      <c r="D31" s="617" t="str">
        <f>IF(E30&gt;=0,"Qualify","Not Qualify")</f>
        <v>Not Qualify</v>
      </c>
      <c r="E31" s="604"/>
      <c r="F31" s="604"/>
      <c r="G31" s="604"/>
      <c r="H31" s="604"/>
      <c r="I31" s="604"/>
    </row>
    <row r="32" spans="2:9" ht="15.75">
      <c r="B32" s="604"/>
      <c r="C32" s="604"/>
      <c r="D32" s="604"/>
      <c r="E32" s="604"/>
      <c r="F32" s="604"/>
      <c r="G32" s="604"/>
      <c r="H32" s="604"/>
      <c r="I32" s="604"/>
    </row>
    <row r="33" spans="2:9" ht="15.75">
      <c r="B33" s="604" t="s">
        <v>779</v>
      </c>
      <c r="C33" s="604"/>
      <c r="D33" s="604"/>
      <c r="E33" s="604"/>
      <c r="F33" s="618" t="str">
        <f>IF(D24="Not Qualify",IF(D31="Not Qualify",IF(D31="Not Qualify","Not Qualify","Qualify"),"Qualify"),"Qualify")</f>
        <v>Not Qualify</v>
      </c>
      <c r="G33" s="604"/>
      <c r="H33" s="604"/>
      <c r="I33" s="604"/>
    </row>
    <row r="34" spans="2:9" ht="15.75">
      <c r="B34" s="604"/>
      <c r="C34" s="604"/>
      <c r="D34" s="604"/>
      <c r="E34" s="604"/>
      <c r="F34" s="604"/>
      <c r="G34" s="604"/>
      <c r="H34" s="604"/>
      <c r="I34" s="604"/>
    </row>
    <row r="35" spans="2:9" ht="15.75">
      <c r="B35" s="604"/>
      <c r="C35" s="604"/>
      <c r="D35" s="604"/>
      <c r="E35" s="604"/>
      <c r="F35" s="604"/>
      <c r="G35" s="604"/>
      <c r="H35" s="604"/>
      <c r="I35" s="604"/>
    </row>
    <row r="36" spans="2:9" ht="37.5" customHeight="1">
      <c r="B36" s="831" t="s">
        <v>780</v>
      </c>
      <c r="C36" s="831"/>
      <c r="D36" s="831"/>
      <c r="E36" s="831"/>
      <c r="F36" s="831"/>
      <c r="G36" s="831"/>
      <c r="H36" s="831"/>
      <c r="I36" s="831"/>
    </row>
    <row r="37" spans="2:9" ht="15.75">
      <c r="B37" s="604"/>
      <c r="C37" s="604"/>
      <c r="D37" s="604"/>
      <c r="E37" s="604"/>
      <c r="F37" s="604"/>
      <c r="G37" s="604"/>
      <c r="H37" s="604"/>
      <c r="I37" s="604"/>
    </row>
    <row r="38" spans="2:9" ht="15.75">
      <c r="B38" s="604"/>
      <c r="C38" s="604"/>
      <c r="D38" s="604"/>
      <c r="E38" s="604"/>
      <c r="F38" s="604"/>
      <c r="G38" s="604"/>
      <c r="H38" s="604"/>
      <c r="I38" s="604"/>
    </row>
    <row r="39" spans="2:9" ht="15.75">
      <c r="B39" s="604"/>
      <c r="C39" s="604"/>
      <c r="D39" s="604"/>
      <c r="E39" s="604"/>
      <c r="F39" s="604"/>
      <c r="G39" s="604"/>
      <c r="H39" s="604"/>
      <c r="I39" s="604"/>
    </row>
    <row r="40" spans="2:9" ht="15.75">
      <c r="B40" s="604"/>
      <c r="C40" s="604"/>
      <c r="D40" s="604"/>
      <c r="E40" s="619" t="s">
        <v>781</v>
      </c>
      <c r="F40" s="620">
        <v>6</v>
      </c>
      <c r="G40" s="604"/>
      <c r="H40" s="604"/>
      <c r="I40" s="604"/>
    </row>
    <row r="41" spans="2:9" ht="15.75">
      <c r="B41" s="604"/>
      <c r="C41" s="604"/>
      <c r="D41" s="604"/>
      <c r="E41" s="604"/>
      <c r="F41" s="604"/>
      <c r="G41" s="604"/>
      <c r="H41" s="604"/>
      <c r="I41" s="604"/>
    </row>
    <row r="42" spans="2:9" ht="15.75">
      <c r="B42" s="604"/>
      <c r="C42" s="604"/>
      <c r="D42" s="604"/>
      <c r="E42" s="604"/>
      <c r="F42" s="604"/>
      <c r="G42" s="604"/>
      <c r="H42" s="604"/>
      <c r="I42" s="604"/>
    </row>
    <row r="43" spans="2:9" ht="15.75">
      <c r="B43" s="832" t="s">
        <v>782</v>
      </c>
      <c r="C43" s="833"/>
      <c r="D43" s="833"/>
      <c r="E43" s="833"/>
      <c r="F43" s="833"/>
      <c r="G43" s="833"/>
      <c r="H43" s="833"/>
      <c r="I43" s="833"/>
    </row>
    <row r="44" spans="2:9" ht="15.75">
      <c r="B44" s="604"/>
      <c r="C44" s="604"/>
      <c r="D44" s="604"/>
      <c r="E44" s="604"/>
      <c r="F44" s="604"/>
      <c r="G44" s="604"/>
      <c r="H44" s="604"/>
      <c r="I44" s="604"/>
    </row>
    <row r="45" spans="2:9" ht="15.75">
      <c r="B45" s="621" t="s">
        <v>783</v>
      </c>
      <c r="C45" s="604"/>
      <c r="D45" s="604"/>
      <c r="E45" s="604"/>
      <c r="F45" s="604"/>
      <c r="G45" s="604"/>
      <c r="H45" s="604"/>
      <c r="I45" s="604"/>
    </row>
    <row r="46" spans="2:9" ht="15.7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5.75">
      <c r="B47" s="621" t="str">
        <f>CONCATENATE("sources in ",E14,".")</f>
        <v>sources in 2012.</v>
      </c>
      <c r="C47" s="602"/>
      <c r="D47" s="602"/>
      <c r="E47" s="602"/>
      <c r="F47" s="602"/>
      <c r="G47" s="602"/>
      <c r="H47" s="602"/>
      <c r="I47" s="602"/>
    </row>
    <row r="48" spans="2:9" ht="15.75">
      <c r="B48" s="602"/>
      <c r="C48" s="602"/>
      <c r="D48" s="602"/>
      <c r="E48" s="602"/>
      <c r="F48" s="602"/>
      <c r="G48" s="602"/>
      <c r="H48" s="602"/>
      <c r="I48" s="602"/>
    </row>
    <row r="49" spans="2:9" ht="15.75">
      <c r="B49" s="621" t="s">
        <v>784</v>
      </c>
      <c r="C49" s="621"/>
      <c r="D49" s="622"/>
      <c r="E49" s="622"/>
      <c r="F49" s="622"/>
      <c r="G49" s="622"/>
      <c r="H49" s="622"/>
      <c r="I49" s="622"/>
    </row>
    <row r="50" spans="2:9" ht="15.75">
      <c r="B50" s="621" t="s">
        <v>785</v>
      </c>
      <c r="C50" s="621"/>
      <c r="D50" s="622"/>
      <c r="E50" s="622"/>
      <c r="F50" s="622"/>
      <c r="G50" s="622"/>
      <c r="H50" s="622"/>
      <c r="I50" s="622"/>
    </row>
    <row r="51" spans="2:9" ht="15.75">
      <c r="B51" s="621" t="s">
        <v>786</v>
      </c>
      <c r="C51" s="621"/>
      <c r="D51" s="622"/>
      <c r="E51" s="622"/>
      <c r="F51" s="622"/>
      <c r="G51" s="622"/>
      <c r="H51" s="622"/>
      <c r="I51" s="622"/>
    </row>
    <row r="52" spans="2:9" ht="15">
      <c r="B52" s="622"/>
      <c r="C52" s="622"/>
      <c r="D52" s="622"/>
      <c r="E52" s="622"/>
      <c r="F52" s="622"/>
      <c r="G52" s="622"/>
      <c r="H52" s="622"/>
      <c r="I52" s="622"/>
    </row>
    <row r="53" spans="2:9" ht="15.75">
      <c r="B53" s="623" t="s">
        <v>787</v>
      </c>
      <c r="C53" s="622"/>
      <c r="D53" s="622"/>
      <c r="E53" s="622"/>
      <c r="F53" s="622"/>
      <c r="G53" s="622"/>
      <c r="H53" s="622"/>
      <c r="I53" s="622"/>
    </row>
    <row r="54" spans="2:9" ht="15">
      <c r="B54" s="622"/>
      <c r="C54" s="622"/>
      <c r="D54" s="622"/>
      <c r="E54" s="622"/>
      <c r="F54" s="622"/>
      <c r="G54" s="622"/>
      <c r="H54" s="622"/>
      <c r="I54" s="622"/>
    </row>
    <row r="55" spans="2:9" ht="15.75">
      <c r="B55" s="621" t="s">
        <v>788</v>
      </c>
      <c r="C55" s="622"/>
      <c r="D55" s="622"/>
      <c r="E55" s="622"/>
      <c r="F55" s="622"/>
      <c r="G55" s="622"/>
      <c r="H55" s="622"/>
      <c r="I55" s="622"/>
    </row>
    <row r="56" spans="2:9" ht="15.75">
      <c r="B56" s="621" t="s">
        <v>789</v>
      </c>
      <c r="C56" s="622"/>
      <c r="D56" s="622"/>
      <c r="E56" s="622"/>
      <c r="F56" s="622"/>
      <c r="G56" s="622"/>
      <c r="H56" s="622"/>
      <c r="I56" s="622"/>
    </row>
    <row r="57" spans="2:9" ht="15">
      <c r="B57" s="622"/>
      <c r="C57" s="622"/>
      <c r="D57" s="622"/>
      <c r="E57" s="622"/>
      <c r="F57" s="622"/>
      <c r="G57" s="622"/>
      <c r="H57" s="622"/>
      <c r="I57" s="622"/>
    </row>
    <row r="58" spans="2:9" ht="15.75">
      <c r="B58" s="623" t="s">
        <v>790</v>
      </c>
      <c r="C58" s="621"/>
      <c r="D58" s="621"/>
      <c r="E58" s="621"/>
      <c r="F58" s="621"/>
      <c r="G58" s="622"/>
      <c r="H58" s="622"/>
      <c r="I58" s="622"/>
    </row>
    <row r="59" spans="2:9" ht="15.75">
      <c r="B59" s="621"/>
      <c r="C59" s="621"/>
      <c r="D59" s="621"/>
      <c r="E59" s="621"/>
      <c r="F59" s="621"/>
      <c r="G59" s="622"/>
      <c r="H59" s="622"/>
      <c r="I59" s="622"/>
    </row>
    <row r="60" spans="2:9" ht="15.75">
      <c r="B60" s="621" t="s">
        <v>791</v>
      </c>
      <c r="C60" s="621"/>
      <c r="D60" s="621"/>
      <c r="E60" s="621"/>
      <c r="F60" s="621"/>
      <c r="G60" s="622"/>
      <c r="H60" s="622"/>
      <c r="I60" s="622"/>
    </row>
    <row r="61" spans="2:9" ht="15.75">
      <c r="B61" s="621" t="s">
        <v>792</v>
      </c>
      <c r="C61" s="621"/>
      <c r="D61" s="621"/>
      <c r="E61" s="621"/>
      <c r="F61" s="621"/>
      <c r="G61" s="622"/>
      <c r="H61" s="622"/>
      <c r="I61" s="622"/>
    </row>
    <row r="62" spans="2:9" ht="15.75">
      <c r="B62" s="621" t="s">
        <v>793</v>
      </c>
      <c r="C62" s="621"/>
      <c r="D62" s="621"/>
      <c r="E62" s="621"/>
      <c r="F62" s="621"/>
      <c r="G62" s="622"/>
      <c r="H62" s="622"/>
      <c r="I62" s="622"/>
    </row>
    <row r="63" spans="2:9" ht="15.75">
      <c r="B63" s="621" t="s">
        <v>794</v>
      </c>
      <c r="C63" s="621"/>
      <c r="D63" s="621"/>
      <c r="E63" s="621"/>
      <c r="F63" s="621"/>
      <c r="G63" s="622"/>
      <c r="H63" s="622"/>
      <c r="I63" s="622"/>
    </row>
    <row r="64" spans="2:9" ht="15">
      <c r="B64" s="624"/>
      <c r="C64" s="624"/>
      <c r="D64" s="624"/>
      <c r="E64" s="624"/>
      <c r="F64" s="624"/>
      <c r="G64" s="622"/>
      <c r="H64" s="622"/>
      <c r="I64" s="622"/>
    </row>
    <row r="65" spans="2:9" ht="15.75">
      <c r="B65" s="621" t="s">
        <v>795</v>
      </c>
      <c r="C65" s="624"/>
      <c r="D65" s="624"/>
      <c r="E65" s="624"/>
      <c r="F65" s="624"/>
      <c r="G65" s="622"/>
      <c r="H65" s="622"/>
      <c r="I65" s="622"/>
    </row>
    <row r="66" spans="2:9" ht="15.75">
      <c r="B66" s="621" t="s">
        <v>796</v>
      </c>
      <c r="C66" s="624"/>
      <c r="D66" s="624"/>
      <c r="E66" s="624"/>
      <c r="F66" s="624"/>
      <c r="G66" s="622"/>
      <c r="H66" s="622"/>
      <c r="I66" s="622"/>
    </row>
    <row r="67" spans="2:9" ht="15">
      <c r="B67" s="624"/>
      <c r="C67" s="624"/>
      <c r="D67" s="624"/>
      <c r="E67" s="624"/>
      <c r="F67" s="624"/>
      <c r="G67" s="622"/>
      <c r="H67" s="622"/>
      <c r="I67" s="622"/>
    </row>
    <row r="68" spans="2:9" ht="15.75">
      <c r="B68" s="621" t="s">
        <v>797</v>
      </c>
      <c r="C68" s="624"/>
      <c r="D68" s="624"/>
      <c r="E68" s="624"/>
      <c r="F68" s="624"/>
      <c r="G68" s="622"/>
      <c r="H68" s="622"/>
      <c r="I68" s="622"/>
    </row>
    <row r="69" spans="2:9" ht="15.75">
      <c r="B69" s="621" t="s">
        <v>798</v>
      </c>
      <c r="C69" s="624"/>
      <c r="D69" s="624"/>
      <c r="E69" s="624"/>
      <c r="F69" s="624"/>
      <c r="G69" s="622"/>
      <c r="H69" s="622"/>
      <c r="I69" s="622"/>
    </row>
    <row r="70" spans="2:9" ht="15">
      <c r="B70" s="624"/>
      <c r="C70" s="624"/>
      <c r="D70" s="624"/>
      <c r="E70" s="624"/>
      <c r="F70" s="624"/>
      <c r="G70" s="622"/>
      <c r="H70" s="622"/>
      <c r="I70" s="622"/>
    </row>
    <row r="71" spans="2:9" ht="15.75">
      <c r="B71" s="623" t="s">
        <v>799</v>
      </c>
      <c r="C71" s="624"/>
      <c r="D71" s="624"/>
      <c r="E71" s="624"/>
      <c r="F71" s="624"/>
      <c r="G71" s="622"/>
      <c r="H71" s="622"/>
      <c r="I71" s="622"/>
    </row>
    <row r="72" spans="2:9" ht="15">
      <c r="B72" s="624"/>
      <c r="C72" s="624"/>
      <c r="D72" s="624"/>
      <c r="E72" s="624"/>
      <c r="F72" s="624"/>
      <c r="G72" s="622"/>
      <c r="H72" s="622"/>
      <c r="I72" s="622"/>
    </row>
    <row r="73" spans="2:9" ht="15.75">
      <c r="B73" s="621" t="s">
        <v>800</v>
      </c>
      <c r="C73" s="624"/>
      <c r="D73" s="624"/>
      <c r="E73" s="624"/>
      <c r="F73" s="624"/>
      <c r="G73" s="622"/>
      <c r="H73" s="622"/>
      <c r="I73" s="622"/>
    </row>
    <row r="74" spans="2:9" ht="15.75">
      <c r="B74" s="621" t="s">
        <v>801</v>
      </c>
      <c r="C74" s="624"/>
      <c r="D74" s="624"/>
      <c r="E74" s="624"/>
      <c r="F74" s="624"/>
      <c r="G74" s="622"/>
      <c r="H74" s="622"/>
      <c r="I74" s="622"/>
    </row>
    <row r="75" spans="2:9" ht="15">
      <c r="B75" s="624"/>
      <c r="C75" s="624"/>
      <c r="D75" s="624"/>
      <c r="E75" s="624"/>
      <c r="F75" s="624"/>
      <c r="G75" s="622"/>
      <c r="H75" s="622"/>
      <c r="I75" s="622"/>
    </row>
    <row r="76" spans="2:9" ht="15.75">
      <c r="B76" s="623" t="s">
        <v>802</v>
      </c>
      <c r="C76" s="624"/>
      <c r="D76" s="624"/>
      <c r="E76" s="624"/>
      <c r="F76" s="624"/>
      <c r="G76" s="622"/>
      <c r="H76" s="622"/>
      <c r="I76" s="622"/>
    </row>
    <row r="77" spans="2:9" ht="15">
      <c r="B77" s="624"/>
      <c r="C77" s="624"/>
      <c r="D77" s="624"/>
      <c r="E77" s="624"/>
      <c r="F77" s="624"/>
      <c r="G77" s="622"/>
      <c r="H77" s="622"/>
      <c r="I77" s="622"/>
    </row>
    <row r="78" spans="2:9" ht="15.7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5.75">
      <c r="B79" s="621" t="s">
        <v>803</v>
      </c>
      <c r="C79" s="624"/>
      <c r="D79" s="624"/>
      <c r="E79" s="624"/>
      <c r="F79" s="624"/>
      <c r="G79" s="622"/>
      <c r="H79" s="622"/>
      <c r="I79" s="622"/>
    </row>
    <row r="80" spans="2:9" ht="15">
      <c r="B80" s="624"/>
      <c r="C80" s="624"/>
      <c r="D80" s="624"/>
      <c r="E80" s="624"/>
      <c r="F80" s="624"/>
      <c r="G80" s="622"/>
      <c r="H80" s="622"/>
      <c r="I80" s="622"/>
    </row>
    <row r="81" spans="2:9" ht="15.75">
      <c r="B81" s="623" t="s">
        <v>399</v>
      </c>
      <c r="C81" s="624"/>
      <c r="D81" s="624"/>
      <c r="E81" s="624"/>
      <c r="F81" s="624"/>
      <c r="G81" s="622"/>
      <c r="H81" s="622"/>
      <c r="I81" s="622"/>
    </row>
    <row r="82" spans="2:9" ht="15">
      <c r="B82" s="624"/>
      <c r="C82" s="624"/>
      <c r="D82" s="624"/>
      <c r="E82" s="624"/>
      <c r="F82" s="624"/>
      <c r="G82" s="622"/>
      <c r="H82" s="622"/>
      <c r="I82" s="622"/>
    </row>
    <row r="83" spans="2:9" ht="15.75">
      <c r="B83" s="621" t="s">
        <v>804</v>
      </c>
      <c r="C83" s="624"/>
      <c r="D83" s="624"/>
      <c r="E83" s="624"/>
      <c r="F83" s="624"/>
      <c r="G83" s="622"/>
      <c r="H83" s="622"/>
      <c r="I83" s="622"/>
    </row>
    <row r="84" spans="2:9" ht="15.7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5">
      <c r="B85" s="624"/>
      <c r="C85" s="624"/>
      <c r="D85" s="624"/>
      <c r="E85" s="624"/>
      <c r="F85" s="624"/>
      <c r="G85" s="622"/>
      <c r="H85" s="622"/>
      <c r="I85" s="622"/>
    </row>
    <row r="86" spans="2:9" ht="15.75">
      <c r="B86" s="621" t="s">
        <v>805</v>
      </c>
      <c r="C86" s="624"/>
      <c r="D86" s="624"/>
      <c r="E86" s="624"/>
      <c r="F86" s="624"/>
      <c r="G86" s="622"/>
      <c r="H86" s="622"/>
      <c r="I86" s="622"/>
    </row>
    <row r="87" spans="2:9" ht="15.75">
      <c r="B87" s="621" t="s">
        <v>806</v>
      </c>
      <c r="C87" s="624"/>
      <c r="D87" s="624"/>
      <c r="E87" s="624"/>
      <c r="F87" s="624"/>
      <c r="G87" s="622"/>
      <c r="H87" s="622"/>
      <c r="I87" s="622"/>
    </row>
    <row r="88" spans="2:9" ht="15.75">
      <c r="B88" s="621" t="s">
        <v>807</v>
      </c>
      <c r="C88" s="624"/>
      <c r="D88" s="624"/>
      <c r="E88" s="624"/>
      <c r="F88" s="624"/>
      <c r="G88" s="622"/>
      <c r="H88" s="622"/>
      <c r="I88" s="622"/>
    </row>
    <row r="89" spans="2:9" ht="15.75">
      <c r="B89" s="621" t="str">
        <f>CONCATENATE("purpose for the previous (",E14,") year.")</f>
        <v>purpose for the previous (2012) year.</v>
      </c>
      <c r="C89" s="624"/>
      <c r="D89" s="624"/>
      <c r="E89" s="624"/>
      <c r="F89" s="624"/>
      <c r="G89" s="622"/>
      <c r="H89" s="622"/>
      <c r="I89" s="622"/>
    </row>
    <row r="90" spans="2:9" ht="15">
      <c r="B90" s="624"/>
      <c r="C90" s="624"/>
      <c r="D90" s="624"/>
      <c r="E90" s="624"/>
      <c r="F90" s="624"/>
      <c r="G90" s="622"/>
      <c r="H90" s="622"/>
      <c r="I90" s="622"/>
    </row>
    <row r="91" spans="2:9" ht="15.7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5.75">
      <c r="B92" s="621" t="s">
        <v>808</v>
      </c>
      <c r="C92" s="624"/>
      <c r="D92" s="624"/>
      <c r="E92" s="624"/>
      <c r="F92" s="624"/>
      <c r="G92" s="622"/>
      <c r="H92" s="622"/>
      <c r="I92" s="622"/>
    </row>
    <row r="93" spans="2:9" ht="15.75">
      <c r="B93" s="621" t="s">
        <v>809</v>
      </c>
      <c r="C93" s="624"/>
      <c r="D93" s="624"/>
      <c r="E93" s="624"/>
      <c r="F93" s="624"/>
      <c r="G93" s="622"/>
      <c r="H93" s="622"/>
      <c r="I93" s="622"/>
    </row>
    <row r="94" spans="2:9" ht="15.75">
      <c r="B94" s="621" t="s">
        <v>810</v>
      </c>
      <c r="C94" s="624"/>
      <c r="D94" s="624"/>
      <c r="E94" s="624"/>
      <c r="F94" s="624"/>
      <c r="G94" s="622"/>
      <c r="H94" s="622"/>
      <c r="I94" s="622"/>
    </row>
    <row r="95" spans="2:9" ht="15">
      <c r="B95" s="624"/>
      <c r="C95" s="624"/>
      <c r="D95" s="624"/>
      <c r="E95" s="624"/>
      <c r="F95" s="624"/>
      <c r="G95" s="622"/>
      <c r="H95" s="622"/>
      <c r="I95" s="622"/>
    </row>
    <row r="96" spans="2:9" ht="15.75">
      <c r="B96" s="623" t="s">
        <v>811</v>
      </c>
      <c r="C96" s="624"/>
      <c r="D96" s="624"/>
      <c r="E96" s="624"/>
      <c r="F96" s="624"/>
      <c r="G96" s="622"/>
      <c r="H96" s="622"/>
      <c r="I96" s="622"/>
    </row>
    <row r="97" spans="2:9" ht="15">
      <c r="B97" s="624"/>
      <c r="C97" s="624"/>
      <c r="D97" s="624"/>
      <c r="E97" s="624"/>
      <c r="F97" s="624"/>
      <c r="G97" s="622"/>
      <c r="H97" s="622"/>
      <c r="I97" s="622"/>
    </row>
    <row r="98" spans="2:9" ht="15.75">
      <c r="B98" s="621" t="s">
        <v>812</v>
      </c>
      <c r="C98" s="624"/>
      <c r="D98" s="624"/>
      <c r="E98" s="624"/>
      <c r="F98" s="624"/>
      <c r="G98" s="622"/>
      <c r="H98" s="622"/>
      <c r="I98" s="622"/>
    </row>
    <row r="99" spans="2:9" ht="15.75">
      <c r="B99" s="621" t="s">
        <v>813</v>
      </c>
      <c r="C99" s="624"/>
      <c r="D99" s="624"/>
      <c r="E99" s="624"/>
      <c r="F99" s="624"/>
      <c r="G99" s="622"/>
      <c r="H99" s="622"/>
      <c r="I99" s="622"/>
    </row>
    <row r="100" spans="2:9" ht="15">
      <c r="B100" s="624"/>
      <c r="C100" s="624"/>
      <c r="D100" s="624"/>
      <c r="E100" s="624"/>
      <c r="F100" s="624"/>
      <c r="G100" s="622"/>
      <c r="H100" s="622"/>
      <c r="I100" s="622"/>
    </row>
    <row r="101" spans="2:9" ht="15.75">
      <c r="B101" s="621" t="s">
        <v>814</v>
      </c>
      <c r="C101" s="624"/>
      <c r="D101" s="624"/>
      <c r="E101" s="624"/>
      <c r="F101" s="624"/>
      <c r="G101" s="622"/>
      <c r="H101" s="622"/>
      <c r="I101" s="622"/>
    </row>
    <row r="102" spans="2:9" ht="15.75">
      <c r="B102" s="621" t="s">
        <v>815</v>
      </c>
      <c r="C102" s="624"/>
      <c r="D102" s="624"/>
      <c r="E102" s="624"/>
      <c r="F102" s="624"/>
      <c r="G102" s="622"/>
      <c r="H102" s="622"/>
      <c r="I102" s="622"/>
    </row>
    <row r="103" spans="2:9" ht="15.75">
      <c r="B103" s="621" t="s">
        <v>816</v>
      </c>
      <c r="C103" s="624"/>
      <c r="D103" s="624"/>
      <c r="E103" s="624"/>
      <c r="F103" s="624"/>
      <c r="G103" s="622"/>
      <c r="H103" s="622"/>
      <c r="I103" s="622"/>
    </row>
    <row r="104" spans="2:9" ht="15.75">
      <c r="B104" s="621" t="s">
        <v>817</v>
      </c>
      <c r="C104" s="624"/>
      <c r="D104" s="624"/>
      <c r="E104" s="624"/>
      <c r="F104" s="624"/>
      <c r="G104" s="622"/>
      <c r="H104" s="622"/>
      <c r="I104" s="622"/>
    </row>
    <row r="105" spans="2:9" ht="15.75">
      <c r="B105" s="779" t="s">
        <v>925</v>
      </c>
      <c r="C105" s="780"/>
      <c r="D105" s="780"/>
      <c r="E105" s="780"/>
      <c r="F105" s="780"/>
      <c r="G105" s="622"/>
      <c r="H105" s="622"/>
      <c r="I105" s="622"/>
    </row>
    <row r="108" ht="15">
      <c r="G108" s="62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7">
      <selection activeCell="C58" sqref="C58"/>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FALL RIVER TOWNSHIP</v>
      </c>
      <c r="C1" s="125"/>
      <c r="D1" s="125"/>
      <c r="E1" s="192">
        <f>inputPrYr!D5</f>
        <v>2013</v>
      </c>
    </row>
    <row r="2" spans="2:5" ht="15.75">
      <c r="B2" s="184"/>
      <c r="C2" s="125"/>
      <c r="D2" s="125"/>
      <c r="E2" s="283"/>
    </row>
    <row r="3" spans="2:5" ht="15.75">
      <c r="B3" s="527" t="s">
        <v>715</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344</v>
      </c>
      <c r="D6" s="427">
        <f>C51</f>
        <v>355</v>
      </c>
      <c r="E6" s="264">
        <f>D51</f>
        <v>355</v>
      </c>
    </row>
    <row r="7" spans="2:5" ht="15.75">
      <c r="B7" s="138" t="s">
        <v>122</v>
      </c>
      <c r="C7" s="427"/>
      <c r="D7" s="427"/>
      <c r="E7" s="288"/>
    </row>
    <row r="8" spans="2:5" ht="15.75">
      <c r="B8" s="138" t="s">
        <v>16</v>
      </c>
      <c r="C8" s="285">
        <v>3554</v>
      </c>
      <c r="D8" s="427">
        <f>IF(inputPrYr!H15&gt;0,inputPrYr!G16,inputPrYr!E16)</f>
        <v>0</v>
      </c>
      <c r="E8" s="288" t="s">
        <v>292</v>
      </c>
    </row>
    <row r="9" spans="2:5" ht="15.75">
      <c r="B9" s="138" t="s">
        <v>17</v>
      </c>
      <c r="C9" s="285"/>
      <c r="D9" s="285"/>
      <c r="E9" s="259"/>
    </row>
    <row r="10" spans="2:5" ht="15.75">
      <c r="B10" s="138" t="s">
        <v>18</v>
      </c>
      <c r="C10" s="285"/>
      <c r="D10" s="285"/>
      <c r="E10" s="264">
        <f>mvalloc!G11</f>
        <v>0</v>
      </c>
    </row>
    <row r="11" spans="2:5" ht="15.75">
      <c r="B11" s="138" t="s">
        <v>19</v>
      </c>
      <c r="C11" s="285"/>
      <c r="D11" s="285"/>
      <c r="E11" s="264">
        <f>mvalloc!I11</f>
        <v>0</v>
      </c>
    </row>
    <row r="12" spans="2:5" ht="15.75">
      <c r="B12" s="289" t="s">
        <v>70</v>
      </c>
      <c r="C12" s="285"/>
      <c r="D12" s="285"/>
      <c r="E12" s="264">
        <f>mvalloc!J11</f>
        <v>0</v>
      </c>
    </row>
    <row r="13" spans="2:5" ht="15.75">
      <c r="B13" s="289" t="s">
        <v>163</v>
      </c>
      <c r="C13" s="285"/>
      <c r="D13" s="285"/>
      <c r="E13" s="264">
        <f>inputOth!E37</f>
        <v>0</v>
      </c>
    </row>
    <row r="14" spans="2:5" ht="15.75">
      <c r="B14" s="138" t="s">
        <v>20</v>
      </c>
      <c r="C14" s="285"/>
      <c r="D14" s="285"/>
      <c r="E14" s="264">
        <f>inputOth!E12</f>
        <v>0</v>
      </c>
    </row>
    <row r="15" spans="2:5" ht="15.75">
      <c r="B15" s="291"/>
      <c r="C15" s="285"/>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214</v>
      </c>
      <c r="C24" s="285"/>
      <c r="D24" s="285"/>
      <c r="E24" s="259"/>
    </row>
    <row r="25" spans="2:5" ht="15.75">
      <c r="B25" s="293" t="s">
        <v>215</v>
      </c>
      <c r="C25" s="426">
        <f>IF(C26*0.1&lt;C24,"Exceed 10% Rule","")</f>
      </c>
      <c r="D25" s="426">
        <f>IF(D26*0.1&lt;D24,"Exceed 10% Rule","")</f>
      </c>
      <c r="E25" s="299">
        <f>IF(E26*0.1+E57&lt;E24,"Exceed 10% Rule","")</f>
      </c>
    </row>
    <row r="26" spans="2:5" ht="15.75">
      <c r="B26" s="295" t="s">
        <v>23</v>
      </c>
      <c r="C26" s="428">
        <f>SUM(C8:C24)</f>
        <v>3554</v>
      </c>
      <c r="D26" s="428">
        <f>SUM(D8:D24)</f>
        <v>0</v>
      </c>
      <c r="E26" s="296">
        <f>SUM(E8:E24)</f>
        <v>0</v>
      </c>
    </row>
    <row r="27" spans="2:5" ht="15.75">
      <c r="B27" s="297" t="s">
        <v>24</v>
      </c>
      <c r="C27" s="428">
        <f>C26+C6</f>
        <v>3898</v>
      </c>
      <c r="D27" s="428">
        <f>D26+D6</f>
        <v>355</v>
      </c>
      <c r="E27" s="296">
        <f>E26+E6</f>
        <v>355</v>
      </c>
    </row>
    <row r="28" spans="2:5" ht="15.75">
      <c r="B28" s="138" t="s">
        <v>25</v>
      </c>
      <c r="C28" s="427"/>
      <c r="D28" s="427"/>
      <c r="E28" s="264"/>
    </row>
    <row r="29" spans="2:5" ht="15.75">
      <c r="B29" s="291"/>
      <c r="C29" s="285"/>
      <c r="D29" s="285"/>
      <c r="E29" s="259"/>
    </row>
    <row r="30" spans="2:5" ht="15.75">
      <c r="B30" s="292" t="s">
        <v>103</v>
      </c>
      <c r="C30" s="285">
        <v>1625</v>
      </c>
      <c r="D30" s="285"/>
      <c r="E30" s="259"/>
    </row>
    <row r="31" spans="2:5" ht="15.75">
      <c r="B31" s="292" t="s">
        <v>128</v>
      </c>
      <c r="C31" s="285"/>
      <c r="D31" s="285"/>
      <c r="E31" s="259"/>
    </row>
    <row r="32" spans="2:5" ht="15.75">
      <c r="B32" s="292" t="s">
        <v>104</v>
      </c>
      <c r="C32" s="285">
        <v>569</v>
      </c>
      <c r="D32" s="285"/>
      <c r="E32" s="259"/>
    </row>
    <row r="33" spans="2:5" ht="15.75">
      <c r="B33" s="292" t="s">
        <v>36</v>
      </c>
      <c r="C33" s="285">
        <v>52</v>
      </c>
      <c r="D33" s="285"/>
      <c r="E33" s="259"/>
    </row>
    <row r="34" spans="2:5" ht="15.75">
      <c r="B34" s="291" t="s">
        <v>933</v>
      </c>
      <c r="C34" s="285">
        <v>85</v>
      </c>
      <c r="D34" s="285"/>
      <c r="E34" s="259"/>
    </row>
    <row r="35" spans="2:5" ht="15.75">
      <c r="B35" s="291" t="s">
        <v>931</v>
      </c>
      <c r="C35" s="285">
        <v>126</v>
      </c>
      <c r="D35" s="285"/>
      <c r="E35" s="259"/>
    </row>
    <row r="36" spans="2:5" ht="15.75">
      <c r="B36" s="292" t="s">
        <v>130</v>
      </c>
      <c r="C36" s="285">
        <v>1066</v>
      </c>
      <c r="D36" s="285"/>
      <c r="E36" s="259"/>
    </row>
    <row r="37" spans="2:5" ht="15.75">
      <c r="B37" s="292" t="s">
        <v>932</v>
      </c>
      <c r="C37" s="285">
        <v>20</v>
      </c>
      <c r="D37" s="285"/>
      <c r="E37" s="259"/>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3" t="str">
        <f>CONCATENATE("Desired Carryover Into ",E1+1,"")</f>
        <v>Desired Carryover Into 2014</v>
      </c>
      <c r="H41" s="844"/>
      <c r="I41" s="844"/>
      <c r="J41" s="845"/>
    </row>
    <row r="42" spans="2:10" ht="15.75">
      <c r="B42" s="292"/>
      <c r="C42" s="285"/>
      <c r="D42" s="285"/>
      <c r="E42" s="259"/>
      <c r="G42" s="551"/>
      <c r="H42" s="539"/>
      <c r="I42" s="544"/>
      <c r="J42" s="552"/>
    </row>
    <row r="43" spans="2:10" ht="15.75">
      <c r="B43" s="289" t="s">
        <v>270</v>
      </c>
      <c r="C43" s="285"/>
      <c r="D43" s="285"/>
      <c r="E43" s="259"/>
      <c r="G43" s="553" t="s">
        <v>716</v>
      </c>
      <c r="H43" s="544"/>
      <c r="I43" s="544"/>
      <c r="J43" s="554">
        <v>0</v>
      </c>
    </row>
    <row r="44" spans="2:10" ht="15.75">
      <c r="B44" s="289" t="s">
        <v>267</v>
      </c>
      <c r="C44" s="432">
        <f>IF(AND($C$43&gt;0,$C$8&gt;0),"Not Authorized","")</f>
      </c>
      <c r="D44" s="432">
        <f>IF(AND($D$43&gt;0,$D$8&gt;0),"Not Authorized","")</f>
      </c>
      <c r="E44" s="298">
        <f>IF(AND(cert!E21&gt;0,$E$43&gt;0),"Not Authorized","")</f>
      </c>
      <c r="G44" s="551" t="s">
        <v>717</v>
      </c>
      <c r="H44" s="539"/>
      <c r="I44" s="539"/>
      <c r="J44" s="754">
        <f>IF(J43=0,"",ROUND((J43+E57-G56)/inputOth!E7*1000,3)-G61)</f>
      </c>
    </row>
    <row r="45" spans="2:10" ht="15.75">
      <c r="B45" s="138" t="s">
        <v>271</v>
      </c>
      <c r="C45" s="285"/>
      <c r="D45" s="285"/>
      <c r="E45" s="259"/>
      <c r="G45" s="755" t="str">
        <f>CONCATENATE("",E1," Tot Exp/Non-Appr Must Be:")</f>
        <v>2013 Tot Exp/Non-Appr Must Be:</v>
      </c>
      <c r="H45" s="752"/>
      <c r="I45" s="751"/>
      <c r="J45" s="756">
        <f>IF(J43&gt;0,IF(E54&lt;E23,IF(J43=G56,E54,((J43-G56)*(1-D56))+E23),E54+(J43-G56)),0)</f>
        <v>0</v>
      </c>
    </row>
    <row r="46" spans="2:10" ht="15.75">
      <c r="B46" s="138" t="s">
        <v>751</v>
      </c>
      <c r="C46" s="426">
        <f>IF(C27*0.25&lt;C45,"Exceeds 25%","")</f>
      </c>
      <c r="D46" s="426">
        <f>IF(D27*0.25&lt;D45,"Exceeds 25%","")</f>
      </c>
      <c r="E46" s="299">
        <f>IF(E27*0.25+E57&lt;E45,"Exceeds 25%","")</f>
      </c>
      <c r="G46" s="757" t="s">
        <v>822</v>
      </c>
      <c r="H46" s="758"/>
      <c r="I46" s="758"/>
      <c r="J46" s="759">
        <f>IF(J43&gt;0,J45-E54,0)</f>
        <v>0</v>
      </c>
    </row>
    <row r="47" spans="2:5" ht="15.75">
      <c r="B47" s="289" t="s">
        <v>217</v>
      </c>
      <c r="C47" s="285"/>
      <c r="D47" s="285"/>
      <c r="E47" s="300">
        <f>nhood!E6</f>
      </c>
    </row>
    <row r="48" spans="2:10" ht="15.75">
      <c r="B48" s="289" t="s">
        <v>214</v>
      </c>
      <c r="C48" s="285"/>
      <c r="D48" s="285"/>
      <c r="E48" s="259"/>
      <c r="G48" s="843" t="str">
        <f>CONCATENATE("Projected Carryover Into ",E1+1,"")</f>
        <v>Projected Carryover Into 2014</v>
      </c>
      <c r="H48" s="844"/>
      <c r="I48" s="844"/>
      <c r="J48" s="845"/>
    </row>
    <row r="49" spans="2:10" ht="15.75">
      <c r="B49" s="289" t="s">
        <v>710</v>
      </c>
      <c r="C49" s="426">
        <f>IF(C50*0.1&lt;C48,"Exceed 10% Rule","")</f>
      </c>
      <c r="D49" s="426">
        <f>IF(D50*0.1&lt;D48,"Exceed 10% Rule","")</f>
      </c>
      <c r="E49" s="299">
        <f>IF(E50*0.1&lt;E48,"Exceed 10% Rule","")</f>
      </c>
      <c r="G49" s="538"/>
      <c r="H49" s="539"/>
      <c r="I49" s="539"/>
      <c r="J49" s="540"/>
    </row>
    <row r="50" spans="2:10" ht="15.75">
      <c r="B50" s="297" t="s">
        <v>26</v>
      </c>
      <c r="C50" s="433">
        <f>SUM(C29:C48)</f>
        <v>3543</v>
      </c>
      <c r="D50" s="433">
        <f>SUM(D29:D48)</f>
        <v>0</v>
      </c>
      <c r="E50" s="301">
        <f>SUM(E29:E43,E45,E47:E48)</f>
        <v>0</v>
      </c>
      <c r="G50" s="541">
        <f>D51</f>
        <v>355</v>
      </c>
      <c r="H50" s="542" t="str">
        <f>CONCATENATE("",E1-1," Ending Cash Balance (est.)")</f>
        <v>2012 Ending Cash Balance (est.)</v>
      </c>
      <c r="I50" s="543"/>
      <c r="J50" s="540"/>
    </row>
    <row r="51" spans="2:10" ht="15.75">
      <c r="B51" s="138" t="s">
        <v>121</v>
      </c>
      <c r="C51" s="434">
        <f>C27-C50</f>
        <v>355</v>
      </c>
      <c r="D51" s="434">
        <f>SUM(D27-D50)</f>
        <v>355</v>
      </c>
      <c r="E51" s="288" t="s">
        <v>292</v>
      </c>
      <c r="G51" s="541">
        <f>E26</f>
        <v>0</v>
      </c>
      <c r="H51" s="544" t="str">
        <f>CONCATENATE("",E1," Non-AV Receipts (est.)")</f>
        <v>2013 Non-AV Receipts (est.)</v>
      </c>
      <c r="I51" s="543"/>
      <c r="J51" s="540"/>
    </row>
    <row r="52" spans="2:11" ht="15.75">
      <c r="B52" s="176" t="str">
        <f>CONCATENATE("",E1-2,"/",E1-1," Budget Authority Amount:")</f>
        <v>2011/2012 Budget Authority Amount:</v>
      </c>
      <c r="C52" s="522">
        <f>inputOth!B48</f>
        <v>0</v>
      </c>
      <c r="D52" s="141">
        <f>inputPrYr!D16</f>
        <v>0</v>
      </c>
      <c r="E52" s="288" t="s">
        <v>292</v>
      </c>
      <c r="F52" s="302"/>
      <c r="G52" s="545">
        <f>IF(D56&gt;0,E55,E57)</f>
        <v>0</v>
      </c>
      <c r="H52" s="544" t="str">
        <f>CONCATENATE("",E1," Ad Valorem Tax (est.)")</f>
        <v>2013 Ad Valorem Tax (est.)</v>
      </c>
      <c r="I52" s="543"/>
      <c r="J52" s="540"/>
      <c r="K52" s="760">
        <f>IF(G52=E57,"","Note: Does not include Delinquent Taxes")</f>
      </c>
    </row>
    <row r="53" spans="2:10" ht="15.75">
      <c r="B53" s="176"/>
      <c r="C53" s="839" t="s">
        <v>712</v>
      </c>
      <c r="D53" s="840"/>
      <c r="E53" s="259"/>
      <c r="F53" s="302">
        <f>IF(E50/0.95-E50&lt;E53,"Exceeds 5%","")</f>
      </c>
      <c r="G53" s="541">
        <f>SUM(G50:G52)</f>
        <v>355</v>
      </c>
      <c r="H53" s="544" t="str">
        <f>CONCATENATE("Total ",E1," Resources Available")</f>
        <v>Total 2013 Resources Available</v>
      </c>
      <c r="I53" s="543"/>
      <c r="J53" s="540"/>
    </row>
    <row r="54" spans="2:10" ht="15.75">
      <c r="B54" s="437" t="str">
        <f>CONCATENATE(C71,"     ",D71)</f>
        <v>See Tab A     </v>
      </c>
      <c r="C54" s="841" t="s">
        <v>713</v>
      </c>
      <c r="D54" s="842"/>
      <c r="E54" s="264">
        <f>E50+E53</f>
        <v>0</v>
      </c>
      <c r="G54" s="546"/>
      <c r="H54" s="544"/>
      <c r="I54" s="544"/>
      <c r="J54" s="540"/>
    </row>
    <row r="55" spans="2:10" ht="15.75">
      <c r="B55" s="437" t="str">
        <f>CONCATENATE(C72,"     ",D72)</f>
        <v>     </v>
      </c>
      <c r="C55" s="383"/>
      <c r="D55" s="193" t="s">
        <v>28</v>
      </c>
      <c r="E55" s="300">
        <f>IF(E54-E27&gt;0,E54-E27,0)</f>
        <v>0</v>
      </c>
      <c r="G55" s="545">
        <f>ROUND(C50*0.05+C50,0)</f>
        <v>3720</v>
      </c>
      <c r="H55" s="544" t="str">
        <f>CONCATENATE("Less ",E1-2," Expenditures + 5%")</f>
        <v>Less 2011 Expenditures + 5%</v>
      </c>
      <c r="I55" s="543"/>
      <c r="J55" s="540"/>
    </row>
    <row r="56" spans="2:10" ht="15.75">
      <c r="B56" s="193"/>
      <c r="C56" s="526" t="s">
        <v>714</v>
      </c>
      <c r="D56" s="750">
        <f>inputOth!$E$42</f>
        <v>0</v>
      </c>
      <c r="E56" s="264">
        <f>ROUND(IF(D56&gt;0,(E55*D56),0),0)</f>
        <v>0</v>
      </c>
      <c r="G56" s="547">
        <f>G53-G55</f>
        <v>-3365</v>
      </c>
      <c r="H56" s="548" t="str">
        <f>CONCATENATE("Projected ",E1+1," Carryover (est.)")</f>
        <v>Projected 2014 Carryover (est.)</v>
      </c>
      <c r="I56" s="549"/>
      <c r="J56" s="550"/>
    </row>
    <row r="57" spans="2:5" ht="15.75">
      <c r="B57" s="125"/>
      <c r="C57" s="837" t="str">
        <f>CONCATENATE("Amount of  ",$E$1-1," Ad Valorem Tax")</f>
        <v>Amount of  2012 Ad Valorem Tax</v>
      </c>
      <c r="D57" s="838"/>
      <c r="E57" s="300">
        <f>E55+E56</f>
        <v>0</v>
      </c>
    </row>
    <row r="58" spans="2:10" ht="15.75">
      <c r="B58" s="125"/>
      <c r="C58" s="125"/>
      <c r="D58" s="125"/>
      <c r="E58" s="125"/>
      <c r="G58" s="834" t="s">
        <v>823</v>
      </c>
      <c r="H58" s="835"/>
      <c r="I58" s="835"/>
      <c r="J58" s="836"/>
    </row>
    <row r="59" spans="2:11" s="304" customFormat="1" ht="15.75">
      <c r="B59" s="130"/>
      <c r="C59" s="130"/>
      <c r="D59" s="186"/>
      <c r="E59" s="130"/>
      <c r="G59" s="761"/>
      <c r="H59" s="542"/>
      <c r="I59" s="753"/>
      <c r="J59" s="762"/>
      <c r="K59" s="221"/>
    </row>
    <row r="60" spans="2:11" s="305" customFormat="1" ht="15.75">
      <c r="B60" s="125"/>
      <c r="C60" s="125"/>
      <c r="D60" s="180"/>
      <c r="E60" s="125"/>
      <c r="G60" s="763" t="str">
        <f>summ!I18</f>
        <v> </v>
      </c>
      <c r="H60" s="542" t="str">
        <f>CONCATENATE("",E1," Fund Mill Rate")</f>
        <v>2013 Fund Mill Rate</v>
      </c>
      <c r="I60" s="753"/>
      <c r="J60" s="762"/>
      <c r="K60" s="221"/>
    </row>
    <row r="61" spans="2:10" ht="15.75">
      <c r="B61" s="193" t="s">
        <v>9</v>
      </c>
      <c r="C61" s="556"/>
      <c r="D61" s="125"/>
      <c r="E61" s="180"/>
      <c r="G61" s="764">
        <f>summ!F18</f>
        <v>2.343</v>
      </c>
      <c r="H61" s="542" t="str">
        <f>CONCATENATE("",E1-1," Fund Mill Rate")</f>
        <v>2012 Fund Mill Rate</v>
      </c>
      <c r="I61" s="753"/>
      <c r="J61" s="762"/>
    </row>
    <row r="62" spans="7:10" ht="15.75">
      <c r="G62" s="765">
        <f>summ!I36</f>
        <v>0</v>
      </c>
      <c r="H62" s="542" t="str">
        <f>CONCATENATE("Total ",E1," Mill Rate")</f>
        <v>Total 2013 Mill Rate</v>
      </c>
      <c r="I62" s="753"/>
      <c r="J62" s="762"/>
    </row>
    <row r="63" spans="2:10" ht="15.75">
      <c r="B63" s="167"/>
      <c r="G63" s="764">
        <f>summ!F36</f>
        <v>20.454</v>
      </c>
      <c r="H63" s="766" t="str">
        <f>CONCATENATE("Total ",E1-1," Mill Rate")</f>
        <v>Total 2012 Mill Rate</v>
      </c>
      <c r="I63" s="767"/>
      <c r="J63" s="768"/>
    </row>
    <row r="66" ht="15.75">
      <c r="E66" s="306"/>
    </row>
    <row r="68" ht="15.75">
      <c r="E68" s="306"/>
    </row>
    <row r="70" ht="15.75">
      <c r="C70" s="307"/>
    </row>
    <row r="71" spans="3:5" ht="15.75" hidden="1">
      <c r="C71" s="306" t="str">
        <f>IF(C50&gt;C52,"See Tab A","")</f>
        <v>See Tab A</v>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29" customWidth="1"/>
    <col min="2" max="2" width="28.59765625" style="629" customWidth="1"/>
    <col min="3" max="4" width="14.19921875" style="629" customWidth="1"/>
    <col min="5" max="5" width="14.59765625" style="629" customWidth="1"/>
    <col min="6" max="6" width="7.296875" style="629" customWidth="1"/>
    <col min="7" max="7" width="9.19921875" style="629" customWidth="1"/>
    <col min="8" max="8" width="8.796875" style="629" customWidth="1"/>
    <col min="9" max="9" width="4.5" style="629" customWidth="1"/>
    <col min="10" max="10" width="9" style="629" customWidth="1"/>
    <col min="11" max="16384" width="8.796875" style="629" customWidth="1"/>
  </cols>
  <sheetData>
    <row r="1" spans="2:5" ht="15.75">
      <c r="B1" s="626" t="str">
        <f>inputPrYr!D2</f>
        <v>FALL RIVER TOWNSHIP</v>
      </c>
      <c r="C1" s="626"/>
      <c r="D1" s="627"/>
      <c r="E1" s="628">
        <f>inputPrYr!D5</f>
        <v>2013</v>
      </c>
    </row>
    <row r="2" spans="2:5" ht="15.75">
      <c r="B2" s="627"/>
      <c r="C2" s="627"/>
      <c r="D2" s="627"/>
      <c r="E2" s="630"/>
    </row>
    <row r="3" spans="2:5" ht="15.75">
      <c r="B3" s="631" t="s">
        <v>715</v>
      </c>
      <c r="C3" s="631"/>
      <c r="D3" s="632"/>
      <c r="E3" s="633"/>
    </row>
    <row r="4" spans="2:5" ht="15.75">
      <c r="B4" s="634" t="s">
        <v>10</v>
      </c>
      <c r="C4" s="635" t="s">
        <v>818</v>
      </c>
      <c r="D4" s="636" t="s">
        <v>819</v>
      </c>
      <c r="E4" s="637" t="s">
        <v>820</v>
      </c>
    </row>
    <row r="5" spans="2:5" ht="15.75">
      <c r="B5" s="638" t="str">
        <f>inputPrYr!B17</f>
        <v>Debt Service</v>
      </c>
      <c r="C5" s="639" t="str">
        <f>CONCATENATE("Actual for ",$E$1-2,"")</f>
        <v>Actual for 2011</v>
      </c>
      <c r="D5" s="640" t="str">
        <f>CONCATENATE("Estimate for ",$E$1-1,"")</f>
        <v>Estimate for 2012</v>
      </c>
      <c r="E5" s="641" t="str">
        <f>CONCATENATE("Year for ",$E$1,"")</f>
        <v>Year for 2013</v>
      </c>
    </row>
    <row r="6" spans="2:5" ht="15.75">
      <c r="B6" s="642" t="s">
        <v>146</v>
      </c>
      <c r="C6" s="643"/>
      <c r="D6" s="644">
        <f>C34</f>
        <v>0</v>
      </c>
      <c r="E6" s="645">
        <f>D34</f>
        <v>0</v>
      </c>
    </row>
    <row r="7" spans="2:5" ht="15.75">
      <c r="B7" s="642" t="s">
        <v>122</v>
      </c>
      <c r="C7" s="646"/>
      <c r="D7" s="644"/>
      <c r="E7" s="645"/>
    </row>
    <row r="8" spans="2:5" ht="15.75">
      <c r="B8" s="642" t="s">
        <v>16</v>
      </c>
      <c r="C8" s="647"/>
      <c r="D8" s="644">
        <f>IF(inputPrYr!H15&gt;0,inputPrYr!G17,inputPrYr!E17)</f>
        <v>0</v>
      </c>
      <c r="E8" s="648" t="s">
        <v>292</v>
      </c>
    </row>
    <row r="9" spans="2:5" ht="15.75">
      <c r="B9" s="642" t="s">
        <v>17</v>
      </c>
      <c r="C9" s="647"/>
      <c r="D9" s="649"/>
      <c r="E9" s="650"/>
    </row>
    <row r="10" spans="2:5" ht="15.75">
      <c r="B10" s="642" t="s">
        <v>18</v>
      </c>
      <c r="C10" s="647"/>
      <c r="D10" s="649"/>
      <c r="E10" s="645">
        <f>mvalloc!G12</f>
        <v>0</v>
      </c>
    </row>
    <row r="11" spans="2:5" ht="15.75">
      <c r="B11" s="642" t="s">
        <v>19</v>
      </c>
      <c r="C11" s="647"/>
      <c r="D11" s="649"/>
      <c r="E11" s="645">
        <f>mvalloc!I12</f>
        <v>0</v>
      </c>
    </row>
    <row r="12" spans="2:5" ht="15.75">
      <c r="B12" s="651" t="s">
        <v>101</v>
      </c>
      <c r="C12" s="647"/>
      <c r="D12" s="649"/>
      <c r="E12" s="645">
        <f>mvalloc!J12</f>
        <v>0</v>
      </c>
    </row>
    <row r="13" spans="2:5" ht="15.75">
      <c r="B13" s="652"/>
      <c r="C13" s="647"/>
      <c r="D13" s="649"/>
      <c r="E13" s="653"/>
    </row>
    <row r="14" spans="2:5" ht="15.75">
      <c r="B14" s="652"/>
      <c r="C14" s="647"/>
      <c r="D14" s="649"/>
      <c r="E14" s="650"/>
    </row>
    <row r="15" spans="2:5" ht="15.75">
      <c r="B15" s="652"/>
      <c r="C15" s="647"/>
      <c r="D15" s="649"/>
      <c r="E15" s="650"/>
    </row>
    <row r="16" spans="2:5" ht="15.75">
      <c r="B16" s="652"/>
      <c r="C16" s="647"/>
      <c r="D16" s="649"/>
      <c r="E16" s="650"/>
    </row>
    <row r="17" spans="2:5" ht="15.75">
      <c r="B17" s="654" t="s">
        <v>22</v>
      </c>
      <c r="C17" s="647"/>
      <c r="D17" s="649"/>
      <c r="E17" s="650"/>
    </row>
    <row r="18" spans="2:5" ht="15.75">
      <c r="B18" s="642" t="s">
        <v>214</v>
      </c>
      <c r="C18" s="655"/>
      <c r="D18" s="649"/>
      <c r="E18" s="650"/>
    </row>
    <row r="19" spans="2:5" ht="15.75">
      <c r="B19" s="642" t="s">
        <v>821</v>
      </c>
      <c r="C19" s="656">
        <f>IF(C20*0.1&lt;C18,"Exceed 10% Rule","")</f>
      </c>
      <c r="D19" s="656">
        <f>IF(D20*0.1&lt;D18,"Exceeds 10% Rule","")</f>
      </c>
      <c r="E19" s="657">
        <f>IF(E20*0.1&lt;E18,"Exceed 10% Rule","")</f>
      </c>
    </row>
    <row r="20" spans="2:5" ht="15.75">
      <c r="B20" s="658" t="s">
        <v>23</v>
      </c>
      <c r="C20" s="659">
        <f>SUM(C8:C18)</f>
        <v>0</v>
      </c>
      <c r="D20" s="659">
        <f>SUM(D8:D18)</f>
        <v>0</v>
      </c>
      <c r="E20" s="660">
        <f>SUM(E9:E18)</f>
        <v>0</v>
      </c>
    </row>
    <row r="21" spans="2:5" ht="15.75">
      <c r="B21" s="658" t="s">
        <v>24</v>
      </c>
      <c r="C21" s="659">
        <f>C6+C20</f>
        <v>0</v>
      </c>
      <c r="D21" s="659">
        <f>D6+D20</f>
        <v>0</v>
      </c>
      <c r="E21" s="660">
        <f>E6+E20</f>
        <v>0</v>
      </c>
    </row>
    <row r="22" spans="2:5" ht="15.75">
      <c r="B22" s="642" t="s">
        <v>25</v>
      </c>
      <c r="C22" s="642"/>
      <c r="D22" s="644"/>
      <c r="E22" s="645"/>
    </row>
    <row r="23" spans="2:5" ht="15.75">
      <c r="B23" s="652"/>
      <c r="C23" s="647"/>
      <c r="D23" s="649"/>
      <c r="E23" s="650"/>
    </row>
    <row r="24" spans="2:10" ht="15.75">
      <c r="B24" s="652"/>
      <c r="C24" s="647"/>
      <c r="D24" s="649"/>
      <c r="E24" s="650"/>
      <c r="G24" s="846" t="str">
        <f>CONCATENATE("Desired Carryover Into ",E1+1,"")</f>
        <v>Desired Carryover Into 2014</v>
      </c>
      <c r="H24" s="847"/>
      <c r="I24" s="847"/>
      <c r="J24" s="848"/>
    </row>
    <row r="25" spans="2:10" ht="15.75">
      <c r="B25" s="652"/>
      <c r="C25" s="649"/>
      <c r="D25" s="649"/>
      <c r="E25" s="650"/>
      <c r="G25" s="661"/>
      <c r="H25" s="662"/>
      <c r="I25" s="663"/>
      <c r="J25" s="664"/>
    </row>
    <row r="26" spans="2:10" ht="15.75">
      <c r="B26" s="652"/>
      <c r="C26" s="647"/>
      <c r="D26" s="649"/>
      <c r="E26" s="650"/>
      <c r="G26" s="665" t="s">
        <v>716</v>
      </c>
      <c r="H26" s="663"/>
      <c r="I26" s="663"/>
      <c r="J26" s="666">
        <v>0</v>
      </c>
    </row>
    <row r="27" spans="2:10" ht="15.75">
      <c r="B27" s="652"/>
      <c r="C27" s="647"/>
      <c r="D27" s="649"/>
      <c r="E27" s="650"/>
      <c r="G27" s="661" t="s">
        <v>717</v>
      </c>
      <c r="H27" s="662"/>
      <c r="I27" s="662"/>
      <c r="J27" s="667">
        <f>IF(J26=0,"",ROUND((J26+E40-G39)/inputOth!E7*1000,3)-G44)</f>
      </c>
    </row>
    <row r="28" spans="2:10" ht="15.75">
      <c r="B28" s="652"/>
      <c r="C28" s="647"/>
      <c r="D28" s="649"/>
      <c r="E28" s="650"/>
      <c r="G28" s="668" t="str">
        <f>CONCATENATE("",E1," Tot Exp/Non-Appr Must Be:")</f>
        <v>2013 Tot Exp/Non-Appr Must Be:</v>
      </c>
      <c r="H28" s="669"/>
      <c r="I28" s="670"/>
      <c r="J28" s="671">
        <f>IF(J26&gt;0,IF(E37&lt;E21,IF(J26=G39,E37,((J26-G39)*(1-D39))+E21),E37+(J26-G39)),0)</f>
        <v>0</v>
      </c>
    </row>
    <row r="29" spans="2:10" ht="15.75">
      <c r="B29" s="652"/>
      <c r="C29" s="647"/>
      <c r="D29" s="649"/>
      <c r="E29" s="650"/>
      <c r="G29" s="672" t="s">
        <v>822</v>
      </c>
      <c r="H29" s="673"/>
      <c r="I29" s="673"/>
      <c r="J29" s="674">
        <f>IF(J26&gt;0,J28-E37,0)</f>
        <v>0</v>
      </c>
    </row>
    <row r="30" spans="2:5" ht="15.75">
      <c r="B30" s="675" t="s">
        <v>217</v>
      </c>
      <c r="C30" s="647"/>
      <c r="D30" s="649"/>
      <c r="E30" s="645">
        <f>nhood!E7</f>
      </c>
    </row>
    <row r="31" spans="2:10" ht="15.75">
      <c r="B31" s="675" t="s">
        <v>214</v>
      </c>
      <c r="C31" s="655"/>
      <c r="D31" s="649"/>
      <c r="E31" s="650"/>
      <c r="G31" s="846" t="str">
        <f>CONCATENATE("Projected Carryover Into ",E1+1,"")</f>
        <v>Projected Carryover Into 2014</v>
      </c>
      <c r="H31" s="856"/>
      <c r="I31" s="856"/>
      <c r="J31" s="850"/>
    </row>
    <row r="32" spans="2:10" ht="15.75">
      <c r="B32" s="675" t="s">
        <v>710</v>
      </c>
      <c r="C32" s="656">
        <f>IF(C33*0.1&lt;C31,"Exceed 10% Rule","")</f>
      </c>
      <c r="D32" s="656">
        <f>IF(D33*0.1&lt;D31,"Exceed 10% Rule","")</f>
      </c>
      <c r="E32" s="657">
        <f>IF(E33*0.1&lt;E31,"Exceed 10% Rule","")</f>
      </c>
      <c r="G32" s="661"/>
      <c r="H32" s="663"/>
      <c r="I32" s="663"/>
      <c r="J32" s="676"/>
    </row>
    <row r="33" spans="2:10" ht="15.75">
      <c r="B33" s="658" t="s">
        <v>26</v>
      </c>
      <c r="C33" s="677">
        <f>SUM(C23:C31)</f>
        <v>0</v>
      </c>
      <c r="D33" s="677">
        <f>SUM(D23:D31)</f>
        <v>0</v>
      </c>
      <c r="E33" s="678">
        <f>SUM(E23:E31)</f>
        <v>0</v>
      </c>
      <c r="G33" s="679">
        <f>D34</f>
        <v>0</v>
      </c>
      <c r="H33" s="680" t="str">
        <f>CONCATENATE("",E1-1," Ending Cash Balance (est.)")</f>
        <v>2012 Ending Cash Balance (est.)</v>
      </c>
      <c r="I33" s="681"/>
      <c r="J33" s="676"/>
    </row>
    <row r="34" spans="2:10" ht="15.75">
      <c r="B34" s="642" t="s">
        <v>121</v>
      </c>
      <c r="C34" s="682">
        <f>C21-C33</f>
        <v>0</v>
      </c>
      <c r="D34" s="682">
        <f>D21-D33</f>
        <v>0</v>
      </c>
      <c r="E34" s="648" t="s">
        <v>292</v>
      </c>
      <c r="F34" s="683"/>
      <c r="G34" s="679">
        <f>E20</f>
        <v>0</v>
      </c>
      <c r="H34" s="663" t="str">
        <f>CONCATENATE("",E1," Non-AV Receipts (est.)")</f>
        <v>2013 Non-AV Receipts (est.)</v>
      </c>
      <c r="I34" s="681"/>
      <c r="J34" s="676"/>
    </row>
    <row r="35" spans="2:11" ht="15.75">
      <c r="B35" s="684" t="str">
        <f>CONCATENATE("",E1-2,"/",E1-1," Budget Authority Amount:")</f>
        <v>2011/2012 Budget Authority Amount:</v>
      </c>
      <c r="C35" s="685">
        <f>inputOth!B49</f>
        <v>0</v>
      </c>
      <c r="D35" s="686">
        <f>inputPrYr!D17</f>
        <v>0</v>
      </c>
      <c r="E35" s="648" t="s">
        <v>292</v>
      </c>
      <c r="F35" s="687"/>
      <c r="G35" s="688">
        <f>IF(E39&gt;0,E38,E40)</f>
        <v>0</v>
      </c>
      <c r="H35" s="663" t="str">
        <f>CONCATENATE("",E1," Ad Valorem Tax (est.)")</f>
        <v>2013 Ad Valorem Tax (est.)</v>
      </c>
      <c r="I35" s="681"/>
      <c r="J35" s="676"/>
      <c r="K35" s="689">
        <f>IF(G35=E40,"","Note: Does not include Delinquent Taxes")</f>
      </c>
    </row>
    <row r="36" spans="2:10" ht="15.75">
      <c r="B36" s="684"/>
      <c r="C36" s="839" t="s">
        <v>712</v>
      </c>
      <c r="D36" s="840"/>
      <c r="E36" s="650"/>
      <c r="F36" s="769">
        <f>IF(E33/0.95-E33&lt;E36,"Exceeds 5%","")</f>
      </c>
      <c r="G36" s="679">
        <f>SUM(G33:G35)</f>
        <v>0</v>
      </c>
      <c r="H36" s="663" t="str">
        <f>CONCATENATE("Total ",E1," Resources Available")</f>
        <v>Total 2013 Resources Available</v>
      </c>
      <c r="I36" s="681"/>
      <c r="J36" s="676"/>
    </row>
    <row r="37" spans="2:10" ht="15.75">
      <c r="B37" s="690" t="str">
        <f>CONCATENATE(C93,"     ",D93)</f>
        <v>     </v>
      </c>
      <c r="C37" s="841" t="s">
        <v>713</v>
      </c>
      <c r="D37" s="842"/>
      <c r="E37" s="645">
        <f>E33+E36</f>
        <v>0</v>
      </c>
      <c r="F37" s="683"/>
      <c r="G37" s="691"/>
      <c r="H37" s="663"/>
      <c r="I37" s="663"/>
      <c r="J37" s="676"/>
    </row>
    <row r="38" spans="2:10" ht="15.75">
      <c r="B38" s="690" t="str">
        <f>CONCATENATE(C94,"     ",D94)</f>
        <v>     </v>
      </c>
      <c r="C38" s="692"/>
      <c r="D38" s="630" t="s">
        <v>28</v>
      </c>
      <c r="E38" s="693">
        <f>IF(E37-E21&gt;0,E37-E21,0)</f>
        <v>0</v>
      </c>
      <c r="F38" s="683"/>
      <c r="G38" s="688">
        <f>C33</f>
        <v>0</v>
      </c>
      <c r="H38" s="663" t="str">
        <f>CONCATENATE("Less ",E1-2," Expenditures")</f>
        <v>Less 2011 Expenditures</v>
      </c>
      <c r="I38" s="663"/>
      <c r="J38" s="676"/>
    </row>
    <row r="39" spans="2:10" ht="15.75">
      <c r="B39" s="630"/>
      <c r="C39" s="526" t="s">
        <v>714</v>
      </c>
      <c r="D39" s="694">
        <f>inputOth!E42</f>
        <v>0</v>
      </c>
      <c r="E39" s="645">
        <f>ROUND(IF(D39&gt;0,(E38*D39),0),0)</f>
        <v>0</v>
      </c>
      <c r="F39" s="683"/>
      <c r="G39" s="695">
        <f>G36-G38</f>
        <v>0</v>
      </c>
      <c r="H39" s="696" t="str">
        <f>CONCATENATE("Projected ",E1+1," carryover (est.)")</f>
        <v>Projected 2014 carryover (est.)</v>
      </c>
      <c r="I39" s="697"/>
      <c r="J39" s="698"/>
    </row>
    <row r="40" spans="2:6" ht="16.5" thickBot="1">
      <c r="B40" s="627"/>
      <c r="C40" s="851" t="str">
        <f>CONCATENATE("Amount of  ",E1-1," Ad Valorem Tax")</f>
        <v>Amount of  2012 Ad Valorem Tax</v>
      </c>
      <c r="D40" s="852"/>
      <c r="E40" s="700">
        <f>SUM(E38:E39)</f>
        <v>0</v>
      </c>
      <c r="F40" s="683"/>
    </row>
    <row r="41" spans="2:10" ht="16.5" thickTop="1">
      <c r="B41" s="627"/>
      <c r="C41" s="851"/>
      <c r="D41" s="852"/>
      <c r="E41" s="701"/>
      <c r="F41" s="683"/>
      <c r="G41" s="853" t="s">
        <v>823</v>
      </c>
      <c r="H41" s="854"/>
      <c r="I41" s="854"/>
      <c r="J41" s="855"/>
    </row>
    <row r="42" spans="2:10" ht="15.75">
      <c r="B42" s="627"/>
      <c r="C42" s="699"/>
      <c r="D42" s="627"/>
      <c r="E42" s="627"/>
      <c r="F42" s="683"/>
      <c r="G42" s="702"/>
      <c r="H42" s="680"/>
      <c r="I42" s="703"/>
      <c r="J42" s="704"/>
    </row>
    <row r="43" spans="2:10" ht="15.75">
      <c r="B43" s="634"/>
      <c r="C43" s="634"/>
      <c r="D43" s="632"/>
      <c r="E43" s="632"/>
      <c r="F43" s="683"/>
      <c r="G43" s="705" t="str">
        <f>summ!I19</f>
        <v> </v>
      </c>
      <c r="H43" s="680" t="str">
        <f>CONCATENATE("",E1," Fund Mill Rate")</f>
        <v>2013 Fund Mill Rate</v>
      </c>
      <c r="I43" s="703"/>
      <c r="J43" s="704"/>
    </row>
    <row r="44" spans="2:10" ht="15.75">
      <c r="B44" s="634" t="s">
        <v>10</v>
      </c>
      <c r="C44" s="635" t="s">
        <v>818</v>
      </c>
      <c r="D44" s="636" t="s">
        <v>819</v>
      </c>
      <c r="E44" s="637" t="s">
        <v>820</v>
      </c>
      <c r="F44" s="683"/>
      <c r="G44" s="706" t="str">
        <f>summ!F19</f>
        <v>  </v>
      </c>
      <c r="H44" s="680" t="str">
        <f>CONCATENATE("",E1-1," Fund Mill Rate")</f>
        <v>2012 Fund Mill Rate</v>
      </c>
      <c r="I44" s="703"/>
      <c r="J44" s="704"/>
    </row>
    <row r="45" spans="2:10" ht="15.75">
      <c r="B45" s="707" t="str">
        <f>inputPrYr!B18</f>
        <v>Library</v>
      </c>
      <c r="C45" s="639" t="str">
        <f>CONCATENATE("Actual for ",$E$1-2,"")</f>
        <v>Actual for 2011</v>
      </c>
      <c r="D45" s="640" t="str">
        <f>CONCATENATE("Estimate for ",$E$1-1,"")</f>
        <v>Estimate for 2012</v>
      </c>
      <c r="E45" s="641" t="str">
        <f>CONCATENATE("Year for ",$E$1,"")</f>
        <v>Year for 2013</v>
      </c>
      <c r="F45" s="683"/>
      <c r="G45" s="708">
        <f>summ!I36</f>
        <v>0</v>
      </c>
      <c r="H45" s="680" t="str">
        <f>CONCATENATE("Total ",E1," Mill Rate")</f>
        <v>Total 2013 Mill Rate</v>
      </c>
      <c r="I45" s="703"/>
      <c r="J45" s="704"/>
    </row>
    <row r="46" spans="2:10" ht="15.75">
      <c r="B46" s="642" t="s">
        <v>146</v>
      </c>
      <c r="C46" s="647">
        <v>0</v>
      </c>
      <c r="D46" s="644">
        <f>C74</f>
        <v>0</v>
      </c>
      <c r="E46" s="645">
        <f>D74</f>
        <v>0</v>
      </c>
      <c r="F46" s="683"/>
      <c r="G46" s="706">
        <f>summ!F36</f>
        <v>20.454</v>
      </c>
      <c r="H46" s="709" t="str">
        <f>CONCATENATE("Total ",E1-1," Mill Rate")</f>
        <v>Total 2012 Mill Rate</v>
      </c>
      <c r="I46" s="710"/>
      <c r="J46" s="711"/>
    </row>
    <row r="47" spans="2:6" ht="15.75">
      <c r="B47" s="712" t="s">
        <v>122</v>
      </c>
      <c r="C47" s="642"/>
      <c r="D47" s="644"/>
      <c r="E47" s="645"/>
      <c r="F47" s="683"/>
    </row>
    <row r="48" spans="2:6" ht="15.75">
      <c r="B48" s="642" t="s">
        <v>16</v>
      </c>
      <c r="C48" s="655"/>
      <c r="D48" s="644">
        <f>IF(inputPrYr!H15&gt;0,inputPrYr!G18,inputPrYr!E18)</f>
        <v>0</v>
      </c>
      <c r="E48" s="648" t="s">
        <v>292</v>
      </c>
      <c r="F48" s="683"/>
    </row>
    <row r="49" spans="2:6" ht="15.75">
      <c r="B49" s="642" t="s">
        <v>17</v>
      </c>
      <c r="C49" s="655"/>
      <c r="D49" s="649"/>
      <c r="E49" s="650"/>
      <c r="F49" s="683"/>
    </row>
    <row r="50" spans="2:6" ht="15.75">
      <c r="B50" s="642" t="s">
        <v>18</v>
      </c>
      <c r="C50" s="655"/>
      <c r="D50" s="649"/>
      <c r="E50" s="645">
        <f>mvalloc!G13</f>
        <v>0</v>
      </c>
      <c r="F50" s="683"/>
    </row>
    <row r="51" spans="2:6" ht="15.75">
      <c r="B51" s="642" t="s">
        <v>19</v>
      </c>
      <c r="C51" s="655"/>
      <c r="D51" s="649"/>
      <c r="E51" s="645">
        <f>mvalloc!I13</f>
        <v>0</v>
      </c>
      <c r="F51" s="683"/>
    </row>
    <row r="52" spans="2:5" ht="15.75">
      <c r="B52" s="651" t="s">
        <v>101</v>
      </c>
      <c r="C52" s="655"/>
      <c r="D52" s="649"/>
      <c r="E52" s="645">
        <f>mvalloc!J13</f>
        <v>0</v>
      </c>
    </row>
    <row r="53" spans="2:5" ht="15.75">
      <c r="B53" s="652"/>
      <c r="C53" s="655"/>
      <c r="D53" s="649"/>
      <c r="E53" s="653"/>
    </row>
    <row r="54" spans="2:5" ht="15.75">
      <c r="B54" s="652"/>
      <c r="C54" s="655"/>
      <c r="D54" s="649"/>
      <c r="E54" s="653"/>
    </row>
    <row r="55" spans="2:5" ht="15.75">
      <c r="B55" s="652"/>
      <c r="C55" s="655"/>
      <c r="D55" s="649"/>
      <c r="E55" s="650"/>
    </row>
    <row r="56" spans="2:5" ht="15.75">
      <c r="B56" s="652"/>
      <c r="C56" s="655"/>
      <c r="D56" s="649"/>
      <c r="E56" s="650"/>
    </row>
    <row r="57" spans="2:5" ht="15.75">
      <c r="B57" s="654" t="s">
        <v>22</v>
      </c>
      <c r="C57" s="655"/>
      <c r="D57" s="649"/>
      <c r="E57" s="650"/>
    </row>
    <row r="58" spans="2:5" ht="15.75">
      <c r="B58" s="642" t="s">
        <v>214</v>
      </c>
      <c r="C58" s="655"/>
      <c r="D58" s="655"/>
      <c r="E58" s="713"/>
    </row>
    <row r="59" spans="2:5" ht="15.75">
      <c r="B59" s="642" t="s">
        <v>821</v>
      </c>
      <c r="C59" s="656">
        <f>IF(C60*0.1&lt;C58,"Exceed 10% Rule","")</f>
      </c>
      <c r="D59" s="656">
        <f>IF(D60*0.1&lt;D58,"Exceeds 10% Rule","")</f>
      </c>
      <c r="E59" s="657">
        <f>IF(E60*0.1&lt;E58,"Exceed 10% Rule","")</f>
      </c>
    </row>
    <row r="60" spans="2:5" ht="15.75">
      <c r="B60" s="658" t="s">
        <v>23</v>
      </c>
      <c r="C60" s="677">
        <f>SUM(C48:C58)</f>
        <v>0</v>
      </c>
      <c r="D60" s="677">
        <f>SUM(D48:D58)</f>
        <v>0</v>
      </c>
      <c r="E60" s="678">
        <f>SUM(E49:E58)</f>
        <v>0</v>
      </c>
    </row>
    <row r="61" spans="2:5" ht="15.75">
      <c r="B61" s="658" t="s">
        <v>24</v>
      </c>
      <c r="C61" s="677">
        <f>C46+C60</f>
        <v>0</v>
      </c>
      <c r="D61" s="677">
        <f>D46+D60</f>
        <v>0</v>
      </c>
      <c r="E61" s="678">
        <f>E46+E60</f>
        <v>0</v>
      </c>
    </row>
    <row r="62" spans="2:5" ht="15.75">
      <c r="B62" s="642" t="s">
        <v>25</v>
      </c>
      <c r="C62" s="642"/>
      <c r="D62" s="644"/>
      <c r="E62" s="645"/>
    </row>
    <row r="63" spans="2:5" ht="15.75">
      <c r="B63" s="652"/>
      <c r="C63" s="647"/>
      <c r="D63" s="649"/>
      <c r="E63" s="650"/>
    </row>
    <row r="64" spans="2:10" ht="15.75">
      <c r="B64" s="652"/>
      <c r="C64" s="647"/>
      <c r="D64" s="649"/>
      <c r="E64" s="650"/>
      <c r="G64" s="846" t="str">
        <f>CONCATENATE("Desired Carryover Into ",E1+1,"")</f>
        <v>Desired Carryover Into 2014</v>
      </c>
      <c r="H64" s="847"/>
      <c r="I64" s="847"/>
      <c r="J64" s="848"/>
    </row>
    <row r="65" spans="2:10" ht="15.75">
      <c r="B65" s="652"/>
      <c r="C65" s="647"/>
      <c r="D65" s="649"/>
      <c r="E65" s="650"/>
      <c r="G65" s="661"/>
      <c r="H65" s="662"/>
      <c r="I65" s="663"/>
      <c r="J65" s="664"/>
    </row>
    <row r="66" spans="2:10" ht="15.75">
      <c r="B66" s="652"/>
      <c r="C66" s="647"/>
      <c r="D66" s="649"/>
      <c r="E66" s="650"/>
      <c r="G66" s="665" t="s">
        <v>716</v>
      </c>
      <c r="H66" s="663"/>
      <c r="I66" s="663"/>
      <c r="J66" s="666">
        <v>0</v>
      </c>
    </row>
    <row r="67" spans="2:10" ht="15.75">
      <c r="B67" s="652"/>
      <c r="C67" s="647"/>
      <c r="D67" s="649"/>
      <c r="E67" s="650"/>
      <c r="G67" s="661" t="s">
        <v>717</v>
      </c>
      <c r="H67" s="662"/>
      <c r="I67" s="662"/>
      <c r="J67" s="667">
        <f>IF(J66=0,"",ROUND((J66+E80-G79)/inputOth!E7*1000,3)-G84)</f>
      </c>
    </row>
    <row r="68" spans="2:10" ht="15.75">
      <c r="B68" s="652"/>
      <c r="C68" s="647"/>
      <c r="D68" s="649"/>
      <c r="E68" s="650"/>
      <c r="G68" s="668" t="str">
        <f>CONCATENATE("",E1," Tot Exp/Non-Appr Must Be:")</f>
        <v>2013 Tot Exp/Non-Appr Must Be:</v>
      </c>
      <c r="H68" s="669"/>
      <c r="I68" s="670"/>
      <c r="J68" s="671">
        <f>IF(J66&gt;0,IF(E77&lt;E61,IF(J66=G79,E77,((J66-G79)*(1-D79))+E61),E77+(J66-G79)),0)</f>
        <v>0</v>
      </c>
    </row>
    <row r="69" spans="2:10" ht="15.75">
      <c r="B69" s="652"/>
      <c r="C69" s="647"/>
      <c r="D69" s="649"/>
      <c r="E69" s="650"/>
      <c r="G69" s="672" t="s">
        <v>822</v>
      </c>
      <c r="H69" s="673"/>
      <c r="I69" s="673"/>
      <c r="J69" s="674">
        <f>IF(J66&gt;0,J68-E77,0)</f>
        <v>0</v>
      </c>
    </row>
    <row r="70" spans="2:6" ht="15.75">
      <c r="B70" s="651" t="s">
        <v>217</v>
      </c>
      <c r="C70" s="647"/>
      <c r="D70" s="649"/>
      <c r="E70" s="645">
        <f>nhood!E8</f>
      </c>
      <c r="F70" s="683"/>
    </row>
    <row r="71" spans="2:10" ht="15.75">
      <c r="B71" s="651" t="s">
        <v>214</v>
      </c>
      <c r="C71" s="655"/>
      <c r="D71" s="649"/>
      <c r="E71" s="650"/>
      <c r="F71" s="683"/>
      <c r="G71" s="846" t="str">
        <f>CONCATENATE("Projected Carryover Into ",E1+1,"")</f>
        <v>Projected Carryover Into 2014</v>
      </c>
      <c r="H71" s="849"/>
      <c r="I71" s="849"/>
      <c r="J71" s="850"/>
    </row>
    <row r="72" spans="2:10" ht="15.75">
      <c r="B72" s="651" t="s">
        <v>710</v>
      </c>
      <c r="C72" s="656">
        <f>IF(C73*0.1&lt;C71,"Exceed 10% Rule","")</f>
      </c>
      <c r="D72" s="656">
        <f>IF(D73*0.1&lt;D71,"Exceed 10% Rule","")</f>
      </c>
      <c r="E72" s="657">
        <f>IF(E73*0.1&lt;E71,"Exceed 10% Rule","")</f>
      </c>
      <c r="F72" s="683"/>
      <c r="G72" s="714"/>
      <c r="H72" s="662"/>
      <c r="I72" s="662"/>
      <c r="J72" s="715"/>
    </row>
    <row r="73" spans="2:10" ht="15.75">
      <c r="B73" s="658" t="s">
        <v>26</v>
      </c>
      <c r="C73" s="677">
        <f>SUM(C63:C71)</f>
        <v>0</v>
      </c>
      <c r="D73" s="677">
        <f>SUM(D63:D71)</f>
        <v>0</v>
      </c>
      <c r="E73" s="678">
        <f>SUM(E63:E71)</f>
        <v>0</v>
      </c>
      <c r="F73" s="683"/>
      <c r="G73" s="679">
        <f>D74</f>
        <v>0</v>
      </c>
      <c r="H73" s="680" t="str">
        <f>CONCATENATE("",E1-1," Ending Cash Balance (est.)")</f>
        <v>2012 Ending Cash Balance (est.)</v>
      </c>
      <c r="I73" s="681"/>
      <c r="J73" s="715"/>
    </row>
    <row r="74" spans="2:10" ht="15.75">
      <c r="B74" s="642" t="s">
        <v>121</v>
      </c>
      <c r="C74" s="682">
        <f>C61-C73</f>
        <v>0</v>
      </c>
      <c r="D74" s="682">
        <f>D61-D73</f>
        <v>0</v>
      </c>
      <c r="E74" s="648" t="s">
        <v>292</v>
      </c>
      <c r="F74" s="683"/>
      <c r="G74" s="679">
        <f>E60</f>
        <v>0</v>
      </c>
      <c r="H74" s="663" t="str">
        <f>CONCATENATE("",E1," Non-AV Receipts (est.)")</f>
        <v>2013 Non-AV Receipts (est.)</v>
      </c>
      <c r="I74" s="681"/>
      <c r="J74" s="715"/>
    </row>
    <row r="75" spans="2:11" ht="15.75">
      <c r="B75" s="684" t="str">
        <f>CONCATENATE("",E1-2,"/",E1-1," Budget Authority Amount:")</f>
        <v>2011/2012 Budget Authority Amount:</v>
      </c>
      <c r="C75" s="685">
        <f>inputOth!B50</f>
        <v>0</v>
      </c>
      <c r="D75" s="685">
        <f>inputPrYr!D18</f>
        <v>0</v>
      </c>
      <c r="E75" s="648" t="s">
        <v>292</v>
      </c>
      <c r="F75" s="687"/>
      <c r="G75" s="688">
        <f>IF(E79&gt;0,E78,E80)</f>
        <v>0</v>
      </c>
      <c r="H75" s="663" t="str">
        <f>CONCATENATE("",E1," Ad Valorem Tax (est.)")</f>
        <v>2013 Ad Valorem Tax (est.)</v>
      </c>
      <c r="I75" s="681"/>
      <c r="J75" s="715"/>
      <c r="K75" s="689">
        <f>IF(G75=E80,"","Note: Does not include Delinquent Taxes")</f>
      </c>
    </row>
    <row r="76" spans="2:10" ht="15.75">
      <c r="B76" s="684"/>
      <c r="C76" s="839" t="s">
        <v>712</v>
      </c>
      <c r="D76" s="840"/>
      <c r="E76" s="650"/>
      <c r="F76" s="716">
        <f>IF(E73/0.95-E73&lt;E76,"Exceeds 5%","")</f>
      </c>
      <c r="G76" s="717">
        <f>SUM(G73:G75)</f>
        <v>0</v>
      </c>
      <c r="H76" s="663" t="str">
        <f>CONCATENATE("Total ",E1," Resources Available")</f>
        <v>Total 2013 Resources Available</v>
      </c>
      <c r="I76" s="718"/>
      <c r="J76" s="715"/>
    </row>
    <row r="77" spans="2:10" ht="15.75">
      <c r="B77" s="690" t="str">
        <f>CONCATENATE(C95,"     ",D95)</f>
        <v>     </v>
      </c>
      <c r="C77" s="841" t="s">
        <v>713</v>
      </c>
      <c r="D77" s="842"/>
      <c r="E77" s="645">
        <f>E73+E76</f>
        <v>0</v>
      </c>
      <c r="F77" s="683"/>
      <c r="G77" s="719"/>
      <c r="H77" s="720"/>
      <c r="I77" s="662"/>
      <c r="J77" s="715"/>
    </row>
    <row r="78" spans="2:10" ht="15.75">
      <c r="B78" s="690" t="str">
        <f>CONCATENATE(C96,"     ",D96)</f>
        <v>     </v>
      </c>
      <c r="C78" s="692"/>
      <c r="D78" s="630" t="s">
        <v>28</v>
      </c>
      <c r="E78" s="693">
        <f>IF(E77-E61&gt;0,E77-E61,0)</f>
        <v>0</v>
      </c>
      <c r="F78" s="683"/>
      <c r="G78" s="688">
        <f>ROUND(C73*0.05+C73,0)</f>
        <v>0</v>
      </c>
      <c r="H78" s="663" t="str">
        <f>CONCATENATE("Less ",E1-2," Expenditures + 5%")</f>
        <v>Less 2011 Expenditures + 5%</v>
      </c>
      <c r="I78" s="718"/>
      <c r="J78" s="715"/>
    </row>
    <row r="79" spans="2:10" ht="15.75">
      <c r="B79" s="630"/>
      <c r="C79" s="526" t="s">
        <v>714</v>
      </c>
      <c r="D79" s="694">
        <f>inputOth!E42</f>
        <v>0</v>
      </c>
      <c r="E79" s="645">
        <f>ROUND(IF(E78&gt;0,(E78*D79),0),0)</f>
        <v>0</v>
      </c>
      <c r="F79" s="683"/>
      <c r="G79" s="695">
        <f>G76-G78</f>
        <v>0</v>
      </c>
      <c r="H79" s="696" t="str">
        <f>CONCATENATE("Projected ",E1+1," carryover (est.)")</f>
        <v>Projected 2014 carryover (est.)</v>
      </c>
      <c r="I79" s="721"/>
      <c r="J79" s="722"/>
    </row>
    <row r="80" spans="2:6" ht="16.5" thickBot="1">
      <c r="B80" s="627"/>
      <c r="C80" s="851" t="str">
        <f>CONCATENATE("Amount of  ",E1-1," Ad Valorem Tax")</f>
        <v>Amount of  2012 Ad Valorem Tax</v>
      </c>
      <c r="D80" s="852"/>
      <c r="E80" s="700">
        <f>E78+E79</f>
        <v>0</v>
      </c>
      <c r="F80" s="723" t="str">
        <f>IF('Library Grant'!F33="","",IF('Library Grant'!F33="Qualify","Qualifies for State Library Grant","See 'Library Grant' tab"))</f>
        <v>See 'Library Grant' tab</v>
      </c>
    </row>
    <row r="81" spans="2:10" ht="16.5" thickTop="1">
      <c r="B81" s="630"/>
      <c r="C81" s="851"/>
      <c r="D81" s="852"/>
      <c r="E81" s="701"/>
      <c r="F81" s="683"/>
      <c r="G81" s="853" t="s">
        <v>823</v>
      </c>
      <c r="H81" s="854"/>
      <c r="I81" s="854"/>
      <c r="J81" s="855"/>
    </row>
    <row r="82" spans="2:10" ht="15.75">
      <c r="B82" s="630"/>
      <c r="C82" s="630"/>
      <c r="D82" s="630"/>
      <c r="E82" s="630"/>
      <c r="G82" s="702"/>
      <c r="H82" s="680"/>
      <c r="I82" s="703"/>
      <c r="J82" s="704"/>
    </row>
    <row r="83" spans="2:10" ht="15.75">
      <c r="B83" s="630" t="s">
        <v>9</v>
      </c>
      <c r="C83" s="724"/>
      <c r="D83" s="630"/>
      <c r="E83" s="630"/>
      <c r="F83" s="683"/>
      <c r="G83" s="705" t="str">
        <f>summ!I20</f>
        <v> </v>
      </c>
      <c r="H83" s="680" t="str">
        <f>CONCATENATE("",E1," Fund Mill Rate")</f>
        <v>2013 Fund Mill Rate</v>
      </c>
      <c r="I83" s="703"/>
      <c r="J83" s="704"/>
    </row>
    <row r="84" spans="7:10" ht="15.75">
      <c r="G84" s="706" t="str">
        <f>summ!F20</f>
        <v>  </v>
      </c>
      <c r="H84" s="680" t="str">
        <f>CONCATENATE("",E1-1," Fund Mill Rate")</f>
        <v>2012 Fund Mill Rate</v>
      </c>
      <c r="I84" s="703"/>
      <c r="J84" s="704"/>
    </row>
    <row r="85" spans="7:10" ht="15.75">
      <c r="G85" s="708">
        <f>summ!I36</f>
        <v>0</v>
      </c>
      <c r="H85" s="680" t="str">
        <f>CONCATENATE("Total ",E1," Mill Rate")</f>
        <v>Total 2013 Mill Rate</v>
      </c>
      <c r="I85" s="703"/>
      <c r="J85" s="704"/>
    </row>
    <row r="86" spans="7:10" ht="15.75">
      <c r="G86" s="706">
        <f>summ!F36</f>
        <v>20.454</v>
      </c>
      <c r="H86" s="709" t="str">
        <f>CONCATENATE("Total ",E1-1," Mill Rate")</f>
        <v>Total 2012 Mill Rate</v>
      </c>
      <c r="I86" s="710"/>
      <c r="J86" s="711"/>
    </row>
    <row r="87" spans="7:10" ht="15.75">
      <c r="G87" s="725"/>
      <c r="H87" s="725"/>
      <c r="I87" s="725"/>
      <c r="J87" s="725"/>
    </row>
    <row r="88" spans="3:4" ht="15.75">
      <c r="C88" s="726" t="s">
        <v>824</v>
      </c>
      <c r="D88" s="726" t="s">
        <v>824</v>
      </c>
    </row>
    <row r="89" spans="3:4" ht="15.75">
      <c r="C89" s="726" t="s">
        <v>824</v>
      </c>
      <c r="D89" s="726" t="s">
        <v>824</v>
      </c>
    </row>
    <row r="91" spans="3:4" ht="15.75">
      <c r="C91" s="726" t="s">
        <v>824</v>
      </c>
      <c r="D91" s="726" t="s">
        <v>824</v>
      </c>
    </row>
    <row r="92" spans="3:4" ht="15.75">
      <c r="C92" s="726" t="s">
        <v>824</v>
      </c>
      <c r="D92" s="726" t="s">
        <v>824</v>
      </c>
    </row>
    <row r="93" spans="3:4" ht="15.75" hidden="1">
      <c r="C93" s="727">
        <f>IF(C33&gt;C35,"See Tab A","")</f>
      </c>
      <c r="D93" s="727">
        <f>IF(D33&gt;D35,"See Tab C","")</f>
      </c>
    </row>
    <row r="94" spans="3:4" ht="15.75" hidden="1">
      <c r="C94" s="727">
        <f>IF(C34&lt;0,"See Tab B","")</f>
      </c>
      <c r="D94" s="727">
        <f>IF(D34&lt;0,"See Tab D","")</f>
      </c>
    </row>
    <row r="95" spans="3:4" ht="15.75" hidden="1">
      <c r="C95" s="728">
        <f>IF(C73&gt;C75,"See Tab A","")</f>
      </c>
      <c r="D95" s="728">
        <f>IF(D73&gt;D75,"See Tab C","")</f>
      </c>
    </row>
    <row r="96" spans="3:4" ht="15.75" hidden="1">
      <c r="C96" s="728">
        <f>IF(C74&lt;0,"See Tab B","")</f>
      </c>
      <c r="D96" s="728">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9">
      <selection activeCell="C31" sqref="C31"/>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FALL RIVER TOWNSHIP</v>
      </c>
      <c r="C1" s="125"/>
      <c r="D1" s="125"/>
      <c r="E1" s="192">
        <f>inputPrYr!D5</f>
        <v>2013</v>
      </c>
    </row>
    <row r="2" spans="2:5" ht="15.75">
      <c r="B2" s="527" t="s">
        <v>715</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1370</v>
      </c>
      <c r="D6" s="427">
        <f>C44</f>
        <v>591</v>
      </c>
      <c r="E6" s="264">
        <f>D44</f>
        <v>591</v>
      </c>
    </row>
    <row r="7" spans="2:5" ht="15.75">
      <c r="B7" s="138" t="s">
        <v>122</v>
      </c>
      <c r="C7" s="427"/>
      <c r="D7" s="427"/>
      <c r="E7" s="288"/>
    </row>
    <row r="8" spans="2:5" ht="15.75">
      <c r="B8" s="138" t="s">
        <v>16</v>
      </c>
      <c r="C8" s="285">
        <v>38612</v>
      </c>
      <c r="D8" s="427">
        <f>IF(inputPrYr!H15&gt;0,inputPrYr!G19,inputPrYr!E19)</f>
        <v>0</v>
      </c>
      <c r="E8" s="288" t="s">
        <v>292</v>
      </c>
    </row>
    <row r="9" spans="2:5" ht="15.75">
      <c r="B9" s="138" t="s">
        <v>17</v>
      </c>
      <c r="C9" s="285"/>
      <c r="D9" s="285"/>
      <c r="E9" s="259"/>
    </row>
    <row r="10" spans="2:5" ht="15.75">
      <c r="B10" s="138" t="s">
        <v>18</v>
      </c>
      <c r="C10" s="285"/>
      <c r="D10" s="285"/>
      <c r="E10" s="264">
        <f>mvalloc!G14</f>
        <v>0</v>
      </c>
    </row>
    <row r="11" spans="2:5" ht="15.75">
      <c r="B11" s="138" t="s">
        <v>19</v>
      </c>
      <c r="C11" s="285"/>
      <c r="D11" s="285"/>
      <c r="E11" s="264">
        <f>mvalloc!I14</f>
        <v>0</v>
      </c>
    </row>
    <row r="12" spans="2:5" ht="15.75">
      <c r="B12" s="138" t="s">
        <v>101</v>
      </c>
      <c r="C12" s="285"/>
      <c r="D12" s="285"/>
      <c r="E12" s="264">
        <f>mvalloc!J14</f>
        <v>0</v>
      </c>
    </row>
    <row r="13" spans="2:5" ht="15.75">
      <c r="B13" s="138" t="s">
        <v>102</v>
      </c>
      <c r="C13" s="285"/>
      <c r="D13" s="285"/>
      <c r="E13" s="264">
        <f>inputOth!E38</f>
        <v>0</v>
      </c>
    </row>
    <row r="14" spans="2:5" ht="15.75">
      <c r="B14" s="292"/>
      <c r="C14" s="285"/>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214</v>
      </c>
      <c r="C21" s="285"/>
      <c r="D21" s="285"/>
      <c r="E21" s="259"/>
    </row>
    <row r="22" spans="2:5" ht="15.75">
      <c r="B22" s="293" t="s">
        <v>215</v>
      </c>
      <c r="C22" s="426">
        <f>IF(C23*0.1&lt;C21,"Exceed 10% Rule","")</f>
      </c>
      <c r="D22" s="426">
        <f>IF(D23*0.1&lt;D21,"Exceed 10% Rule","")</f>
      </c>
      <c r="E22" s="299">
        <f>IF(E23*0.1+E50&lt;E21,"Exceed 10% Rule","")</f>
      </c>
    </row>
    <row r="23" spans="2:5" ht="15.75">
      <c r="B23" s="295" t="s">
        <v>23</v>
      </c>
      <c r="C23" s="428">
        <f>SUM(C8:C21)</f>
        <v>38612</v>
      </c>
      <c r="D23" s="428">
        <f>SUM(D8:D21)</f>
        <v>0</v>
      </c>
      <c r="E23" s="296">
        <f>SUM(E8:E21)</f>
        <v>0</v>
      </c>
    </row>
    <row r="24" spans="2:5" ht="15.75">
      <c r="B24" s="297" t="s">
        <v>24</v>
      </c>
      <c r="C24" s="428">
        <f>C23+C6</f>
        <v>39982</v>
      </c>
      <c r="D24" s="428">
        <f>D23+D6</f>
        <v>591</v>
      </c>
      <c r="E24" s="296">
        <f>E23+E6</f>
        <v>591</v>
      </c>
    </row>
    <row r="25" spans="2:5" ht="15.75">
      <c r="B25" s="138" t="s">
        <v>25</v>
      </c>
      <c r="C25" s="427"/>
      <c r="D25" s="427"/>
      <c r="E25" s="264"/>
    </row>
    <row r="26" spans="2:5" ht="15.75">
      <c r="B26" s="292"/>
      <c r="C26" s="285"/>
      <c r="D26" s="285"/>
      <c r="E26" s="259"/>
    </row>
    <row r="27" spans="2:5" ht="15.75">
      <c r="B27" s="292" t="s">
        <v>103</v>
      </c>
      <c r="C27" s="285">
        <v>1277</v>
      </c>
      <c r="D27" s="285"/>
      <c r="E27" s="259"/>
    </row>
    <row r="28" spans="2:5" ht="15.75">
      <c r="B28" s="292" t="s">
        <v>128</v>
      </c>
      <c r="C28" s="285"/>
      <c r="D28" s="285"/>
      <c r="E28" s="259"/>
    </row>
    <row r="29" spans="2:5" ht="15.75">
      <c r="B29" s="291" t="s">
        <v>104</v>
      </c>
      <c r="C29" s="285"/>
      <c r="D29" s="285"/>
      <c r="E29" s="259"/>
    </row>
    <row r="30" spans="2:5" ht="15.75">
      <c r="B30" s="292" t="s">
        <v>129</v>
      </c>
      <c r="C30" s="285">
        <v>7154</v>
      </c>
      <c r="D30" s="285"/>
      <c r="E30" s="259"/>
    </row>
    <row r="31" spans="2:5" ht="15.75">
      <c r="B31" s="292" t="s">
        <v>107</v>
      </c>
      <c r="C31" s="285">
        <v>29146</v>
      </c>
      <c r="D31" s="285"/>
      <c r="E31" s="259"/>
    </row>
    <row r="32" spans="2:5" ht="15.75">
      <c r="B32" s="292" t="s">
        <v>105</v>
      </c>
      <c r="C32" s="285"/>
      <c r="D32" s="285"/>
      <c r="E32" s="259"/>
    </row>
    <row r="33" spans="2:5" ht="15.75">
      <c r="B33" s="292" t="s">
        <v>930</v>
      </c>
      <c r="C33" s="285">
        <v>1814</v>
      </c>
      <c r="D33" s="285"/>
      <c r="E33" s="259"/>
    </row>
    <row r="34" spans="2:10" ht="15.75">
      <c r="B34" s="291"/>
      <c r="C34" s="285"/>
      <c r="D34" s="285"/>
      <c r="E34" s="259"/>
      <c r="G34" s="843" t="str">
        <f>CONCATENATE("Desired Carryover Into ",E1+1,"")</f>
        <v>Desired Carryover Into 2014</v>
      </c>
      <c r="H34" s="844"/>
      <c r="I34" s="844"/>
      <c r="J34" s="845"/>
    </row>
    <row r="35" spans="2:10" ht="15.75">
      <c r="B35" s="291"/>
      <c r="C35" s="285"/>
      <c r="D35" s="285"/>
      <c r="E35" s="259"/>
      <c r="G35" s="551"/>
      <c r="H35" s="539"/>
      <c r="I35" s="544"/>
      <c r="J35" s="552"/>
    </row>
    <row r="36" spans="2:10" ht="15.75">
      <c r="B36" s="292"/>
      <c r="C36" s="285"/>
      <c r="D36" s="285"/>
      <c r="E36" s="259"/>
      <c r="G36" s="553" t="s">
        <v>716</v>
      </c>
      <c r="H36" s="544"/>
      <c r="I36" s="544"/>
      <c r="J36" s="554">
        <v>0</v>
      </c>
    </row>
    <row r="37" spans="2:10" ht="15.75">
      <c r="B37" s="292"/>
      <c r="C37" s="285"/>
      <c r="D37" s="285"/>
      <c r="E37" s="259"/>
      <c r="G37" s="551" t="s">
        <v>717</v>
      </c>
      <c r="H37" s="539"/>
      <c r="I37" s="539"/>
      <c r="J37" s="754">
        <f>IF(J36=0,"",ROUND((J36+E50-G49)/inputOth!E7*1000,3)-G54)</f>
      </c>
    </row>
    <row r="38" spans="2:10" ht="15.75">
      <c r="B38" s="138" t="s">
        <v>106</v>
      </c>
      <c r="C38" s="285"/>
      <c r="D38" s="285"/>
      <c r="E38" s="259"/>
      <c r="G38" s="755" t="str">
        <f>CONCATENATE("",E1," Tot Exp/Non-Appr Must Be:")</f>
        <v>2013 Tot Exp/Non-Appr Must Be:</v>
      </c>
      <c r="H38" s="752"/>
      <c r="I38" s="751"/>
      <c r="J38" s="756">
        <f>IF(J36&gt;0,IF(E47&lt;E16,IF(J36=G49,E47,((J36-G49)*(1-D49))+E16),E47+(J36-G49)),0)</f>
        <v>0</v>
      </c>
    </row>
    <row r="39" spans="2:10" ht="15.75">
      <c r="B39" s="138" t="s">
        <v>711</v>
      </c>
      <c r="C39" s="435">
        <f>IF(C24*0.25&lt;C38,"Not Authorized","")</f>
      </c>
      <c r="D39" s="435">
        <f>IF(D24*0.25&lt;D38,"Not Authorized","")</f>
      </c>
      <c r="E39" s="309">
        <f>IF(E24*0.25+E50&lt;E38,"Not Authorized","")</f>
      </c>
      <c r="G39" s="757" t="s">
        <v>822</v>
      </c>
      <c r="H39" s="758"/>
      <c r="I39" s="758"/>
      <c r="J39" s="759">
        <f>IF(J36&gt;0,J38-E47,0)</f>
        <v>0</v>
      </c>
    </row>
    <row r="40" spans="2:5" ht="15.75">
      <c r="B40" s="289" t="s">
        <v>217</v>
      </c>
      <c r="C40" s="285"/>
      <c r="D40" s="285"/>
      <c r="E40" s="300">
        <f>nhood!E9</f>
      </c>
    </row>
    <row r="41" spans="2:10" ht="15.75">
      <c r="B41" s="289" t="s">
        <v>214</v>
      </c>
      <c r="C41" s="285"/>
      <c r="D41" s="285"/>
      <c r="E41" s="259"/>
      <c r="G41" s="843" t="str">
        <f>CONCATENATE("Projected Carryover Into ",E1+1,"")</f>
        <v>Projected Carryover Into 2014</v>
      </c>
      <c r="H41" s="844"/>
      <c r="I41" s="844"/>
      <c r="J41" s="845"/>
    </row>
    <row r="42" spans="2:10" ht="15.75">
      <c r="B42" s="289" t="s">
        <v>710</v>
      </c>
      <c r="C42" s="426">
        <f>IF(C43*0.1&lt;C41,"Exceed 10% Rule","")</f>
      </c>
      <c r="D42" s="426">
        <f>IF(D43*0.1&lt;D41,"Exceed 10% Rule","")</f>
      </c>
      <c r="E42" s="299">
        <f>IF(E43*0.1&lt;E41,"Exceed 10% Rule","")</f>
      </c>
      <c r="G42" s="538"/>
      <c r="H42" s="539"/>
      <c r="I42" s="539"/>
      <c r="J42" s="540"/>
    </row>
    <row r="43" spans="2:10" ht="15.75">
      <c r="B43" s="297" t="s">
        <v>26</v>
      </c>
      <c r="C43" s="428">
        <f>SUM(C26:C38,C40:C41)</f>
        <v>39391</v>
      </c>
      <c r="D43" s="428">
        <f>SUM(D26:D38,D40:D41)</f>
        <v>0</v>
      </c>
      <c r="E43" s="296">
        <f>SUM(E26:E38,E40:E41)</f>
        <v>0</v>
      </c>
      <c r="G43" s="541">
        <f>D44</f>
        <v>591</v>
      </c>
      <c r="H43" s="542" t="str">
        <f>CONCATENATE("",E1-1," Ending Cash Balance (est.)")</f>
        <v>2012 Ending Cash Balance (est.)</v>
      </c>
      <c r="I43" s="543"/>
      <c r="J43" s="540"/>
    </row>
    <row r="44" spans="2:10" ht="15.75">
      <c r="B44" s="138" t="s">
        <v>121</v>
      </c>
      <c r="C44" s="434">
        <f>C24-C43</f>
        <v>591</v>
      </c>
      <c r="D44" s="434">
        <f>D24-D43</f>
        <v>591</v>
      </c>
      <c r="E44" s="288" t="s">
        <v>292</v>
      </c>
      <c r="G44" s="541">
        <f>E23</f>
        <v>0</v>
      </c>
      <c r="H44" s="544" t="str">
        <f>CONCATENATE("",E1," Non-AV Receipts (est.)")</f>
        <v>2013 Non-AV Receipts (est.)</v>
      </c>
      <c r="I44" s="543"/>
      <c r="J44" s="540"/>
    </row>
    <row r="45" spans="2:11" ht="15.75">
      <c r="B45" s="176" t="str">
        <f>CONCATENATE("",E1-2,"/",E1-1," Budget Authority Amount:")</f>
        <v>2011/2012 Budget Authority Amount:</v>
      </c>
      <c r="C45" s="522">
        <f>inputOth!B51</f>
        <v>0</v>
      </c>
      <c r="D45" s="141">
        <f>inputPrYr!D19</f>
        <v>0</v>
      </c>
      <c r="E45" s="288" t="s">
        <v>292</v>
      </c>
      <c r="F45" s="302"/>
      <c r="G45" s="545">
        <f>IF(D49&gt;0,E48,E50)</f>
        <v>0</v>
      </c>
      <c r="H45" s="544" t="str">
        <f>CONCATENATE("",E1," Ad Valorem Tax (est.)")</f>
        <v>2013 Ad Valorem Tax (est.)</v>
      </c>
      <c r="I45" s="543"/>
      <c r="J45" s="540"/>
      <c r="K45" s="760">
        <f>IF(G45=E50,"","Note: Does not include Delinquent Taxes")</f>
      </c>
    </row>
    <row r="46" spans="2:10" ht="15.75">
      <c r="B46" s="176"/>
      <c r="C46" s="839" t="s">
        <v>712</v>
      </c>
      <c r="D46" s="840"/>
      <c r="E46" s="259"/>
      <c r="F46" s="302">
        <f>IF(E43/0.95-E43&lt;E46,"Exceeds 5%","")</f>
      </c>
      <c r="G46" s="541">
        <f>SUM(G43:G45)</f>
        <v>591</v>
      </c>
      <c r="H46" s="544" t="str">
        <f>CONCATENATE("Total ",E1," Resources Available")</f>
        <v>Total 2013 Resources Available</v>
      </c>
      <c r="I46" s="543"/>
      <c r="J46" s="540"/>
    </row>
    <row r="47" spans="2:10" ht="15.75">
      <c r="B47" s="437" t="str">
        <f>CONCATENATE(C74,"     ",D74)</f>
        <v>See Tab A     </v>
      </c>
      <c r="C47" s="841" t="s">
        <v>713</v>
      </c>
      <c r="D47" s="842"/>
      <c r="E47" s="264">
        <f>E43+E46</f>
        <v>0</v>
      </c>
      <c r="G47" s="546"/>
      <c r="H47" s="544"/>
      <c r="I47" s="544"/>
      <c r="J47" s="540"/>
    </row>
    <row r="48" spans="2:10" ht="15.75">
      <c r="B48" s="437" t="str">
        <f>CONCATENATE(C75,"     ",D75)</f>
        <v>     </v>
      </c>
      <c r="C48" s="383"/>
      <c r="D48" s="193" t="s">
        <v>28</v>
      </c>
      <c r="E48" s="300">
        <f>IF(E47-E24&gt;0,E47-E24,0)</f>
        <v>0</v>
      </c>
      <c r="G48" s="545">
        <f>ROUND(C43*0.05+C43,0)</f>
        <v>41361</v>
      </c>
      <c r="H48" s="544" t="str">
        <f>CONCATENATE("Less ",E1-2," Expenditures + 5%")</f>
        <v>Less 2011 Expenditures + 5%</v>
      </c>
      <c r="I48" s="543"/>
      <c r="J48" s="540"/>
    </row>
    <row r="49" spans="2:10" ht="15.75">
      <c r="B49" s="193"/>
      <c r="C49" s="526" t="s">
        <v>714</v>
      </c>
      <c r="D49" s="750">
        <f>inputOth!$E$42</f>
        <v>0</v>
      </c>
      <c r="E49" s="264">
        <f>ROUND(IF(D49&gt;0,(E48*D49),0),0)</f>
        <v>0</v>
      </c>
      <c r="G49" s="547">
        <f>G46-G48</f>
        <v>-40770</v>
      </c>
      <c r="H49" s="548" t="str">
        <f>CONCATENATE("Projected ",E1+1," Carryover (est.)")</f>
        <v>Projected 2014 Carryover (est.)</v>
      </c>
      <c r="I49" s="549"/>
      <c r="J49" s="550"/>
    </row>
    <row r="50" spans="2:5" ht="15.75">
      <c r="B50" s="125"/>
      <c r="C50" s="837" t="str">
        <f>CONCATENATE("Amount of  ",$E$1-1," Ad Valorem Tax")</f>
        <v>Amount of  2012 Ad Valorem Tax</v>
      </c>
      <c r="D50" s="838"/>
      <c r="E50" s="300">
        <f>E48+E49</f>
        <v>0</v>
      </c>
    </row>
    <row r="51" spans="2:10" ht="15.75">
      <c r="B51" s="125"/>
      <c r="C51" s="125"/>
      <c r="D51" s="125"/>
      <c r="E51" s="125"/>
      <c r="G51" s="834" t="s">
        <v>823</v>
      </c>
      <c r="H51" s="835"/>
      <c r="I51" s="835"/>
      <c r="J51" s="836"/>
    </row>
    <row r="52" spans="2:10" ht="15.75">
      <c r="B52" s="125"/>
      <c r="C52" s="125"/>
      <c r="D52" s="125"/>
      <c r="E52" s="125"/>
      <c r="G52" s="761"/>
      <c r="H52" s="542"/>
      <c r="I52" s="753"/>
      <c r="J52" s="762"/>
    </row>
    <row r="53" spans="2:10" ht="15.75">
      <c r="B53" s="310" t="s">
        <v>30</v>
      </c>
      <c r="C53" s="311">
        <f>E1-2</f>
        <v>2011</v>
      </c>
      <c r="D53" s="125"/>
      <c r="E53" s="125"/>
      <c r="G53" s="763" t="str">
        <f>summ!I21</f>
        <v> </v>
      </c>
      <c r="H53" s="542" t="str">
        <f>CONCATENATE("",E1," Fund Mill Rate")</f>
        <v>2013 Fund Mill Rate</v>
      </c>
      <c r="I53" s="753"/>
      <c r="J53" s="762"/>
    </row>
    <row r="54" spans="2:10" ht="15.75">
      <c r="B54" s="135" t="s">
        <v>31</v>
      </c>
      <c r="C54" s="137" t="s">
        <v>32</v>
      </c>
      <c r="D54" s="125"/>
      <c r="E54" s="125"/>
      <c r="G54" s="764">
        <f>summ!F21</f>
        <v>18.111</v>
      </c>
      <c r="H54" s="542" t="str">
        <f>CONCATENATE("",E1-1," Fund Mill Rate")</f>
        <v>2012 Fund Mill Rate</v>
      </c>
      <c r="I54" s="753"/>
      <c r="J54" s="762"/>
    </row>
    <row r="55" spans="2:10" ht="15.75">
      <c r="B55" s="164" t="s">
        <v>14</v>
      </c>
      <c r="C55" s="259"/>
      <c r="D55" s="125"/>
      <c r="E55" s="125"/>
      <c r="G55" s="765">
        <f>summ!I36</f>
        <v>0</v>
      </c>
      <c r="H55" s="542" t="str">
        <f>CONCATENATE("Total ",E1," Mill Rate")</f>
        <v>Total 2013 Mill Rate</v>
      </c>
      <c r="I55" s="753"/>
      <c r="J55" s="762"/>
    </row>
    <row r="56" spans="2:10" ht="15.75">
      <c r="B56" s="164" t="s">
        <v>33</v>
      </c>
      <c r="C56" s="233"/>
      <c r="D56" s="125"/>
      <c r="E56" s="125"/>
      <c r="G56" s="764">
        <f>summ!F36</f>
        <v>20.454</v>
      </c>
      <c r="H56" s="766" t="str">
        <f>CONCATENATE("Total ",E1-1," Mill Rate")</f>
        <v>Total 2012 Mill Rate</v>
      </c>
      <c r="I56" s="767"/>
      <c r="J56" s="768"/>
    </row>
    <row r="57" spans="2:5" ht="15.75">
      <c r="B57" s="164" t="s">
        <v>34</v>
      </c>
      <c r="C57" s="300">
        <f>IF(C38&gt;0,C38,0)</f>
        <v>0</v>
      </c>
      <c r="D57" s="312">
        <f>IF(C38&gt;(C24*0.25),"Exceeds 25% of Resources Available","")</f>
      </c>
      <c r="E57" s="125"/>
    </row>
    <row r="58" spans="2:5" ht="15.75">
      <c r="B58" s="164" t="s">
        <v>249</v>
      </c>
      <c r="C58" s="300">
        <f>gen!C43</f>
        <v>0</v>
      </c>
      <c r="D58" s="857">
        <f>IF(AND(C58&gt;0,C59&gt;0),"Not Authtorize Two Transfers - Only One","")</f>
      </c>
      <c r="E58" s="125"/>
    </row>
    <row r="59" spans="2:5" ht="15.75">
      <c r="B59" s="313" t="s">
        <v>250</v>
      </c>
      <c r="C59" s="517">
        <f>gen!C45</f>
        <v>0</v>
      </c>
      <c r="D59" s="858"/>
      <c r="E59" s="125"/>
    </row>
    <row r="60" spans="2:5" ht="15.75">
      <c r="B60" s="314"/>
      <c r="C60" s="259"/>
      <c r="D60" s="125"/>
      <c r="E60" s="125"/>
    </row>
    <row r="61" spans="2:5" ht="15.75">
      <c r="B61" s="314" t="s">
        <v>22</v>
      </c>
      <c r="C61" s="259"/>
      <c r="D61" s="125"/>
      <c r="E61" s="125"/>
    </row>
    <row r="62" spans="2:5" ht="15.75">
      <c r="B62" s="314" t="s">
        <v>21</v>
      </c>
      <c r="C62" s="259"/>
      <c r="D62" s="125"/>
      <c r="E62" s="125"/>
    </row>
    <row r="63" spans="2:5" ht="15.75">
      <c r="B63" s="315" t="s">
        <v>24</v>
      </c>
      <c r="C63" s="517">
        <f>SUM(C55:C62)</f>
        <v>0</v>
      </c>
      <c r="D63" s="125"/>
      <c r="E63" s="125"/>
    </row>
    <row r="64" spans="2:5" ht="15.75">
      <c r="B64" s="315" t="s">
        <v>26</v>
      </c>
      <c r="C64" s="259"/>
      <c r="D64" s="125"/>
      <c r="E64" s="125"/>
    </row>
    <row r="65" spans="2:5" ht="15.75">
      <c r="B65" s="315" t="s">
        <v>27</v>
      </c>
      <c r="C65" s="518">
        <f>C63-C64</f>
        <v>0</v>
      </c>
      <c r="D65" s="125"/>
      <c r="E65" s="125"/>
    </row>
    <row r="66" spans="2:5" ht="15.75">
      <c r="B66" s="125"/>
      <c r="C66" s="125"/>
      <c r="D66" s="125"/>
      <c r="E66" s="125"/>
    </row>
    <row r="67" spans="2:5" ht="15.75">
      <c r="B67" s="193" t="s">
        <v>9</v>
      </c>
      <c r="C67" s="316"/>
      <c r="D67" s="125"/>
      <c r="E67" s="125"/>
    </row>
    <row r="69" ht="15.75">
      <c r="B69" s="167"/>
    </row>
    <row r="74" spans="3:4" ht="15.75" hidden="1">
      <c r="C74" s="221" t="str">
        <f>IF(C43&gt;C45,"See Tab A","")</f>
        <v>See Tab A</v>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FALL RIVER TOWNSHIP</v>
      </c>
      <c r="C1" s="131" t="s">
        <v>35</v>
      </c>
      <c r="D1" s="125"/>
      <c r="E1" s="192">
        <f>inputPrYr!D5</f>
        <v>2013</v>
      </c>
    </row>
    <row r="2" spans="2:5" ht="15.75">
      <c r="B2" s="184"/>
      <c r="C2" s="125"/>
      <c r="D2" s="125"/>
      <c r="E2" s="317"/>
    </row>
    <row r="3" spans="2:5" ht="15.75">
      <c r="B3" s="527" t="s">
        <v>715</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292</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716</v>
      </c>
      <c r="H26" s="663"/>
      <c r="I26" s="663"/>
      <c r="J26" s="666">
        <v>0</v>
      </c>
      <c r="K26" s="629"/>
    </row>
    <row r="27" spans="2:11" ht="15.75">
      <c r="B27" s="292"/>
      <c r="C27" s="285"/>
      <c r="D27" s="285"/>
      <c r="E27" s="259"/>
      <c r="G27" s="661" t="s">
        <v>717</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822</v>
      </c>
      <c r="H29" s="673"/>
      <c r="I29" s="673"/>
      <c r="J29" s="674">
        <f>IF(J26&gt;0,J28-E37,0)</f>
        <v>0</v>
      </c>
      <c r="K29" s="629"/>
    </row>
    <row r="30" spans="2:11" ht="15.75">
      <c r="B30" s="289" t="s">
        <v>217</v>
      </c>
      <c r="C30" s="285"/>
      <c r="D30" s="285"/>
      <c r="E30" s="300">
        <f>nhood!E10</f>
      </c>
      <c r="G30" s="629"/>
      <c r="H30" s="629"/>
      <c r="I30" s="629"/>
      <c r="J30" s="629"/>
      <c r="K30" s="629"/>
    </row>
    <row r="31" spans="2:11" ht="15.75">
      <c r="B31" s="289" t="s">
        <v>214</v>
      </c>
      <c r="C31" s="285"/>
      <c r="D31" s="285"/>
      <c r="E31" s="259"/>
      <c r="G31" s="846" t="str">
        <f>CONCATENATE("Projected Carryover Into ",E1+1,"")</f>
        <v>Projected Carryover Into 2014</v>
      </c>
      <c r="H31" s="856"/>
      <c r="I31" s="856"/>
      <c r="J31" s="850"/>
      <c r="K31" s="629"/>
    </row>
    <row r="32" spans="2:11" ht="15.75">
      <c r="B32" s="289" t="s">
        <v>710</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292</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inputOth!B52</f>
        <v>0</v>
      </c>
      <c r="D35" s="128">
        <f>inputPrYr!D20</f>
        <v>0</v>
      </c>
      <c r="E35" s="288" t="s">
        <v>292</v>
      </c>
      <c r="F35" s="302"/>
      <c r="G35" s="688">
        <f>IF(E39&gt;0,E38,E40)</f>
        <v>0</v>
      </c>
      <c r="H35" s="663" t="str">
        <f>CONCATENATE("",E1," Ad Valorem Tax (est.)")</f>
        <v>2013 Ad Valorem Tax (est.)</v>
      </c>
      <c r="I35" s="681"/>
      <c r="J35" s="676"/>
      <c r="K35" s="689">
        <f>IF(G35=E40,"","Note: Does not include Delinquent Taxes")</f>
      </c>
    </row>
    <row r="36" spans="2:11" ht="15.75">
      <c r="B36" s="176"/>
      <c r="C36" s="839" t="s">
        <v>712</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713</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714</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823</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summ!I22</f>
        <v> </v>
      </c>
      <c r="H43" s="680" t="str">
        <f>CONCATENATE("",E1," Fund Mill Rate")</f>
        <v>2013 Fund Mill Rate</v>
      </c>
      <c r="I43" s="703"/>
      <c r="J43" s="704"/>
      <c r="K43" s="629"/>
    </row>
    <row r="44" spans="2:11" ht="15.75">
      <c r="B44" s="125"/>
      <c r="C44" s="429" t="s">
        <v>11</v>
      </c>
      <c r="D44" s="431" t="s">
        <v>12</v>
      </c>
      <c r="E44" s="133" t="s">
        <v>13</v>
      </c>
      <c r="G44" s="706" t="str">
        <f>summ!F22</f>
        <v>  </v>
      </c>
      <c r="H44" s="680" t="str">
        <f>CONCATENATE("",E1-1," Fund Mill Rate")</f>
        <v>2012 Fund Mill Rate</v>
      </c>
      <c r="I44" s="703"/>
      <c r="J44" s="704"/>
      <c r="K44" s="629"/>
    </row>
    <row r="45" spans="2:11" ht="15.75">
      <c r="B45" s="521">
        <f>inputPrYr!B21</f>
        <v>0</v>
      </c>
      <c r="C45" s="430" t="str">
        <f>C5</f>
        <v>Actual for 2011</v>
      </c>
      <c r="D45" s="430" t="str">
        <f>D5</f>
        <v>Estimate for 2012</v>
      </c>
      <c r="E45" s="137" t="str">
        <f>E5</f>
        <v>Year for 2013</v>
      </c>
      <c r="G45" s="708">
        <f>summ!I36</f>
        <v>0</v>
      </c>
      <c r="H45" s="680" t="str">
        <f>CONCATENATE("Total ",E1," Mill Rate")</f>
        <v>Total 2013 Mill Rate</v>
      </c>
      <c r="I45" s="703"/>
      <c r="J45" s="704"/>
      <c r="K45" s="629"/>
    </row>
    <row r="46" spans="2:11" ht="15.75">
      <c r="B46" s="138" t="s">
        <v>120</v>
      </c>
      <c r="C46" s="285"/>
      <c r="D46" s="427">
        <f>C74</f>
        <v>0</v>
      </c>
      <c r="E46" s="264">
        <f>D74</f>
        <v>0</v>
      </c>
      <c r="G46" s="706">
        <f>summ!F36</f>
        <v>20.454</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IF(inputPrYr!H15&gt;0,inputPrYr!G21,inputPrYr!E21)</f>
        <v>0</v>
      </c>
      <c r="E48" s="288" t="s">
        <v>292</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mvalloc!G16</f>
        <v>0</v>
      </c>
      <c r="G50" s="629"/>
      <c r="H50" s="629"/>
      <c r="I50" s="629"/>
      <c r="J50" s="629"/>
      <c r="K50" s="629"/>
    </row>
    <row r="51" spans="2:11" ht="15.75">
      <c r="B51" s="138" t="s">
        <v>19</v>
      </c>
      <c r="C51" s="285"/>
      <c r="D51" s="285"/>
      <c r="E51" s="264">
        <f>mvalloc!I16</f>
        <v>0</v>
      </c>
      <c r="G51" s="629"/>
      <c r="H51" s="629"/>
      <c r="I51" s="629"/>
      <c r="J51" s="629"/>
      <c r="K51" s="629"/>
    </row>
    <row r="52" spans="2:11" ht="15.75">
      <c r="B52" s="138" t="s">
        <v>101</v>
      </c>
      <c r="C52" s="285"/>
      <c r="D52" s="285"/>
      <c r="E52" s="264">
        <f>mvalloc!J16</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214</v>
      </c>
      <c r="C58" s="285"/>
      <c r="D58" s="285"/>
      <c r="E58" s="259"/>
      <c r="G58" s="629"/>
      <c r="H58" s="629"/>
      <c r="I58" s="629"/>
      <c r="J58" s="629"/>
      <c r="K58" s="629"/>
    </row>
    <row r="59" spans="2:11" ht="15.75">
      <c r="B59" s="293" t="s">
        <v>215</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716</v>
      </c>
      <c r="H66" s="663"/>
      <c r="I66" s="663"/>
      <c r="J66" s="666">
        <v>0</v>
      </c>
      <c r="K66" s="629"/>
    </row>
    <row r="67" spans="2:11" ht="15.75">
      <c r="B67" s="292"/>
      <c r="C67" s="285"/>
      <c r="D67" s="285"/>
      <c r="E67" s="259"/>
      <c r="G67" s="661" t="s">
        <v>717</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822</v>
      </c>
      <c r="H69" s="673"/>
      <c r="I69" s="673"/>
      <c r="J69" s="674">
        <f>IF(J66&gt;0,J68-E77,0)</f>
        <v>0</v>
      </c>
      <c r="K69" s="629"/>
    </row>
    <row r="70" spans="2:11" ht="15.75">
      <c r="B70" s="289" t="s">
        <v>217</v>
      </c>
      <c r="C70" s="285"/>
      <c r="D70" s="285"/>
      <c r="E70" s="300">
        <f>nhood!E11</f>
      </c>
      <c r="G70" s="629"/>
      <c r="H70" s="629"/>
      <c r="I70" s="629"/>
      <c r="J70" s="629"/>
      <c r="K70" s="629"/>
    </row>
    <row r="71" spans="2:11" ht="15.75">
      <c r="B71" s="289" t="s">
        <v>214</v>
      </c>
      <c r="C71" s="285"/>
      <c r="D71" s="285"/>
      <c r="E71" s="259"/>
      <c r="G71" s="846" t="str">
        <f>CONCATENATE("Projected Carryover Into ",E1+1,"")</f>
        <v>Projected Carryover Into 2014</v>
      </c>
      <c r="H71" s="849"/>
      <c r="I71" s="849"/>
      <c r="J71" s="850"/>
      <c r="K71" s="629"/>
    </row>
    <row r="72" spans="2:11" ht="15.75">
      <c r="B72" s="289" t="s">
        <v>710</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292</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inputOth!B53</f>
        <v>0</v>
      </c>
      <c r="D75" s="128">
        <f>inputPrYr!D21</f>
        <v>0</v>
      </c>
      <c r="E75" s="288" t="s">
        <v>292</v>
      </c>
      <c r="F75" s="302"/>
      <c r="G75" s="688">
        <f>IF(E79&gt;0,E78,E80)</f>
        <v>0</v>
      </c>
      <c r="H75" s="663" t="str">
        <f>CONCATENATE("",E1," Ad Valorem Tax (est.)")</f>
        <v>2013 Ad Valorem Tax (est.)</v>
      </c>
      <c r="I75" s="681"/>
      <c r="J75" s="715"/>
      <c r="K75" s="689">
        <f>IF(G75=E80,"","Note: Does not include Delinquent Taxes")</f>
      </c>
    </row>
    <row r="76" spans="2:11" ht="15.75">
      <c r="B76" s="176"/>
      <c r="C76" s="839" t="s">
        <v>712</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713</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714</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823</v>
      </c>
      <c r="H81" s="854"/>
      <c r="I81" s="854"/>
      <c r="J81" s="855"/>
      <c r="K81" s="629"/>
    </row>
    <row r="82" spans="2:11" ht="15.75">
      <c r="B82" s="172"/>
      <c r="G82" s="702"/>
      <c r="H82" s="680"/>
      <c r="I82" s="703"/>
      <c r="J82" s="704"/>
      <c r="K82" s="629"/>
    </row>
    <row r="83" spans="7:11" ht="15.75">
      <c r="G83" s="705" t="str">
        <f>summ!I23</f>
        <v> </v>
      </c>
      <c r="H83" s="680" t="str">
        <f>CONCATENATE("",E1," Fund Mill Rate")</f>
        <v>2013 Fund Mill Rate</v>
      </c>
      <c r="I83" s="703"/>
      <c r="J83" s="704"/>
      <c r="K83" s="629"/>
    </row>
    <row r="84" spans="7:11" ht="15.75">
      <c r="G84" s="706" t="str">
        <f>summ!F23</f>
        <v>  </v>
      </c>
      <c r="H84" s="680" t="str">
        <f>CONCATENATE("",E1-1," Fund Mill Rate")</f>
        <v>2012 Fund Mill Rate</v>
      </c>
      <c r="I84" s="703"/>
      <c r="J84" s="704"/>
      <c r="K84" s="629"/>
    </row>
    <row r="85" spans="7:11" ht="15.75">
      <c r="G85" s="708">
        <f>summ!I36</f>
        <v>0</v>
      </c>
      <c r="H85" s="680" t="str">
        <f>CONCATENATE("Total ",E1," Mill Rate")</f>
        <v>Total 2013 Mill Rate</v>
      </c>
      <c r="I85" s="703"/>
      <c r="J85" s="704"/>
      <c r="K85" s="629"/>
    </row>
    <row r="86" spans="7:11" ht="15.75">
      <c r="G86" s="706">
        <f>summ!F36</f>
        <v>20.454</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FALL RIVER TOWNSHIP</v>
      </c>
      <c r="C1" s="125"/>
      <c r="D1" s="125"/>
      <c r="E1" s="192">
        <f>inputPrYr!D5</f>
        <v>2013</v>
      </c>
    </row>
    <row r="2" spans="2:5" ht="15.75">
      <c r="B2" s="184"/>
      <c r="C2" s="125"/>
      <c r="D2" s="212"/>
      <c r="E2" s="318"/>
    </row>
    <row r="3" spans="2:5" ht="15.75">
      <c r="B3" s="527" t="s">
        <v>715</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292</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716</v>
      </c>
      <c r="H26" s="663"/>
      <c r="I26" s="663"/>
      <c r="J26" s="666">
        <v>0</v>
      </c>
      <c r="K26" s="629"/>
    </row>
    <row r="27" spans="2:11" ht="15.75">
      <c r="B27" s="292"/>
      <c r="C27" s="285"/>
      <c r="D27" s="285"/>
      <c r="E27" s="259"/>
      <c r="G27" s="661" t="s">
        <v>717</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822</v>
      </c>
      <c r="H29" s="673"/>
      <c r="I29" s="673"/>
      <c r="J29" s="674">
        <f>IF(J26&gt;0,J28-E37,0)</f>
        <v>0</v>
      </c>
      <c r="K29" s="629"/>
    </row>
    <row r="30" spans="2:11" ht="15.75">
      <c r="B30" s="289" t="s">
        <v>217</v>
      </c>
      <c r="C30" s="285"/>
      <c r="D30" s="285"/>
      <c r="E30" s="300">
        <f>nhood!E12</f>
      </c>
      <c r="G30" s="629"/>
      <c r="H30" s="629"/>
      <c r="I30" s="629"/>
      <c r="J30" s="629"/>
      <c r="K30" s="629"/>
    </row>
    <row r="31" spans="2:11" ht="15.75">
      <c r="B31" s="289" t="s">
        <v>214</v>
      </c>
      <c r="C31" s="285"/>
      <c r="D31" s="285"/>
      <c r="E31" s="259"/>
      <c r="G31" s="846" t="str">
        <f>CONCATENATE("Projected Carryover Into ",E1+1,"")</f>
        <v>Projected Carryover Into 2014</v>
      </c>
      <c r="H31" s="856"/>
      <c r="I31" s="856"/>
      <c r="J31" s="850"/>
      <c r="K31" s="629"/>
    </row>
    <row r="32" spans="2:11" ht="15.75">
      <c r="B32" s="289" t="s">
        <v>216</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292</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inputOth!B54</f>
        <v>0</v>
      </c>
      <c r="D35" s="128">
        <f>inputPrYr!D22</f>
        <v>0</v>
      </c>
      <c r="E35" s="288" t="s">
        <v>292</v>
      </c>
      <c r="F35" s="302"/>
      <c r="G35" s="688">
        <f>IF(E39&gt;0,E38,E40)</f>
        <v>0</v>
      </c>
      <c r="H35" s="663" t="str">
        <f>CONCATENATE("",E1," Ad Valorem Tax (est.)")</f>
        <v>2013 Ad Valorem Tax (est.)</v>
      </c>
      <c r="I35" s="681"/>
      <c r="J35" s="676"/>
      <c r="K35" s="689">
        <f>IF(G35=E40,"","Note: Does not include Delinquent Taxes")</f>
      </c>
    </row>
    <row r="36" spans="2:11" ht="15.75">
      <c r="B36" s="176"/>
      <c r="C36" s="839" t="s">
        <v>712</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713</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714</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823</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summ!I24</f>
        <v> </v>
      </c>
      <c r="H43" s="680" t="str">
        <f>CONCATENATE("",E1," Fund Mill Rate")</f>
        <v>2013 Fund Mill Rate</v>
      </c>
      <c r="I43" s="703"/>
      <c r="J43" s="704"/>
      <c r="K43" s="629"/>
    </row>
    <row r="44" spans="2:11" ht="15.75">
      <c r="B44" s="125"/>
      <c r="C44" s="429" t="s">
        <v>11</v>
      </c>
      <c r="D44" s="431" t="s">
        <v>12</v>
      </c>
      <c r="E44" s="133" t="s">
        <v>13</v>
      </c>
      <c r="G44" s="706" t="str">
        <f>summ!F24</f>
        <v>  </v>
      </c>
      <c r="H44" s="680" t="str">
        <f>CONCATENATE("",E1-1," Fund Mill Rate")</f>
        <v>2012 Fund Mill Rate</v>
      </c>
      <c r="I44" s="703"/>
      <c r="J44" s="704"/>
      <c r="K44" s="629"/>
    </row>
    <row r="45" spans="2:11" ht="15.75">
      <c r="B45" s="521">
        <f>inputPrYr!B23</f>
        <v>0</v>
      </c>
      <c r="C45" s="430" t="str">
        <f>C5</f>
        <v>Actual for 2011</v>
      </c>
      <c r="D45" s="430" t="str">
        <f>D5</f>
        <v>Estimate for 2012</v>
      </c>
      <c r="E45" s="137" t="str">
        <f>E5</f>
        <v>Year for 2013</v>
      </c>
      <c r="G45" s="708">
        <f>summ!I36</f>
        <v>0</v>
      </c>
      <c r="H45" s="680" t="str">
        <f>CONCATENATE("Total ",E1," Mill Rate")</f>
        <v>Total 2013 Mill Rate</v>
      </c>
      <c r="I45" s="703"/>
      <c r="J45" s="704"/>
      <c r="K45" s="629"/>
    </row>
    <row r="46" spans="2:11" ht="15.75">
      <c r="B46" s="138" t="s">
        <v>120</v>
      </c>
      <c r="C46" s="285"/>
      <c r="D46" s="427">
        <f>C74</f>
        <v>0</v>
      </c>
      <c r="E46" s="264">
        <f>D74</f>
        <v>0</v>
      </c>
      <c r="G46" s="706">
        <f>summ!F36</f>
        <v>20.454</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IF(inputPrYr!H15&gt;0,inputPrYr!G23,inputPrYr!E23)</f>
        <v>0</v>
      </c>
      <c r="E48" s="288" t="s">
        <v>292</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mvalloc!G18</f>
        <v>0</v>
      </c>
      <c r="G50" s="629"/>
      <c r="H50" s="629"/>
      <c r="I50" s="629"/>
      <c r="J50" s="629"/>
      <c r="K50" s="629"/>
    </row>
    <row r="51" spans="2:11" ht="15.75">
      <c r="B51" s="138" t="s">
        <v>19</v>
      </c>
      <c r="C51" s="285"/>
      <c r="D51" s="285"/>
      <c r="E51" s="264">
        <f>mvalloc!I18</f>
        <v>0</v>
      </c>
      <c r="G51" s="629"/>
      <c r="H51" s="629"/>
      <c r="I51" s="629"/>
      <c r="J51" s="629"/>
      <c r="K51" s="629"/>
    </row>
    <row r="52" spans="2:11" ht="15.75">
      <c r="B52" s="138" t="s">
        <v>101</v>
      </c>
      <c r="C52" s="285"/>
      <c r="D52" s="285"/>
      <c r="E52" s="264">
        <f>mvalloc!J18</f>
        <v>0</v>
      </c>
      <c r="G52" s="629"/>
      <c r="H52" s="629"/>
      <c r="I52" s="629"/>
      <c r="J52" s="629"/>
      <c r="K52" s="629"/>
    </row>
    <row r="53" spans="2:11" ht="15.75">
      <c r="B53" s="292"/>
      <c r="C53" s="285"/>
      <c r="D53" s="285"/>
      <c r="E53" s="259"/>
      <c r="G53" s="629"/>
      <c r="H53" s="629"/>
      <c r="I53" s="629"/>
      <c r="J53" s="629"/>
      <c r="K53" s="629"/>
    </row>
    <row r="54" spans="2:11" ht="15.75">
      <c r="B54" s="292"/>
      <c r="C54" s="285"/>
      <c r="D54" s="285"/>
      <c r="E54" s="259"/>
      <c r="G54" s="629"/>
      <c r="H54" s="629"/>
      <c r="I54" s="629"/>
      <c r="J54" s="629"/>
      <c r="K54" s="629"/>
    </row>
    <row r="55" spans="2:11" ht="15.75">
      <c r="B55" s="292"/>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214</v>
      </c>
      <c r="C58" s="285"/>
      <c r="D58" s="285"/>
      <c r="E58" s="259"/>
      <c r="G58" s="629"/>
      <c r="H58" s="629"/>
      <c r="I58" s="629"/>
      <c r="J58" s="629"/>
      <c r="K58" s="629"/>
    </row>
    <row r="59" spans="2:11" ht="15.75">
      <c r="B59" s="293" t="s">
        <v>215</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716</v>
      </c>
      <c r="H66" s="663"/>
      <c r="I66" s="663"/>
      <c r="J66" s="666">
        <v>0</v>
      </c>
      <c r="K66" s="629"/>
    </row>
    <row r="67" spans="2:11" ht="15.75">
      <c r="B67" s="292"/>
      <c r="C67" s="285"/>
      <c r="D67" s="285"/>
      <c r="E67" s="259"/>
      <c r="G67" s="661" t="s">
        <v>717</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822</v>
      </c>
      <c r="H69" s="673"/>
      <c r="I69" s="673"/>
      <c r="J69" s="674">
        <f>IF(J66&gt;0,J68-E77,0)</f>
        <v>0</v>
      </c>
      <c r="K69" s="629"/>
    </row>
    <row r="70" spans="2:11" ht="15.75">
      <c r="B70" s="289" t="s">
        <v>217</v>
      </c>
      <c r="C70" s="285"/>
      <c r="D70" s="285"/>
      <c r="E70" s="300">
        <f>nhood!E13</f>
      </c>
      <c r="G70" s="629"/>
      <c r="H70" s="629"/>
      <c r="I70" s="629"/>
      <c r="J70" s="629"/>
      <c r="K70" s="629"/>
    </row>
    <row r="71" spans="2:11" ht="15.75">
      <c r="B71" s="289" t="s">
        <v>214</v>
      </c>
      <c r="C71" s="285"/>
      <c r="D71" s="285"/>
      <c r="E71" s="259"/>
      <c r="G71" s="846" t="str">
        <f>CONCATENATE("Projected Carryover Into ",E1+1,"")</f>
        <v>Projected Carryover Into 2014</v>
      </c>
      <c r="H71" s="849"/>
      <c r="I71" s="849"/>
      <c r="J71" s="850"/>
      <c r="K71" s="629"/>
    </row>
    <row r="72" spans="2:11" ht="15.75">
      <c r="B72" s="289" t="s">
        <v>216</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292</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inputOth!B55</f>
        <v>0</v>
      </c>
      <c r="D75" s="128">
        <f>inputPrYr!D23</f>
        <v>0</v>
      </c>
      <c r="E75" s="288" t="s">
        <v>292</v>
      </c>
      <c r="F75" s="302"/>
      <c r="G75" s="688">
        <f>IF(E79&gt;0,E78,E80)</f>
        <v>0</v>
      </c>
      <c r="H75" s="663" t="str">
        <f>CONCATENATE("",E1," Ad Valorem Tax (est.)")</f>
        <v>2013 Ad Valorem Tax (est.)</v>
      </c>
      <c r="I75" s="681"/>
      <c r="J75" s="715"/>
      <c r="K75" s="689">
        <f>IF(G75=E80,"","Note: Does not include Delinquent Taxes")</f>
      </c>
    </row>
    <row r="76" spans="2:11" ht="15.75">
      <c r="B76" s="176"/>
      <c r="C76" s="839" t="s">
        <v>712</v>
      </c>
      <c r="D76" s="840"/>
      <c r="E76" s="259"/>
      <c r="F76" s="302">
        <f>IF(E73/0.95-E73&lt;E76,"Exceeds 5%","")</f>
      </c>
      <c r="G76" s="679">
        <f>SUM(G73:G75)</f>
        <v>0</v>
      </c>
      <c r="H76" s="663" t="str">
        <f>CONCATENATE("Total ",E1," Resources Available")</f>
        <v>Total 2013 Resources Available</v>
      </c>
      <c r="I76" s="718"/>
      <c r="J76" s="715"/>
      <c r="K76" s="629"/>
    </row>
    <row r="77" spans="2:11" ht="15.75">
      <c r="B77" s="437" t="str">
        <f>CONCATENATE(C96,"     ",D96)</f>
        <v>     </v>
      </c>
      <c r="C77" s="841" t="s">
        <v>713</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714</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823</v>
      </c>
      <c r="H81" s="854"/>
      <c r="I81" s="854"/>
      <c r="J81" s="855"/>
      <c r="K81" s="629"/>
    </row>
    <row r="82" spans="2:11" ht="15.75">
      <c r="B82" s="172"/>
      <c r="G82" s="702"/>
      <c r="H82" s="680"/>
      <c r="I82" s="703"/>
      <c r="J82" s="704"/>
      <c r="K82" s="629"/>
    </row>
    <row r="83" spans="7:11" ht="15.75">
      <c r="G83" s="705" t="str">
        <f>summ!I25</f>
        <v> </v>
      </c>
      <c r="H83" s="680" t="str">
        <f>CONCATENATE("",E1," Fund Mill Rate")</f>
        <v>2013 Fund Mill Rate</v>
      </c>
      <c r="I83" s="703"/>
      <c r="J83" s="704"/>
      <c r="K83" s="629"/>
    </row>
    <row r="84" spans="7:11" ht="15.75">
      <c r="G84" s="706" t="str">
        <f>summ!F25</f>
        <v>  </v>
      </c>
      <c r="H84" s="680" t="str">
        <f>CONCATENATE("",E1-1," Fund Mill Rate")</f>
        <v>2012 Fund Mill Rate</v>
      </c>
      <c r="I84" s="703"/>
      <c r="J84" s="704"/>
      <c r="K84" s="629"/>
    </row>
    <row r="85" spans="7:11" ht="15.75">
      <c r="G85" s="708">
        <f>summ!I36</f>
        <v>0</v>
      </c>
      <c r="H85" s="680" t="str">
        <f>CONCATENATE("Total ",E1," Mill Rate")</f>
        <v>Total 2013 Mill Rate</v>
      </c>
      <c r="I85" s="703"/>
      <c r="J85" s="704"/>
      <c r="K85" s="629"/>
    </row>
    <row r="86" spans="7:11" ht="15.75">
      <c r="G86" s="706">
        <f>summ!F36</f>
        <v>20.454</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FALL RIVER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292</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716</v>
      </c>
      <c r="H26" s="663"/>
      <c r="I26" s="663"/>
      <c r="J26" s="666">
        <v>0</v>
      </c>
      <c r="K26" s="629"/>
    </row>
    <row r="27" spans="2:11" ht="15.75">
      <c r="B27" s="285"/>
      <c r="C27" s="285"/>
      <c r="D27" s="285"/>
      <c r="E27" s="259"/>
      <c r="G27" s="661" t="s">
        <v>717</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822</v>
      </c>
      <c r="H29" s="673"/>
      <c r="I29" s="673"/>
      <c r="J29" s="674">
        <f>IF(J26&gt;0,J28-E37,0)</f>
        <v>0</v>
      </c>
      <c r="K29" s="629"/>
    </row>
    <row r="30" spans="2:11" ht="15.75">
      <c r="B30" s="289" t="s">
        <v>217</v>
      </c>
      <c r="C30" s="285"/>
      <c r="D30" s="285"/>
      <c r="E30" s="300">
        <f>nhood!E14</f>
      </c>
      <c r="G30" s="629"/>
      <c r="H30" s="629"/>
      <c r="I30" s="629"/>
      <c r="J30" s="629"/>
      <c r="K30" s="629"/>
    </row>
    <row r="31" spans="2:11" ht="15.75">
      <c r="B31" s="289" t="s">
        <v>214</v>
      </c>
      <c r="C31" s="285"/>
      <c r="D31" s="285"/>
      <c r="E31" s="259"/>
      <c r="G31" s="846" t="str">
        <f>CONCATENATE("Projected Carryover Into ",E1+1,"")</f>
        <v>Projected Carryover Into 2014</v>
      </c>
      <c r="H31" s="856"/>
      <c r="I31" s="856"/>
      <c r="J31" s="850"/>
      <c r="K31" s="629"/>
    </row>
    <row r="32" spans="2:11" ht="15.75">
      <c r="B32" s="289" t="s">
        <v>710</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292</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inputOth!B56</f>
        <v>0</v>
      </c>
      <c r="D35" s="141">
        <f>inputPrYr!D24</f>
        <v>0</v>
      </c>
      <c r="E35" s="288" t="s">
        <v>292</v>
      </c>
      <c r="F35" s="302"/>
      <c r="G35" s="688">
        <f>IF(E39&gt;0,E38,E40)</f>
        <v>0</v>
      </c>
      <c r="H35" s="663" t="str">
        <f>CONCATENATE("",E1," Ad Valorem Tax (est.)")</f>
        <v>2013 Ad Valorem Tax (est.)</v>
      </c>
      <c r="I35" s="681"/>
      <c r="J35" s="676"/>
      <c r="K35" s="689">
        <f>IF(G35=E40,"","Note: Does not include Delinquent Taxes")</f>
      </c>
    </row>
    <row r="36" spans="2:11" ht="15.75">
      <c r="B36" s="176"/>
      <c r="C36" s="839" t="s">
        <v>712</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713</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714</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823</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summ!I26</f>
        <v> </v>
      </c>
      <c r="H43" s="680" t="str">
        <f>CONCATENATE("",E1," Fund Mill Rate")</f>
        <v>2013 Fund Mill Rate</v>
      </c>
      <c r="I43" s="703"/>
      <c r="J43" s="704"/>
      <c r="K43" s="629"/>
    </row>
    <row r="44" spans="2:11" ht="15.75">
      <c r="B44" s="125"/>
      <c r="C44" s="429" t="s">
        <v>11</v>
      </c>
      <c r="D44" s="431" t="s">
        <v>12</v>
      </c>
      <c r="E44" s="133" t="s">
        <v>13</v>
      </c>
      <c r="G44" s="706" t="str">
        <f>summ!F26</f>
        <v>  </v>
      </c>
      <c r="H44" s="680" t="str">
        <f>CONCATENATE("",E1-1," Fund Mill Rate")</f>
        <v>2012 Fund Mill Rate</v>
      </c>
      <c r="I44" s="703"/>
      <c r="J44" s="704"/>
      <c r="K44" s="629"/>
    </row>
    <row r="45" spans="2:11" ht="15.75">
      <c r="B45" s="521">
        <f>inputPrYr!B25</f>
        <v>0</v>
      </c>
      <c r="C45" s="430" t="str">
        <f>C5</f>
        <v>Actual for 2011</v>
      </c>
      <c r="D45" s="430" t="str">
        <f>D5</f>
        <v>Estimate for 2012</v>
      </c>
      <c r="E45" s="137" t="str">
        <f>E5</f>
        <v>Year for 2013</v>
      </c>
      <c r="G45" s="708">
        <f>summ!I36</f>
        <v>0</v>
      </c>
      <c r="H45" s="680" t="str">
        <f>CONCATENATE("Total ",E1," Mill Rate")</f>
        <v>Total 2013 Mill Rate</v>
      </c>
      <c r="I45" s="703"/>
      <c r="J45" s="704"/>
      <c r="K45" s="629"/>
    </row>
    <row r="46" spans="2:11" ht="15.75">
      <c r="B46" s="138" t="s">
        <v>120</v>
      </c>
      <c r="C46" s="285"/>
      <c r="D46" s="427">
        <f>C74</f>
        <v>0</v>
      </c>
      <c r="E46" s="264">
        <f>D74</f>
        <v>0</v>
      </c>
      <c r="G46" s="706">
        <f>summ!F36</f>
        <v>20.454</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IF(inputPrYr!H15&gt;0,inputPrYr!G25,inputPrYr!E25)</f>
        <v>0</v>
      </c>
      <c r="E48" s="288" t="s">
        <v>292</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mvalloc!G20</f>
        <v>0</v>
      </c>
      <c r="G50" s="629"/>
      <c r="H50" s="629"/>
      <c r="I50" s="629"/>
      <c r="J50" s="629"/>
      <c r="K50" s="629"/>
    </row>
    <row r="51" spans="2:11" ht="15.75">
      <c r="B51" s="138" t="s">
        <v>19</v>
      </c>
      <c r="C51" s="285"/>
      <c r="D51" s="285"/>
      <c r="E51" s="264">
        <f>mvalloc!I20</f>
        <v>0</v>
      </c>
      <c r="G51" s="629"/>
      <c r="H51" s="629"/>
      <c r="I51" s="629"/>
      <c r="J51" s="629"/>
      <c r="K51" s="629"/>
    </row>
    <row r="52" spans="2:11" ht="15.75">
      <c r="B52" s="138" t="s">
        <v>101</v>
      </c>
      <c r="C52" s="285"/>
      <c r="D52" s="285"/>
      <c r="E52" s="264">
        <f>mvalloc!J20</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214</v>
      </c>
      <c r="C58" s="285"/>
      <c r="D58" s="285"/>
      <c r="E58" s="259"/>
      <c r="G58" s="629"/>
      <c r="H58" s="629"/>
      <c r="I58" s="629"/>
      <c r="J58" s="629"/>
      <c r="K58" s="629"/>
    </row>
    <row r="59" spans="2:11" ht="15.75">
      <c r="B59" s="293" t="s">
        <v>215</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716</v>
      </c>
      <c r="H66" s="663"/>
      <c r="I66" s="663"/>
      <c r="J66" s="666">
        <v>0</v>
      </c>
      <c r="K66" s="629"/>
    </row>
    <row r="67" spans="2:11" ht="15.75">
      <c r="B67" s="292"/>
      <c r="C67" s="285"/>
      <c r="D67" s="285"/>
      <c r="E67" s="259"/>
      <c r="G67" s="661" t="s">
        <v>717</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822</v>
      </c>
      <c r="H69" s="673"/>
      <c r="I69" s="673"/>
      <c r="J69" s="674">
        <f>IF(J66&gt;0,J68-E77,0)</f>
        <v>0</v>
      </c>
      <c r="K69" s="629"/>
    </row>
    <row r="70" spans="2:11" ht="15.75">
      <c r="B70" s="289" t="s">
        <v>217</v>
      </c>
      <c r="C70" s="285"/>
      <c r="D70" s="285"/>
      <c r="E70" s="300">
        <f>nhood!E15</f>
      </c>
      <c r="G70" s="629"/>
      <c r="H70" s="629"/>
      <c r="I70" s="629"/>
      <c r="J70" s="629"/>
      <c r="K70" s="629"/>
    </row>
    <row r="71" spans="2:11" ht="15.75">
      <c r="B71" s="289" t="s">
        <v>214</v>
      </c>
      <c r="C71" s="285"/>
      <c r="D71" s="285"/>
      <c r="E71" s="259"/>
      <c r="G71" s="846" t="str">
        <f>CONCATENATE("Projected Carryover Into ",E1+1,"")</f>
        <v>Projected Carryover Into 2014</v>
      </c>
      <c r="H71" s="849"/>
      <c r="I71" s="849"/>
      <c r="J71" s="850"/>
      <c r="K71" s="629"/>
    </row>
    <row r="72" spans="2:11" ht="15.75">
      <c r="B72" s="289" t="s">
        <v>710</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292</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inputOth!B57</f>
        <v>0</v>
      </c>
      <c r="D75" s="128">
        <f>inputPrYr!D25</f>
        <v>0</v>
      </c>
      <c r="E75" s="288" t="s">
        <v>292</v>
      </c>
      <c r="F75" s="302"/>
      <c r="G75" s="688">
        <f>IF(E79&gt;0,E78,E80)</f>
        <v>0</v>
      </c>
      <c r="H75" s="663" t="str">
        <f>CONCATENATE("",E1," Ad Valorem Tax (est.)")</f>
        <v>2013 Ad Valorem Tax (est.)</v>
      </c>
      <c r="I75" s="681"/>
      <c r="J75" s="715"/>
      <c r="K75" s="689">
        <f>IF(G75=E80,"","Note: Does not include Delinquent Taxes")</f>
      </c>
    </row>
    <row r="76" spans="2:11" ht="15.75">
      <c r="B76" s="176"/>
      <c r="C76" s="839" t="s">
        <v>712</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713</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714</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823</v>
      </c>
      <c r="H81" s="854"/>
      <c r="I81" s="854"/>
      <c r="J81" s="855"/>
      <c r="K81" s="629"/>
    </row>
    <row r="82" spans="2:11" ht="15.75">
      <c r="B82" s="172"/>
      <c r="G82" s="702"/>
      <c r="H82" s="680"/>
      <c r="I82" s="703"/>
      <c r="J82" s="704"/>
      <c r="K82" s="629"/>
    </row>
    <row r="83" spans="7:11" ht="15.75">
      <c r="G83" s="705" t="str">
        <f>summ!I27</f>
        <v> </v>
      </c>
      <c r="H83" s="680" t="str">
        <f>CONCATENATE("",E1," Fund Mill Rate")</f>
        <v>2013 Fund Mill Rate</v>
      </c>
      <c r="I83" s="703"/>
      <c r="J83" s="704"/>
      <c r="K83" s="629"/>
    </row>
    <row r="84" spans="7:11" ht="15.75">
      <c r="G84" s="706" t="str">
        <f>summ!F27</f>
        <v>  </v>
      </c>
      <c r="H84" s="680" t="str">
        <f>CONCATENATE("",E1-1," Fund Mill Rate")</f>
        <v>2012 Fund Mill Rate</v>
      </c>
      <c r="I84" s="703"/>
      <c r="J84" s="704"/>
      <c r="K84" s="629"/>
    </row>
    <row r="85" spans="7:11" ht="15.75">
      <c r="G85" s="708">
        <f>summ!I36</f>
        <v>0</v>
      </c>
      <c r="H85" s="680" t="str">
        <f>CONCATENATE("Total ",E1," Mill Rate")</f>
        <v>Total 2013 Mill Rate</v>
      </c>
      <c r="I85" s="703"/>
      <c r="J85" s="704"/>
      <c r="K85" s="629"/>
    </row>
    <row r="86" spans="7:11" ht="15.75">
      <c r="G86" s="706">
        <f>summ!F36</f>
        <v>20.454</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FALL RIVER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292</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716</v>
      </c>
      <c r="H26" s="663"/>
      <c r="I26" s="663"/>
      <c r="J26" s="666">
        <v>0</v>
      </c>
      <c r="K26" s="629"/>
    </row>
    <row r="27" spans="2:11" ht="15.75">
      <c r="B27" s="285"/>
      <c r="C27" s="285"/>
      <c r="D27" s="285"/>
      <c r="E27" s="259"/>
      <c r="G27" s="661" t="s">
        <v>717</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822</v>
      </c>
      <c r="H29" s="673"/>
      <c r="I29" s="673"/>
      <c r="J29" s="674">
        <f>IF(J26&gt;0,J28-E37,0)</f>
        <v>0</v>
      </c>
      <c r="K29" s="629"/>
    </row>
    <row r="30" spans="2:11" ht="15.75">
      <c r="B30" s="289" t="s">
        <v>217</v>
      </c>
      <c r="C30" s="285"/>
      <c r="D30" s="285"/>
      <c r="E30" s="300">
        <f>nhood!E16</f>
      </c>
      <c r="G30" s="629"/>
      <c r="H30" s="629"/>
      <c r="I30" s="629"/>
      <c r="J30" s="629"/>
      <c r="K30" s="629"/>
    </row>
    <row r="31" spans="2:11" ht="15.75">
      <c r="B31" s="289" t="s">
        <v>214</v>
      </c>
      <c r="C31" s="285"/>
      <c r="D31" s="285"/>
      <c r="E31" s="259"/>
      <c r="G31" s="846" t="str">
        <f>CONCATENATE("Projected Carryover Into ",E1+1,"")</f>
        <v>Projected Carryover Into 2014</v>
      </c>
      <c r="H31" s="856"/>
      <c r="I31" s="856"/>
      <c r="J31" s="850"/>
      <c r="K31" s="629"/>
    </row>
    <row r="32" spans="2:11" ht="15.75">
      <c r="B32" s="289" t="s">
        <v>710</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292</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inputOth!B58</f>
        <v>0</v>
      </c>
      <c r="D35" s="128">
        <f>inputPrYr!D26</f>
        <v>0</v>
      </c>
      <c r="E35" s="288" t="s">
        <v>292</v>
      </c>
      <c r="F35" s="302"/>
      <c r="G35" s="688">
        <f>IF(E39&gt;0,E38,E40)</f>
        <v>0</v>
      </c>
      <c r="H35" s="663" t="str">
        <f>CONCATENATE("",E1," Ad Valorem Tax (est.)")</f>
        <v>2013 Ad Valorem Tax (est.)</v>
      </c>
      <c r="I35" s="681"/>
      <c r="J35" s="676"/>
      <c r="K35" s="689">
        <f>IF(G35=E40,"","Note: Does not include Delinquent Taxes")</f>
      </c>
    </row>
    <row r="36" spans="2:11" ht="15.75">
      <c r="B36" s="176"/>
      <c r="C36" s="839" t="s">
        <v>712</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713</v>
      </c>
      <c r="D37" s="842"/>
      <c r="E37" s="264">
        <f>E33+E36</f>
        <v>0</v>
      </c>
      <c r="G37" s="691"/>
      <c r="H37" s="663"/>
      <c r="I37" s="663"/>
      <c r="J37" s="676"/>
      <c r="K37" s="629"/>
    </row>
    <row r="38" spans="2:11" ht="15.75">
      <c r="B38" s="437" t="str">
        <f>CONCATENATE(C95,"     ",D95)</f>
        <v>     </v>
      </c>
      <c r="C38" s="383"/>
      <c r="D38" s="193" t="s">
        <v>28</v>
      </c>
      <c r="E38" s="300">
        <f>IF(E37-E21&gt;0,E37-E21,0)</f>
        <v>0</v>
      </c>
      <c r="G38" s="688">
        <f>ROUND(C33*0.05+C33,0)</f>
        <v>0</v>
      </c>
      <c r="H38" s="663" t="str">
        <f>CONCATENATE("Less ",E1-2," Expenditures + 5%")</f>
        <v>Less 2011 Expenditures + 5%</v>
      </c>
      <c r="I38" s="663"/>
      <c r="J38" s="676"/>
      <c r="K38" s="629"/>
    </row>
    <row r="39" spans="2:11" ht="15.75">
      <c r="B39" s="193"/>
      <c r="C39" s="526" t="s">
        <v>714</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823</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summ!I28</f>
        <v> </v>
      </c>
      <c r="H43" s="680" t="str">
        <f>CONCATENATE("",E1," Fund Mill Rate")</f>
        <v>2013 Fund Mill Rate</v>
      </c>
      <c r="I43" s="703"/>
      <c r="J43" s="704"/>
      <c r="K43" s="629"/>
    </row>
    <row r="44" spans="2:11" ht="15.75">
      <c r="B44" s="125"/>
      <c r="C44" s="429" t="s">
        <v>11</v>
      </c>
      <c r="D44" s="431" t="s">
        <v>12</v>
      </c>
      <c r="E44" s="133" t="s">
        <v>13</v>
      </c>
      <c r="G44" s="706" t="str">
        <f>summ!F28</f>
        <v>  </v>
      </c>
      <c r="H44" s="680" t="str">
        <f>CONCATENATE("",E1-1," Fund Mill Rate")</f>
        <v>2012 Fund Mill Rate</v>
      </c>
      <c r="I44" s="703"/>
      <c r="J44" s="704"/>
      <c r="K44" s="629"/>
    </row>
    <row r="45" spans="2:11" ht="15.75">
      <c r="B45" s="521">
        <f>inputPrYr!B27</f>
        <v>0</v>
      </c>
      <c r="C45" s="430" t="str">
        <f>C5</f>
        <v>Actual for 2011</v>
      </c>
      <c r="D45" s="430" t="str">
        <f>D5</f>
        <v>Estimate for 2012</v>
      </c>
      <c r="E45" s="137" t="str">
        <f>E5</f>
        <v>Year for 2013</v>
      </c>
      <c r="G45" s="708">
        <f>summ!I36</f>
        <v>0</v>
      </c>
      <c r="H45" s="680" t="str">
        <f>CONCATENATE("Total ",E1," Mill Rate")</f>
        <v>Total 2013 Mill Rate</v>
      </c>
      <c r="I45" s="703"/>
      <c r="J45" s="704"/>
      <c r="K45" s="629"/>
    </row>
    <row r="46" spans="2:11" ht="15.75">
      <c r="B46" s="138" t="s">
        <v>120</v>
      </c>
      <c r="C46" s="285"/>
      <c r="D46" s="427">
        <f>C74</f>
        <v>0</v>
      </c>
      <c r="E46" s="264">
        <f>D74</f>
        <v>0</v>
      </c>
      <c r="G46" s="706">
        <f>summ!F36</f>
        <v>20.454</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IF(inputPrYr!H15&gt;0,inputPrYr!G27,inputPrYr!E27)</f>
        <v>0</v>
      </c>
      <c r="E48" s="288" t="s">
        <v>292</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mvalloc!G22</f>
        <v>0</v>
      </c>
      <c r="G50" s="629"/>
      <c r="H50" s="629"/>
      <c r="I50" s="629"/>
      <c r="J50" s="629"/>
      <c r="K50" s="629"/>
    </row>
    <row r="51" spans="2:11" ht="15.75">
      <c r="B51" s="138" t="s">
        <v>19</v>
      </c>
      <c r="C51" s="285"/>
      <c r="D51" s="285"/>
      <c r="E51" s="264">
        <f>mvalloc!I22</f>
        <v>0</v>
      </c>
      <c r="G51" s="629"/>
      <c r="H51" s="629"/>
      <c r="I51" s="629"/>
      <c r="J51" s="629"/>
      <c r="K51" s="629"/>
    </row>
    <row r="52" spans="2:11" ht="15.75">
      <c r="B52" s="138" t="s">
        <v>101</v>
      </c>
      <c r="C52" s="285"/>
      <c r="D52" s="285"/>
      <c r="E52" s="264">
        <f>mvalloc!J22</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214</v>
      </c>
      <c r="C58" s="285"/>
      <c r="D58" s="285"/>
      <c r="E58" s="259"/>
      <c r="G58" s="629"/>
      <c r="H58" s="629"/>
      <c r="I58" s="629"/>
      <c r="J58" s="629"/>
      <c r="K58" s="629"/>
    </row>
    <row r="59" spans="2:11" ht="15.75">
      <c r="B59" s="293" t="s">
        <v>215</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716</v>
      </c>
      <c r="H66" s="663"/>
      <c r="I66" s="663"/>
      <c r="J66" s="666">
        <v>0</v>
      </c>
      <c r="K66" s="629"/>
    </row>
    <row r="67" spans="2:11" ht="15.75">
      <c r="B67" s="292"/>
      <c r="C67" s="285"/>
      <c r="D67" s="285"/>
      <c r="E67" s="259"/>
      <c r="G67" s="661" t="s">
        <v>717</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822</v>
      </c>
      <c r="H69" s="673"/>
      <c r="I69" s="673"/>
      <c r="J69" s="674">
        <f>IF(J66&gt;0,J68-E77,0)</f>
        <v>0</v>
      </c>
      <c r="K69" s="629"/>
    </row>
    <row r="70" spans="2:11" ht="15.75">
      <c r="B70" s="289" t="s">
        <v>217</v>
      </c>
      <c r="C70" s="285"/>
      <c r="D70" s="285"/>
      <c r="E70" s="300">
        <f>nhood!E17</f>
      </c>
      <c r="G70" s="629"/>
      <c r="H70" s="629"/>
      <c r="I70" s="629"/>
      <c r="J70" s="629"/>
      <c r="K70" s="629"/>
    </row>
    <row r="71" spans="2:11" ht="15.75">
      <c r="B71" s="289" t="s">
        <v>214</v>
      </c>
      <c r="C71" s="285"/>
      <c r="D71" s="285"/>
      <c r="E71" s="259"/>
      <c r="G71" s="846" t="str">
        <f>CONCATENATE("Projected Carryover Into ",E1+1,"")</f>
        <v>Projected Carryover Into 2014</v>
      </c>
      <c r="H71" s="849"/>
      <c r="I71" s="849"/>
      <c r="J71" s="850"/>
      <c r="K71" s="629"/>
    </row>
    <row r="72" spans="2:11" ht="15.75">
      <c r="B72" s="289" t="s">
        <v>710</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292</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inputOth!B59</f>
        <v>0</v>
      </c>
      <c r="D75" s="128">
        <f>inputPrYr!D27</f>
        <v>0</v>
      </c>
      <c r="E75" s="288" t="s">
        <v>292</v>
      </c>
      <c r="F75" s="302"/>
      <c r="G75" s="688">
        <f>IF(E79&gt;0,E78,E80)</f>
        <v>0</v>
      </c>
      <c r="H75" s="663" t="str">
        <f>CONCATENATE("",E1," Ad Valorem Tax (est.)")</f>
        <v>2013 Ad Valorem Tax (est.)</v>
      </c>
      <c r="I75" s="681"/>
      <c r="J75" s="715"/>
      <c r="K75" s="689">
        <f>IF(G75=E80,"","Note: Does not include Delinquent Taxes")</f>
      </c>
    </row>
    <row r="76" spans="2:11" ht="15.75">
      <c r="B76" s="176"/>
      <c r="C76" s="839" t="s">
        <v>712</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713</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714</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823</v>
      </c>
      <c r="H81" s="854"/>
      <c r="I81" s="854"/>
      <c r="J81" s="855"/>
      <c r="K81" s="629"/>
    </row>
    <row r="82" spans="2:11" ht="15.75">
      <c r="B82" s="172"/>
      <c r="G82" s="702"/>
      <c r="H82" s="680"/>
      <c r="I82" s="703"/>
      <c r="J82" s="704"/>
      <c r="K82" s="629"/>
    </row>
    <row r="83" spans="7:11" ht="15.75">
      <c r="G83" s="705" t="str">
        <f>summ!I29</f>
        <v> </v>
      </c>
      <c r="H83" s="680" t="str">
        <f>CONCATENATE("",E1," Fund Mill Rate")</f>
        <v>2013 Fund Mill Rate</v>
      </c>
      <c r="I83" s="703"/>
      <c r="J83" s="704"/>
      <c r="K83" s="629"/>
    </row>
    <row r="84" spans="7:11" ht="15.75">
      <c r="G84" s="706" t="str">
        <f>summ!F29</f>
        <v>  </v>
      </c>
      <c r="H84" s="680" t="str">
        <f>CONCATENATE("",E1-1," Fund Mill Rate")</f>
        <v>2012 Fund Mill Rate</v>
      </c>
      <c r="I84" s="703"/>
      <c r="J84" s="704"/>
      <c r="K84" s="629"/>
    </row>
    <row r="85" spans="7:11" ht="15.75">
      <c r="G85" s="708">
        <f>summ!I36</f>
        <v>0</v>
      </c>
      <c r="H85" s="680" t="str">
        <f>CONCATENATE("Total ",E1," Mill Rate")</f>
        <v>Total 2013 Mill Rate</v>
      </c>
      <c r="I85" s="703"/>
      <c r="J85" s="704"/>
      <c r="K85" s="629"/>
    </row>
    <row r="86" spans="7:11" ht="15.75">
      <c r="G86" s="706">
        <f>summ!F36</f>
        <v>20.454</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FALL RIVER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24">
      <selection activeCell="D6" sqref="D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272</v>
      </c>
      <c r="B1" s="16"/>
      <c r="C1" s="16"/>
      <c r="D1" s="16"/>
      <c r="E1" s="16"/>
    </row>
    <row r="2" spans="1:5" ht="15.75">
      <c r="A2" s="33" t="s">
        <v>229</v>
      </c>
      <c r="B2" s="16"/>
      <c r="C2" s="16"/>
      <c r="D2" s="12" t="s">
        <v>928</v>
      </c>
      <c r="E2" s="22"/>
    </row>
    <row r="3" spans="1:5" ht="15.75">
      <c r="A3" s="33" t="s">
        <v>228</v>
      </c>
      <c r="B3" s="16"/>
      <c r="C3" s="16"/>
      <c r="D3" s="47" t="s">
        <v>929</v>
      </c>
      <c r="E3" s="22"/>
    </row>
    <row r="4" spans="1:5" ht="15.75">
      <c r="A4" s="16"/>
      <c r="B4" s="16"/>
      <c r="C4" s="16"/>
      <c r="D4" s="16"/>
      <c r="E4" s="16"/>
    </row>
    <row r="5" spans="1:5" ht="15.75">
      <c r="A5" s="21" t="s">
        <v>148</v>
      </c>
      <c r="B5" s="16"/>
      <c r="C5" s="16"/>
      <c r="D5" s="92">
        <v>2013</v>
      </c>
      <c r="E5" s="16"/>
    </row>
    <row r="6" spans="1:5" ht="15.75">
      <c r="A6" s="16"/>
      <c r="B6" s="16"/>
      <c r="C6" s="16"/>
      <c r="D6" s="16"/>
      <c r="E6" s="16"/>
    </row>
    <row r="7" spans="1:8" ht="15.75">
      <c r="A7" s="64" t="s">
        <v>150</v>
      </c>
      <c r="B7" s="65"/>
      <c r="C7" s="65"/>
      <c r="D7" s="65"/>
      <c r="E7" s="65"/>
      <c r="F7" s="125"/>
      <c r="G7" s="786" t="s">
        <v>763</v>
      </c>
      <c r="H7" s="787"/>
    </row>
    <row r="8" spans="1:8" ht="15.75">
      <c r="A8" s="64" t="s">
        <v>202</v>
      </c>
      <c r="B8" s="65"/>
      <c r="C8" s="65"/>
      <c r="D8" s="65"/>
      <c r="E8" s="65"/>
      <c r="F8" s="125"/>
      <c r="G8" s="788"/>
      <c r="H8" s="787"/>
    </row>
    <row r="9" spans="1:8" ht="15.75">
      <c r="A9" s="16"/>
      <c r="B9" s="16"/>
      <c r="C9" s="16"/>
      <c r="D9" s="16"/>
      <c r="E9" s="16"/>
      <c r="F9" s="125"/>
      <c r="G9" s="788"/>
      <c r="H9" s="787"/>
    </row>
    <row r="10" spans="1:8" ht="15.75">
      <c r="A10" s="784" t="s">
        <v>160</v>
      </c>
      <c r="B10" s="785"/>
      <c r="C10" s="785"/>
      <c r="D10" s="785"/>
      <c r="E10" s="785"/>
      <c r="F10" s="125"/>
      <c r="G10" s="788"/>
      <c r="H10" s="787"/>
    </row>
    <row r="11" spans="1:8" ht="15.75">
      <c r="A11" s="33"/>
      <c r="B11" s="16"/>
      <c r="C11" s="16"/>
      <c r="D11" s="16"/>
      <c r="E11" s="16"/>
      <c r="F11" s="125"/>
      <c r="G11" s="788"/>
      <c r="H11" s="787"/>
    </row>
    <row r="12" spans="1:8" ht="15.75">
      <c r="A12" s="50" t="s">
        <v>149</v>
      </c>
      <c r="B12" s="48"/>
      <c r="C12" s="16"/>
      <c r="D12" s="18"/>
      <c r="E12" s="71"/>
      <c r="F12" s="125"/>
      <c r="G12" s="788"/>
      <c r="H12" s="787"/>
    </row>
    <row r="13" spans="1:8" ht="15.75">
      <c r="A13" s="62" t="str">
        <f>CONCATENATE("the ",D5-1," Budget, Certificate Page:")</f>
        <v>the 2012 Budget, Certificate Page:</v>
      </c>
      <c r="B13" s="63"/>
      <c r="C13" s="18"/>
      <c r="D13" s="16"/>
      <c r="E13" s="16"/>
      <c r="F13" s="125"/>
      <c r="G13" s="130"/>
      <c r="H13" s="600"/>
    </row>
    <row r="14" spans="1:8" ht="15.75">
      <c r="A14" s="62" t="s">
        <v>319</v>
      </c>
      <c r="B14" s="63"/>
      <c r="C14" s="18"/>
      <c r="D14" s="114">
        <f>$D$5-1</f>
        <v>2012</v>
      </c>
      <c r="E14" s="113">
        <f>$D$5-2</f>
        <v>2011</v>
      </c>
      <c r="F14" s="221"/>
      <c r="G14" s="199" t="s">
        <v>764</v>
      </c>
      <c r="H14" s="146" t="s">
        <v>29</v>
      </c>
    </row>
    <row r="15" spans="1:8" ht="15.75">
      <c r="A15" s="17" t="s">
        <v>274</v>
      </c>
      <c r="B15" s="16"/>
      <c r="C15" s="70" t="s">
        <v>273</v>
      </c>
      <c r="D15" s="115" t="s">
        <v>347</v>
      </c>
      <c r="E15" s="112" t="s">
        <v>16</v>
      </c>
      <c r="F15" s="221"/>
      <c r="G15" s="201" t="str">
        <f>CONCATENATE("",E14," Ad Valorem Tax")</f>
        <v>2011 Ad Valorem Tax</v>
      </c>
      <c r="H15" s="601">
        <v>0</v>
      </c>
    </row>
    <row r="16" spans="1:8" ht="15.75">
      <c r="A16" s="16"/>
      <c r="B16" s="30" t="s">
        <v>275</v>
      </c>
      <c r="C16" s="61" t="s">
        <v>276</v>
      </c>
      <c r="D16" s="8"/>
      <c r="E16" s="8"/>
      <c r="F16" s="221"/>
      <c r="G16" s="264">
        <f>IF(H15&gt;0,ROUND(E16-(E16*H15),0),0)</f>
        <v>0</v>
      </c>
      <c r="H16" s="221"/>
    </row>
    <row r="17" spans="1:8" ht="15.75">
      <c r="A17" s="16"/>
      <c r="B17" s="30" t="s">
        <v>303</v>
      </c>
      <c r="C17" s="61" t="s">
        <v>155</v>
      </c>
      <c r="D17" s="8"/>
      <c r="E17" s="8"/>
      <c r="F17" s="221"/>
      <c r="G17" s="264">
        <f>IF(H15&gt;0,ROUND(E17-(E17*H15),0),0)</f>
        <v>0</v>
      </c>
      <c r="H17" s="221"/>
    </row>
    <row r="18" spans="1:8" ht="15.75">
      <c r="A18" s="16"/>
      <c r="B18" s="30" t="s">
        <v>761</v>
      </c>
      <c r="C18" s="61" t="s">
        <v>762</v>
      </c>
      <c r="D18" s="8"/>
      <c r="E18" s="8"/>
      <c r="F18" s="221"/>
      <c r="G18" s="264">
        <f>IF(H15&gt;0,ROUND(E18-(E18*H15),0),0)</f>
        <v>0</v>
      </c>
      <c r="H18" s="221"/>
    </row>
    <row r="19" spans="1:8" ht="15.75">
      <c r="A19" s="16"/>
      <c r="B19" s="30" t="s">
        <v>277</v>
      </c>
      <c r="C19" s="28" t="s">
        <v>318</v>
      </c>
      <c r="D19" s="8"/>
      <c r="E19" s="8"/>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0</v>
      </c>
    </row>
    <row r="29" spans="1:5" ht="15.75">
      <c r="A29" s="22"/>
      <c r="B29" s="22"/>
      <c r="C29" s="22"/>
      <c r="D29" s="46"/>
      <c r="E29" s="72"/>
    </row>
    <row r="30" spans="1:5" ht="15.75">
      <c r="A30" s="16" t="s">
        <v>144</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0</v>
      </c>
      <c r="E35" s="16"/>
    </row>
    <row r="36" spans="1:5" ht="15.75">
      <c r="A36" s="16"/>
      <c r="B36" s="16"/>
      <c r="C36" s="16"/>
      <c r="D36" s="16"/>
      <c r="E36" s="16"/>
    </row>
    <row r="37" spans="1:5" ht="15.75">
      <c r="A37" s="45" t="s">
        <v>342</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149</v>
      </c>
      <c r="B44" s="48"/>
      <c r="C44" s="16"/>
      <c r="D44" s="782" t="str">
        <f>CONCATENATE("",D5-3," Tax Rate                    (",D5-2," Column)")</f>
        <v>2010 Tax Rate                    (2011 Column)</v>
      </c>
      <c r="E44" s="16"/>
    </row>
    <row r="45" spans="1:5" ht="15.75">
      <c r="A45" s="62" t="str">
        <f>CONCATENATE("the ",D5-1," Budget, Budget Summary Page:")</f>
        <v>the 2012 Budget, Budget Summary Page:</v>
      </c>
      <c r="B45" s="76"/>
      <c r="C45" s="16"/>
      <c r="D45" s="783"/>
      <c r="E45" s="16"/>
    </row>
    <row r="46" spans="1:5" ht="15.75">
      <c r="A46" s="16"/>
      <c r="B46" s="15" t="str">
        <f>B16</f>
        <v>General</v>
      </c>
      <c r="C46" s="16"/>
      <c r="D46" s="73"/>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0</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row>
    <row r="61" spans="1:5" ht="15.75">
      <c r="A61" s="118" t="str">
        <f>CONCATENATE("Assessed Valuation (",D5-2," budget column)")</f>
        <v>Assessed Valuation (2011 budget column)</v>
      </c>
      <c r="B61" s="80"/>
      <c r="C61" s="44"/>
      <c r="D61" s="51"/>
      <c r="E61" s="8"/>
    </row>
    <row r="62" spans="1:5" ht="15.75">
      <c r="A62" s="45"/>
      <c r="B62" s="22"/>
      <c r="C62" s="22"/>
      <c r="D62" s="22"/>
      <c r="E62" s="75"/>
    </row>
    <row r="63" spans="1:5" ht="15.75">
      <c r="A63" s="16"/>
      <c r="B63" s="16"/>
      <c r="C63" s="16"/>
      <c r="D63" s="16"/>
      <c r="E63" s="20"/>
    </row>
    <row r="64" spans="1:5" ht="15.75">
      <c r="A64" s="48" t="s">
        <v>203</v>
      </c>
      <c r="B64" s="48"/>
      <c r="C64" s="49"/>
      <c r="D64" s="77">
        <f>D5-3</f>
        <v>2010</v>
      </c>
      <c r="E64" s="77">
        <f>D5-2</f>
        <v>2011</v>
      </c>
    </row>
    <row r="65" spans="1:5" ht="15.75">
      <c r="A65" s="78" t="s">
        <v>167</v>
      </c>
      <c r="B65" s="78"/>
      <c r="C65" s="79"/>
      <c r="D65" s="14"/>
      <c r="E65" s="14"/>
    </row>
    <row r="66" spans="1:5" ht="15.75">
      <c r="A66" s="80" t="s">
        <v>168</v>
      </c>
      <c r="B66" s="80"/>
      <c r="C66" s="81"/>
      <c r="D66" s="14"/>
      <c r="E66" s="14"/>
    </row>
    <row r="67" spans="1:5" ht="15.75">
      <c r="A67" s="80" t="s">
        <v>169</v>
      </c>
      <c r="B67" s="80"/>
      <c r="C67" s="81"/>
      <c r="D67" s="14"/>
      <c r="E67" s="14"/>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FALL RIVER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FALL RIVER TOWNSHIP</v>
      </c>
      <c r="B1" s="322"/>
      <c r="C1" s="171"/>
      <c r="D1" s="171"/>
      <c r="E1" s="171"/>
      <c r="F1" s="323" t="s">
        <v>330</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331</v>
      </c>
      <c r="B3" s="171"/>
      <c r="C3" s="171"/>
      <c r="D3" s="171"/>
      <c r="E3" s="171"/>
      <c r="F3" s="322"/>
      <c r="G3" s="171"/>
      <c r="H3" s="171"/>
      <c r="I3" s="171"/>
      <c r="J3" s="171"/>
      <c r="K3" s="171"/>
    </row>
    <row r="4" spans="1:11" ht="15.75">
      <c r="A4" s="171" t="s">
        <v>332</v>
      </c>
      <c r="B4" s="171"/>
      <c r="C4" s="171" t="s">
        <v>333</v>
      </c>
      <c r="D4" s="171"/>
      <c r="E4" s="171" t="s">
        <v>334</v>
      </c>
      <c r="F4" s="322"/>
      <c r="G4" s="171" t="s">
        <v>335</v>
      </c>
      <c r="H4" s="171"/>
      <c r="I4" s="171" t="s">
        <v>336</v>
      </c>
      <c r="J4" s="171"/>
      <c r="K4" s="171"/>
    </row>
    <row r="5" spans="1:11" ht="15.75">
      <c r="A5" s="859">
        <f>inputPrYr!B38</f>
        <v>0</v>
      </c>
      <c r="B5" s="860"/>
      <c r="C5" s="859">
        <f>inputPrYr!B39</f>
        <v>0</v>
      </c>
      <c r="D5" s="860"/>
      <c r="E5" s="859">
        <f>inputPrYr!B40</f>
        <v>0</v>
      </c>
      <c r="F5" s="860"/>
      <c r="G5" s="861">
        <f>inputPrYr!B41</f>
        <v>0</v>
      </c>
      <c r="H5" s="860"/>
      <c r="I5" s="861">
        <f>inputPrYr!B42</f>
        <v>0</v>
      </c>
      <c r="J5" s="860"/>
      <c r="K5" s="326"/>
    </row>
    <row r="6" spans="1:11" ht="15.75">
      <c r="A6" s="327" t="s">
        <v>337</v>
      </c>
      <c r="B6" s="328"/>
      <c r="C6" s="329" t="s">
        <v>337</v>
      </c>
      <c r="D6" s="330"/>
      <c r="E6" s="329" t="s">
        <v>337</v>
      </c>
      <c r="F6" s="331"/>
      <c r="G6" s="329" t="s">
        <v>337</v>
      </c>
      <c r="H6" s="325"/>
      <c r="I6" s="329" t="s">
        <v>337</v>
      </c>
      <c r="J6" s="171"/>
      <c r="K6" s="202" t="s">
        <v>278</v>
      </c>
    </row>
    <row r="7" spans="1:11" ht="15.75">
      <c r="A7" s="332" t="s">
        <v>338</v>
      </c>
      <c r="B7" s="333"/>
      <c r="C7" s="334" t="s">
        <v>338</v>
      </c>
      <c r="D7" s="333"/>
      <c r="E7" s="334" t="s">
        <v>338</v>
      </c>
      <c r="F7" s="333"/>
      <c r="G7" s="334" t="s">
        <v>338</v>
      </c>
      <c r="H7" s="333"/>
      <c r="I7" s="334" t="s">
        <v>338</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339</v>
      </c>
      <c r="B29" s="335">
        <f>SUM(B18-B28)</f>
        <v>0</v>
      </c>
      <c r="C29" s="336" t="s">
        <v>339</v>
      </c>
      <c r="D29" s="335">
        <f>SUM(D18-D28)</f>
        <v>0</v>
      </c>
      <c r="E29" s="336" t="s">
        <v>339</v>
      </c>
      <c r="F29" s="335">
        <f>SUM(F18-F28)</f>
        <v>0</v>
      </c>
      <c r="G29" s="336" t="s">
        <v>339</v>
      </c>
      <c r="H29" s="335">
        <f>SUM(H18-H28)</f>
        <v>0</v>
      </c>
      <c r="I29" s="336" t="s">
        <v>339</v>
      </c>
      <c r="J29" s="335">
        <f>SUM(J18-J28)</f>
        <v>0</v>
      </c>
      <c r="K29" s="350">
        <f>SUM(B29+D29+F29+H29+J29)</f>
        <v>0</v>
      </c>
      <c r="L29" s="172" t="s">
        <v>340</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340</v>
      </c>
    </row>
    <row r="31" spans="1:11" ht="15.75">
      <c r="A31" s="171"/>
      <c r="B31" s="351"/>
      <c r="C31" s="171"/>
      <c r="D31" s="322"/>
      <c r="E31" s="171"/>
      <c r="F31" s="171"/>
      <c r="G31" s="352" t="s">
        <v>341</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348</v>
      </c>
    </row>
    <row r="2" ht="54.75" customHeight="1">
      <c r="A2" s="385" t="s">
        <v>349</v>
      </c>
    </row>
    <row r="3" ht="15.75">
      <c r="A3" s="386"/>
    </row>
    <row r="4" ht="56.25" customHeight="1">
      <c r="A4" s="385" t="s">
        <v>350</v>
      </c>
    </row>
    <row r="5" ht="15.75">
      <c r="A5" s="172"/>
    </row>
    <row r="6" ht="50.25" customHeight="1">
      <c r="A6" s="385" t="s">
        <v>351</v>
      </c>
    </row>
    <row r="7" ht="16.5" customHeight="1">
      <c r="A7" s="385"/>
    </row>
    <row r="8" ht="50.25" customHeight="1">
      <c r="A8" s="440" t="s">
        <v>706</v>
      </c>
    </row>
    <row r="9" ht="15.75">
      <c r="A9" s="386"/>
    </row>
    <row r="10" ht="40.5" customHeight="1">
      <c r="A10" s="385" t="s">
        <v>352</v>
      </c>
    </row>
    <row r="11" ht="15.75">
      <c r="A11" s="172"/>
    </row>
    <row r="12" ht="40.5" customHeight="1">
      <c r="A12" s="385" t="s">
        <v>353</v>
      </c>
    </row>
    <row r="13" ht="15.75">
      <c r="A13" s="386"/>
    </row>
    <row r="14" ht="71.25" customHeight="1">
      <c r="A14" s="385" t="s">
        <v>354</v>
      </c>
    </row>
    <row r="15" ht="15.75">
      <c r="A15" s="386"/>
    </row>
    <row r="16" ht="40.5" customHeight="1">
      <c r="A16" s="385" t="s">
        <v>355</v>
      </c>
    </row>
    <row r="17" ht="15.75">
      <c r="A17" s="172"/>
    </row>
    <row r="18" ht="49.5" customHeight="1">
      <c r="A18" s="385" t="s">
        <v>356</v>
      </c>
    </row>
    <row r="19" ht="15.75">
      <c r="A19" s="386"/>
    </row>
    <row r="20" ht="52.5" customHeight="1">
      <c r="A20" s="385" t="s">
        <v>357</v>
      </c>
    </row>
    <row r="21" ht="15.75">
      <c r="A21" s="386"/>
    </row>
    <row r="22" ht="48.75" customHeight="1">
      <c r="A22" s="385" t="s">
        <v>358</v>
      </c>
    </row>
    <row r="23" ht="15.75">
      <c r="A23" s="386"/>
    </row>
    <row r="24" ht="15.75">
      <c r="A24" s="172"/>
    </row>
    <row r="25" ht="51.75" customHeight="1">
      <c r="A25" s="385"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selection activeCell="D53" sqref="D5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65" t="s">
        <v>72</v>
      </c>
      <c r="C2" s="866"/>
      <c r="D2" s="866"/>
      <c r="E2" s="866"/>
      <c r="F2" s="866"/>
      <c r="G2" s="866"/>
      <c r="H2" s="866"/>
      <c r="I2" s="866"/>
    </row>
    <row r="3" spans="2:9" ht="15.75">
      <c r="B3" s="16"/>
      <c r="C3" s="16"/>
      <c r="D3" s="16"/>
      <c r="E3" s="16"/>
      <c r="F3" s="16"/>
      <c r="G3" s="17" t="s">
        <v>37</v>
      </c>
      <c r="H3" s="17" t="s">
        <v>38</v>
      </c>
      <c r="I3" s="16"/>
    </row>
    <row r="4" spans="2:9" ht="15.75">
      <c r="B4" s="867" t="s">
        <v>39</v>
      </c>
      <c r="C4" s="867"/>
      <c r="D4" s="867"/>
      <c r="E4" s="867"/>
      <c r="F4" s="867"/>
      <c r="G4" s="867"/>
      <c r="H4" s="867"/>
      <c r="I4" s="867"/>
    </row>
    <row r="5" spans="2:9" ht="15.75">
      <c r="B5" s="878" t="str">
        <f>inputPrYr!D2</f>
        <v>FALL RIVER TOWNSHIP</v>
      </c>
      <c r="C5" s="878"/>
      <c r="D5" s="878"/>
      <c r="E5" s="878"/>
      <c r="F5" s="878"/>
      <c r="G5" s="878"/>
      <c r="H5" s="878"/>
      <c r="I5" s="878"/>
    </row>
    <row r="6" spans="2:9" ht="15.75">
      <c r="B6" s="878" t="str">
        <f>inputPrYr!D3</f>
        <v>GREENWOOD COUNTY</v>
      </c>
      <c r="C6" s="878"/>
      <c r="D6" s="878"/>
      <c r="E6" s="878"/>
      <c r="F6" s="878"/>
      <c r="G6" s="878"/>
      <c r="H6" s="878"/>
      <c r="I6" s="878"/>
    </row>
    <row r="7" spans="2:9" ht="15.75">
      <c r="B7" s="869" t="str">
        <f>CONCATENATE("will meet on ",inputBudSum!B8," at ",inputBudSum!B10," at ",inputBudSum!B12," for the purpose of hearing and")</f>
        <v>will meet on  at  at  for the purpose of hearing and</v>
      </c>
      <c r="C7" s="869"/>
      <c r="D7" s="869"/>
      <c r="E7" s="869"/>
      <c r="F7" s="869"/>
      <c r="G7" s="869"/>
      <c r="H7" s="869"/>
      <c r="I7" s="869"/>
    </row>
    <row r="8" spans="2:9" ht="15.75">
      <c r="B8" s="867" t="s">
        <v>383</v>
      </c>
      <c r="C8" s="868"/>
      <c r="D8" s="868"/>
      <c r="E8" s="868"/>
      <c r="F8" s="868"/>
      <c r="G8" s="868"/>
      <c r="H8" s="868"/>
      <c r="I8" s="868"/>
    </row>
    <row r="9" spans="2:9" ht="15.75">
      <c r="B9" s="869" t="str">
        <f>CONCATENATE("Detailed budget information is available at ",inputBudSum!B15," and will be available at this hearing.")</f>
        <v>Detailed budget information is available at  and will be available at this hearing.</v>
      </c>
      <c r="C9" s="868"/>
      <c r="D9" s="868"/>
      <c r="E9" s="868"/>
      <c r="F9" s="868"/>
      <c r="G9" s="868"/>
      <c r="H9" s="868"/>
      <c r="I9" s="868"/>
    </row>
    <row r="10" spans="2:9" ht="15.75">
      <c r="B10" s="865" t="s">
        <v>73</v>
      </c>
      <c r="C10" s="868"/>
      <c r="D10" s="868"/>
      <c r="E10" s="868"/>
      <c r="F10" s="868"/>
      <c r="G10" s="868"/>
      <c r="H10" s="868"/>
      <c r="I10" s="868"/>
    </row>
    <row r="11" spans="2:9" ht="15.75">
      <c r="B11" s="867" t="str">
        <f>CONCATENATE("Proposed Budget ",I1," Expenditures and Amount of ",I1-1," Ad Valorem Tax establish the maximum limits")</f>
        <v>Proposed Budget 2013 Expenditures and Amount of 2012 Ad Valorem Tax establish the maximum limits</v>
      </c>
      <c r="C11" s="868"/>
      <c r="D11" s="868"/>
      <c r="E11" s="868"/>
      <c r="F11" s="868"/>
      <c r="G11" s="868"/>
      <c r="H11" s="868"/>
      <c r="I11" s="868"/>
    </row>
    <row r="12" spans="2:9" ht="15.75">
      <c r="B12" s="867" t="str">
        <f>CONCATENATE("of the ",I1," budget.  Estimated Tax Rate is subject to change depending on the final assessed valuation.")</f>
        <v>of the 2013 budget.  Estimated Tax Rate is subject to change depending on the final assessed valuation.</v>
      </c>
      <c r="C12" s="868"/>
      <c r="D12" s="868"/>
      <c r="E12" s="868"/>
      <c r="F12" s="868"/>
      <c r="G12" s="868"/>
      <c r="H12" s="868"/>
      <c r="I12" s="868"/>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0"/>
      <c r="C15" s="32"/>
      <c r="D15" s="25" t="s">
        <v>32</v>
      </c>
      <c r="E15" s="25"/>
      <c r="F15" s="583" t="s">
        <v>32</v>
      </c>
      <c r="G15" s="29"/>
      <c r="H15" s="875" t="str">
        <f>CONCATENATE("Amount of ",I1-1," Ad Valorem Tax")</f>
        <v>Amount of 2012 Ad Valorem Tax</v>
      </c>
      <c r="I15" s="25" t="s">
        <v>40</v>
      </c>
      <c r="J15" s="11"/>
    </row>
    <row r="16" spans="2:10" ht="15.75">
      <c r="B16" s="770"/>
      <c r="C16" s="40"/>
      <c r="D16" s="40" t="s">
        <v>41</v>
      </c>
      <c r="E16" s="40"/>
      <c r="F16" s="40" t="s">
        <v>41</v>
      </c>
      <c r="G16" s="584" t="s">
        <v>210</v>
      </c>
      <c r="H16" s="876"/>
      <c r="I16" s="40" t="s">
        <v>41</v>
      </c>
      <c r="J16" s="11"/>
    </row>
    <row r="17" spans="2:10" ht="15.75">
      <c r="B17" s="26" t="s">
        <v>288</v>
      </c>
      <c r="C17" s="26" t="s">
        <v>42</v>
      </c>
      <c r="D17" s="26" t="s">
        <v>43</v>
      </c>
      <c r="E17" s="26" t="s">
        <v>42</v>
      </c>
      <c r="F17" s="26" t="s">
        <v>43</v>
      </c>
      <c r="G17" s="577" t="s">
        <v>721</v>
      </c>
      <c r="H17" s="877"/>
      <c r="I17" s="26" t="s">
        <v>43</v>
      </c>
      <c r="J17" s="11"/>
    </row>
    <row r="18" spans="2:10" ht="15.75">
      <c r="B18" s="15" t="str">
        <f>inputPrYr!B16</f>
        <v>General</v>
      </c>
      <c r="C18" s="529">
        <f>IF(gen!$C$50&lt;&gt;0,gen!$C$50,"  ")</f>
        <v>3543</v>
      </c>
      <c r="D18" s="534" t="str">
        <f>IF(inputPrYr!D46&gt;0,inputPrYr!D46,"  ")</f>
        <v>  </v>
      </c>
      <c r="E18" s="529" t="str">
        <f>IF(gen!$D$50&lt;&gt;0,gen!$D$50,"  ")</f>
        <v>  </v>
      </c>
      <c r="F18" s="534">
        <f>IF(inputOth!D17&gt;0,inputOth!D17,"  ")</f>
        <v>2.343</v>
      </c>
      <c r="G18" s="529" t="str">
        <f>IF(gen!$E$50&lt;&gt;0,gen!$E$50,"  ")</f>
        <v>  </v>
      </c>
      <c r="H18" s="529" t="str">
        <f>IF(gen!$E$57&lt;&gt;0,gen!$E$57," ")</f>
        <v> </v>
      </c>
      <c r="I18" s="537" t="str">
        <f>IF(gen!E57&gt;0,ROUND(H18/$G$41*1000,3)," ")</f>
        <v> </v>
      </c>
      <c r="J18" s="11"/>
    </row>
    <row r="19" spans="2:10" ht="15.75">
      <c r="B19" s="15" t="s">
        <v>303</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39391</v>
      </c>
      <c r="D21" s="534" t="str">
        <f>IF(inputPrYr!D49&gt;0,inputPrYr!D49,"  ")</f>
        <v>  </v>
      </c>
      <c r="E21" s="529" t="str">
        <f>IF(road!$D$43&lt;&gt;0,road!$D$43,"  ")</f>
        <v>  </v>
      </c>
      <c r="F21" s="534">
        <f>IF(inputOth!D20&gt;0,inputOth!D20,"  ")</f>
        <v>18.111</v>
      </c>
      <c r="G21" s="529" t="str">
        <f>IF(road!$E$43&lt;&gt;0,road!$E$43,"  ")</f>
        <v>  </v>
      </c>
      <c r="H21" s="529" t="str">
        <f>IF(road!$E$50&lt;&gt;0,road!$E$50,"  ")</f>
        <v>  </v>
      </c>
      <c r="I21" s="537" t="str">
        <f>IF(road!E50&gt;0,ROUND(H21/$G$41*1000,3)," ")</f>
        <v> </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70" t="str">
        <f>CONCATENATE("Estimated Value Of One Mill For ",I1,"")</f>
        <v>Estimated Value Of One Mill For 2013</v>
      </c>
      <c r="L25" s="863"/>
      <c r="M25" s="863"/>
      <c r="N25" s="879"/>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718</v>
      </c>
      <c r="L27" s="561"/>
      <c r="M27" s="561"/>
      <c r="N27" s="562">
        <f>ROUND(G41/1000,0)</f>
        <v>1444</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70" t="str">
        <f>CONCATENATE("Want The Mill Rate The Same As For ",I1-1,"?")</f>
        <v>Want The Mill Rate The Same As For 2012?</v>
      </c>
      <c r="L29" s="871"/>
      <c r="M29" s="871"/>
      <c r="N29" s="872"/>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20.454</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29528</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290</v>
      </c>
      <c r="C35" s="530" t="str">
        <f>IF(road!C65&lt;&gt;0,road!C65,"  ")</f>
        <v>  </v>
      </c>
      <c r="D35" s="535"/>
      <c r="E35" s="530"/>
      <c r="F35" s="535"/>
      <c r="G35" s="530"/>
      <c r="H35" s="530"/>
      <c r="I35" s="535"/>
      <c r="K35" s="571"/>
      <c r="L35" s="571"/>
      <c r="M35" s="571"/>
      <c r="N35" s="571"/>
    </row>
    <row r="36" spans="1:14" ht="15.75">
      <c r="A36" s="11"/>
      <c r="B36" s="30" t="s">
        <v>291</v>
      </c>
      <c r="C36" s="531">
        <f aca="true" t="shared" si="0" ref="C36:I36">SUM(C18:C35)</f>
        <v>42934</v>
      </c>
      <c r="D36" s="536">
        <f t="shared" si="0"/>
        <v>0</v>
      </c>
      <c r="E36" s="531">
        <f t="shared" si="0"/>
        <v>0</v>
      </c>
      <c r="F36" s="536">
        <f t="shared" si="0"/>
        <v>20.454</v>
      </c>
      <c r="G36" s="531">
        <f t="shared" si="0"/>
        <v>0</v>
      </c>
      <c r="H36" s="531">
        <f t="shared" si="0"/>
        <v>0</v>
      </c>
      <c r="I36" s="536">
        <f t="shared" si="0"/>
        <v>0</v>
      </c>
      <c r="K36" s="870" t="str">
        <f>CONCATENATE("Impact On Keeping The Same Mill Rate As For ",I1-1,"")</f>
        <v>Impact On Keeping The Same Mill Rate As For 2012</v>
      </c>
      <c r="L36" s="873"/>
      <c r="M36" s="873"/>
      <c r="N36" s="874"/>
    </row>
    <row r="37" spans="2:14" ht="15.75">
      <c r="B37" s="45" t="s">
        <v>44</v>
      </c>
      <c r="C37" s="529">
        <f>transfer!C29</f>
        <v>0</v>
      </c>
      <c r="D37" s="16"/>
      <c r="E37" s="529">
        <f>transfer!D29</f>
        <v>0</v>
      </c>
      <c r="F37" s="27"/>
      <c r="G37" s="529">
        <f>transfer!E29</f>
        <v>0</v>
      </c>
      <c r="H37" s="16"/>
      <c r="I37" s="16"/>
      <c r="K37" s="563"/>
      <c r="L37" s="558"/>
      <c r="M37" s="558"/>
      <c r="N37" s="564"/>
    </row>
    <row r="38" spans="2:14" ht="16.5" thickBot="1">
      <c r="B38" s="45" t="s">
        <v>45</v>
      </c>
      <c r="C38" s="532">
        <f>C36-C37</f>
        <v>42934</v>
      </c>
      <c r="D38" s="16"/>
      <c r="E38" s="532">
        <f>E36-E37</f>
        <v>0</v>
      </c>
      <c r="F38" s="16"/>
      <c r="G38" s="532">
        <f>G36-G37</f>
        <v>0</v>
      </c>
      <c r="H38" s="16"/>
      <c r="I38" s="16"/>
      <c r="K38" s="563" t="str">
        <f>CONCATENATE("",I1," Ad Valorem Tax Revenue:")</f>
        <v>2013 Ad Valorem Tax Revenue:</v>
      </c>
      <c r="L38" s="558"/>
      <c r="M38" s="558"/>
      <c r="N38" s="559">
        <f>H36</f>
        <v>0</v>
      </c>
    </row>
    <row r="39" spans="2:14" ht="16.5" thickTop="1">
      <c r="B39" s="45" t="s">
        <v>46</v>
      </c>
      <c r="C39" s="533">
        <f>inputPrYr!E60</f>
        <v>0</v>
      </c>
      <c r="D39" s="27"/>
      <c r="E39" s="533">
        <f>inputPrYr!E28</f>
        <v>0</v>
      </c>
      <c r="F39" s="16"/>
      <c r="G39" s="523" t="s">
        <v>292</v>
      </c>
      <c r="H39" s="16"/>
      <c r="I39" s="16"/>
      <c r="K39" s="563" t="str">
        <f>CONCATENATE("",I1-1," Ad Valorem Tax Revenue:")</f>
        <v>2012 Ad Valorem Tax Revenue:</v>
      </c>
      <c r="L39" s="558"/>
      <c r="M39" s="558"/>
      <c r="N39" s="572">
        <f>ROUND(G41*N31/1000,0)</f>
        <v>29528</v>
      </c>
    </row>
    <row r="40" spans="2:14" ht="15.75">
      <c r="B40" s="45" t="s">
        <v>47</v>
      </c>
      <c r="C40" s="16"/>
      <c r="D40" s="27"/>
      <c r="E40" s="16"/>
      <c r="F40" s="27"/>
      <c r="G40" s="16"/>
      <c r="H40" s="16"/>
      <c r="I40" s="16"/>
      <c r="K40" s="573" t="s">
        <v>719</v>
      </c>
      <c r="L40" s="574"/>
      <c r="M40" s="574"/>
      <c r="N40" s="562">
        <f>N38-N39</f>
        <v>-29528</v>
      </c>
    </row>
    <row r="41" spans="2:14" ht="15.75">
      <c r="B41" s="45" t="s">
        <v>48</v>
      </c>
      <c r="C41" s="15">
        <f>inputPrYr!E61</f>
        <v>0</v>
      </c>
      <c r="D41" s="16"/>
      <c r="E41" s="15">
        <f>inputOth!E31</f>
        <v>0</v>
      </c>
      <c r="F41" s="16"/>
      <c r="G41" s="15">
        <f>inputOth!E7</f>
        <v>1443637</v>
      </c>
      <c r="H41" s="16"/>
      <c r="I41" s="16"/>
      <c r="K41" s="575"/>
      <c r="L41" s="575"/>
      <c r="M41" s="575"/>
      <c r="N41" s="571"/>
    </row>
    <row r="42" spans="2:14" ht="15.75">
      <c r="B42" s="17" t="s">
        <v>49</v>
      </c>
      <c r="C42" s="16"/>
      <c r="D42" s="16"/>
      <c r="E42" s="16"/>
      <c r="F42" s="16"/>
      <c r="G42" s="16"/>
      <c r="H42" s="16"/>
      <c r="I42" s="16"/>
      <c r="K42" s="870" t="s">
        <v>720</v>
      </c>
      <c r="L42" s="871"/>
      <c r="M42" s="871"/>
      <c r="N42" s="872"/>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0</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4">
        <f>inputBudSum!B4</f>
        <v>0</v>
      </c>
      <c r="C50" s="864"/>
      <c r="D50" s="16"/>
      <c r="E50" s="16"/>
      <c r="F50" s="16"/>
      <c r="G50" s="16"/>
      <c r="H50" s="16"/>
      <c r="I50" s="16"/>
    </row>
    <row r="51" spans="2:9" ht="15.75">
      <c r="B51" s="862">
        <f>inputBudSum!B6</f>
        <v>0</v>
      </c>
      <c r="C51" s="863"/>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FALL RIVER TOWNSHIP</v>
      </c>
      <c r="B1" s="16"/>
      <c r="C1" s="16"/>
      <c r="D1" s="16"/>
      <c r="E1" s="16"/>
      <c r="F1" s="16">
        <f>inputPrYr!D5</f>
        <v>2013</v>
      </c>
    </row>
    <row r="2" spans="1:6" ht="15.75">
      <c r="A2" s="16"/>
      <c r="B2" s="16"/>
      <c r="C2" s="16"/>
      <c r="D2" s="16"/>
      <c r="E2" s="16"/>
      <c r="F2" s="16"/>
    </row>
    <row r="3" spans="1:6" ht="15.75">
      <c r="A3" s="16"/>
      <c r="B3" s="882" t="str">
        <f>CONCATENATE("",F1," Neighborhood Revitalization Rebate")</f>
        <v>2013 Neighborhood Revitalization Rebate</v>
      </c>
      <c r="C3" s="883"/>
      <c r="D3" s="883"/>
      <c r="E3" s="883"/>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213</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4" t="str">
        <f>CONCATENATE("",F1-1," July 1 Valuation:")</f>
        <v>2012 July 1 Valuation:</v>
      </c>
      <c r="B21" s="881"/>
      <c r="C21" s="884"/>
      <c r="D21" s="102">
        <f>inputOth!E7</f>
        <v>1443637</v>
      </c>
      <c r="E21" s="16"/>
      <c r="F21" s="49"/>
    </row>
    <row r="22" spans="1:6" ht="15.75">
      <c r="A22" s="16"/>
      <c r="B22" s="16"/>
      <c r="C22" s="16"/>
      <c r="D22" s="16"/>
      <c r="E22" s="16"/>
      <c r="F22" s="49"/>
    </row>
    <row r="23" spans="1:6" ht="15.75">
      <c r="A23" s="16"/>
      <c r="B23" s="884" t="s">
        <v>369</v>
      </c>
      <c r="C23" s="884"/>
      <c r="D23" s="103">
        <f>IF(D21&gt;0,(D21*0.001),"")</f>
        <v>1443.637</v>
      </c>
      <c r="E23" s="16"/>
      <c r="F23" s="49"/>
    </row>
    <row r="24" spans="1:6" ht="15.75">
      <c r="A24" s="16"/>
      <c r="B24" s="66"/>
      <c r="C24" s="66"/>
      <c r="D24" s="104"/>
      <c r="E24" s="16"/>
      <c r="F24" s="49"/>
    </row>
    <row r="25" spans="1:6" ht="15.75">
      <c r="A25" s="880" t="s">
        <v>370</v>
      </c>
      <c r="B25" s="866"/>
      <c r="C25" s="866"/>
      <c r="D25" s="106">
        <f>inputOth!E13</f>
        <v>0</v>
      </c>
      <c r="E25" s="72"/>
      <c r="F25" s="72"/>
    </row>
    <row r="26" spans="1:6" ht="15.75">
      <c r="A26" s="72"/>
      <c r="B26" s="72"/>
      <c r="C26" s="72"/>
      <c r="D26" s="107"/>
      <c r="E26" s="72"/>
      <c r="F26" s="72"/>
    </row>
    <row r="27" spans="1:6" ht="15.75">
      <c r="A27" s="72"/>
      <c r="B27" s="880" t="s">
        <v>371</v>
      </c>
      <c r="C27" s="881"/>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604</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887" t="s">
        <v>131</v>
      </c>
      <c r="B1" s="887"/>
      <c r="C1" s="887"/>
      <c r="D1" s="887"/>
      <c r="E1" s="887"/>
      <c r="F1" s="887"/>
      <c r="G1" s="887"/>
    </row>
    <row r="2" ht="15.75">
      <c r="A2" s="52"/>
    </row>
    <row r="3" spans="1:7" ht="15.75">
      <c r="A3" s="888" t="s">
        <v>132</v>
      </c>
      <c r="B3" s="888"/>
      <c r="C3" s="888"/>
      <c r="D3" s="888"/>
      <c r="E3" s="888"/>
      <c r="F3" s="888"/>
      <c r="G3" s="888"/>
    </row>
    <row r="4" ht="15.75">
      <c r="A4" s="53"/>
    </row>
    <row r="5" ht="15.75">
      <c r="A5" s="53"/>
    </row>
    <row r="6" spans="1:9" ht="15.75">
      <c r="A6" s="59" t="str">
        <f>CONCATENATE("A resolution expressing the property taxation policy of the Board of ",(inputPrYr!D2)," ")</f>
        <v>A resolution expressing the property taxation policy of the Board of FALL RIVER TOWNSHIP </v>
      </c>
      <c r="I6">
        <f>CONCATENATE(I7)</f>
      </c>
    </row>
    <row r="7" spans="1:7" ht="15.75">
      <c r="A7" s="889" t="str">
        <f>CONCATENATE("   with respect to financing the ",inputPrYr!D5," annual budget for ",(inputPrYr!D2)," , ",(inputPrYr!D3)," , Kansas.")</f>
        <v>   with respect to financing the 2013 annual budget for FALL RIVER TOWNSHIP , GREENWOOD COUNTY , Kansas.</v>
      </c>
      <c r="B7" s="886"/>
      <c r="C7" s="886"/>
      <c r="D7" s="886"/>
      <c r="E7" s="886"/>
      <c r="F7" s="886"/>
      <c r="G7" s="886"/>
    </row>
    <row r="8" spans="1:7" ht="15.75">
      <c r="A8" s="886"/>
      <c r="B8" s="886"/>
      <c r="C8" s="886"/>
      <c r="D8" s="886"/>
      <c r="E8" s="886"/>
      <c r="F8" s="886"/>
      <c r="G8" s="886"/>
    </row>
    <row r="9" ht="15.75">
      <c r="A9" s="52"/>
    </row>
    <row r="10" ht="15.75">
      <c r="A10" s="60" t="s">
        <v>133</v>
      </c>
    </row>
    <row r="11" ht="15.75">
      <c r="A11" s="58" t="str">
        <f>CONCATENATE("to finance the ",inputPrYr!D5," ",(inputPrYr!D2)," budget exceed the amount levied to finance the ",inputPrYr!D5-1,"")</f>
        <v>to finance the 2013 FALL RIVER TOWNSHIP budget exceed the amount levied to finance the 2012</v>
      </c>
    </row>
    <row r="12" spans="1:7" ht="15.75">
      <c r="A12" s="885" t="str">
        <f>CONCATENATE((inputPrYr!D2)," Township budget, except with regard to revenue produced and attributable to the taxation of 1) new improvements to real property; 2) increased personal property valuation, other than increased")</f>
        <v>FALL RIVER TOWNSHIP Township budget, except with regard to revenue produced and attributable to the taxation of 1) new improvements to real property; 2) increased personal property valuation, other than increased</v>
      </c>
      <c r="B12" s="886"/>
      <c r="C12" s="886"/>
      <c r="D12" s="886"/>
      <c r="E12" s="886"/>
      <c r="F12" s="886"/>
      <c r="G12" s="886"/>
    </row>
    <row r="13" spans="1:7" ht="15.75">
      <c r="A13" s="886"/>
      <c r="B13" s="886"/>
      <c r="C13" s="886"/>
      <c r="D13" s="886"/>
      <c r="E13" s="886"/>
      <c r="F13" s="886"/>
      <c r="G13" s="886"/>
    </row>
    <row r="14" spans="1:7" ht="15.75">
      <c r="A14" s="885" t="s">
        <v>138</v>
      </c>
      <c r="B14" s="886"/>
      <c r="C14" s="886"/>
      <c r="D14" s="886"/>
      <c r="E14" s="886"/>
      <c r="F14" s="886"/>
      <c r="G14" s="886"/>
    </row>
    <row r="15" spans="1:7" ht="15.75">
      <c r="A15" s="886"/>
      <c r="B15" s="886"/>
      <c r="C15" s="886"/>
      <c r="D15" s="886"/>
      <c r="E15" s="886"/>
      <c r="F15" s="886"/>
      <c r="G15" s="886"/>
    </row>
    <row r="16" spans="1:7" ht="15.75">
      <c r="A16" s="866"/>
      <c r="B16" s="866"/>
      <c r="C16" s="866"/>
      <c r="D16" s="866"/>
      <c r="E16" s="866"/>
      <c r="F16" s="866"/>
      <c r="G16" s="866"/>
    </row>
    <row r="17" ht="15.75">
      <c r="A17" s="53"/>
    </row>
    <row r="18" spans="1:7" ht="15.75">
      <c r="A18" s="890" t="s">
        <v>134</v>
      </c>
      <c r="B18" s="886"/>
      <c r="C18" s="886"/>
      <c r="D18" s="886"/>
      <c r="E18" s="886"/>
      <c r="F18" s="886"/>
      <c r="G18" s="886"/>
    </row>
    <row r="19" spans="1:7" ht="15.75">
      <c r="A19" s="886"/>
      <c r="B19" s="886"/>
      <c r="C19" s="886"/>
      <c r="D19" s="886"/>
      <c r="E19" s="886"/>
      <c r="F19" s="886"/>
      <c r="G19" s="886"/>
    </row>
    <row r="20" ht="15.75">
      <c r="A20" s="53"/>
    </row>
    <row r="21" spans="1:7" ht="15.75">
      <c r="A21" s="890" t="str">
        <f>CONCATENATE("Whereas, ",(inputPrYr!D2)," provides essential services to protect the safety and well being of the citizens of the township; and")</f>
        <v>Whereas, FALL RIVER TOWNSHIP provides essential services to protect the safety and well being of the citizens of the township; and</v>
      </c>
      <c r="B21" s="886"/>
      <c r="C21" s="886"/>
      <c r="D21" s="886"/>
      <c r="E21" s="886"/>
      <c r="F21" s="886"/>
      <c r="G21" s="886"/>
    </row>
    <row r="22" spans="1:7" ht="15.75">
      <c r="A22" s="886"/>
      <c r="B22" s="886"/>
      <c r="C22" s="886"/>
      <c r="D22" s="886"/>
      <c r="E22" s="886"/>
      <c r="F22" s="886"/>
      <c r="G22" s="886"/>
    </row>
    <row r="23" ht="15.75">
      <c r="A23" s="55"/>
    </row>
    <row r="24" ht="15.75">
      <c r="A24" s="54" t="s">
        <v>135</v>
      </c>
    </row>
    <row r="25" ht="15.75">
      <c r="A25" s="55"/>
    </row>
    <row r="26" spans="1:7" ht="15.75">
      <c r="A26" s="890" t="str">
        <f>CONCATENATE("NOW, THEREFORE, BE IT RESOLVED by the Board of ",(inputPrYr!D2)," of ",(inputPrYr!D3),", Kansas that is our desire to notify the public of increased property taxes to finance the ",inputPrYr!D5," ",(inputPrYr!D2),"  budget as defined above.")</f>
        <v>NOW, THEREFORE, BE IT RESOLVED by the Board of FALL RIVER TOWNSHIP of GREENWOOD COUNTY, Kansas that is our desire to notify the public of increased property taxes to finance the 2013 FALL RIVER TOWNSHIP  budget as defined above.</v>
      </c>
      <c r="B26" s="886"/>
      <c r="C26" s="886"/>
      <c r="D26" s="886"/>
      <c r="E26" s="886"/>
      <c r="F26" s="886"/>
      <c r="G26" s="886"/>
    </row>
    <row r="27" spans="1:7" ht="15.75">
      <c r="A27" s="886"/>
      <c r="B27" s="886"/>
      <c r="C27" s="886"/>
      <c r="D27" s="886"/>
      <c r="E27" s="886"/>
      <c r="F27" s="886"/>
      <c r="G27" s="886"/>
    </row>
    <row r="28" spans="1:7" ht="15.75">
      <c r="A28" s="886"/>
      <c r="B28" s="886"/>
      <c r="C28" s="886"/>
      <c r="D28" s="886"/>
      <c r="E28" s="886"/>
      <c r="F28" s="886"/>
      <c r="G28" s="886"/>
    </row>
    <row r="29" ht="15.75">
      <c r="A29" s="55"/>
    </row>
    <row r="30" spans="1:7" ht="15.75">
      <c r="A30" s="893" t="str">
        <f>CONCATENATE("Adopted this _________ day of ___________, ",inputPrYr!D5-1," by the ",(inputPrYr!D2)," Board, ",(inputPrYr!D3),", Kansas.")</f>
        <v>Adopted this _________ day of ___________, 2012 by the FALL RIVER TOWNSHIP Board, GREENWOOD COUNTY, Kansas.</v>
      </c>
      <c r="B30" s="886"/>
      <c r="C30" s="886"/>
      <c r="D30" s="886"/>
      <c r="E30" s="886"/>
      <c r="F30" s="886"/>
      <c r="G30" s="886"/>
    </row>
    <row r="31" spans="1:7" ht="15.75">
      <c r="A31" s="886"/>
      <c r="B31" s="886"/>
      <c r="C31" s="886"/>
      <c r="D31" s="886"/>
      <c r="E31" s="886"/>
      <c r="F31" s="886"/>
      <c r="G31" s="886"/>
    </row>
    <row r="32" ht="15.75">
      <c r="A32" s="55"/>
    </row>
    <row r="33" spans="4:7" ht="15.75">
      <c r="D33" s="891" t="str">
        <f>CONCATENATE((inputPrYr!D2)," Board")</f>
        <v>FALL RIVER TOWNSHIP Board</v>
      </c>
      <c r="E33" s="891"/>
      <c r="F33" s="891"/>
      <c r="G33" s="891"/>
    </row>
    <row r="35" spans="4:7" ht="15.75">
      <c r="D35" s="892" t="s">
        <v>136</v>
      </c>
      <c r="E35" s="892"/>
      <c r="F35" s="892"/>
      <c r="G35" s="892"/>
    </row>
    <row r="36" spans="1:7" ht="15.75">
      <c r="A36" s="56"/>
      <c r="D36" s="892" t="s">
        <v>140</v>
      </c>
      <c r="E36" s="892"/>
      <c r="F36" s="892"/>
      <c r="G36" s="892"/>
    </row>
    <row r="37" spans="4:7" ht="15.75">
      <c r="D37" s="892"/>
      <c r="E37" s="892"/>
      <c r="F37" s="892"/>
      <c r="G37" s="892"/>
    </row>
    <row r="38" spans="4:7" ht="15.75">
      <c r="D38" s="892" t="s">
        <v>136</v>
      </c>
      <c r="E38" s="892"/>
      <c r="F38" s="892"/>
      <c r="G38" s="892"/>
    </row>
    <row r="39" spans="1:7" ht="15.75">
      <c r="A39" s="55"/>
      <c r="D39" s="892" t="s">
        <v>141</v>
      </c>
      <c r="E39" s="892"/>
      <c r="F39" s="892"/>
      <c r="G39" s="892"/>
    </row>
    <row r="40" spans="4:7" ht="15.75">
      <c r="D40" s="892"/>
      <c r="E40" s="892"/>
      <c r="F40" s="892"/>
      <c r="G40" s="892"/>
    </row>
    <row r="41" spans="4:7" ht="15.75">
      <c r="D41" s="892" t="s">
        <v>139</v>
      </c>
      <c r="E41" s="892"/>
      <c r="F41" s="892"/>
      <c r="G41" s="892"/>
    </row>
    <row r="42" spans="1:7" ht="15.75">
      <c r="A42" s="55"/>
      <c r="D42" s="892" t="s">
        <v>142</v>
      </c>
      <c r="E42" s="892"/>
      <c r="F42" s="892"/>
      <c r="G42" s="892"/>
    </row>
    <row r="43" ht="15.75">
      <c r="A43" s="57"/>
    </row>
    <row r="44" ht="15.75">
      <c r="A44" s="57"/>
    </row>
    <row r="45" ht="15.75">
      <c r="A45" s="57" t="s">
        <v>137</v>
      </c>
    </row>
    <row r="50" spans="3:4" ht="15.75">
      <c r="C50" s="68" t="s">
        <v>9</v>
      </c>
      <c r="D50" s="95"/>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5.75">
      <c r="A3" s="408" t="s">
        <v>389</v>
      </c>
    </row>
    <row r="5" ht="15.75">
      <c r="A5" s="409" t="s">
        <v>390</v>
      </c>
    </row>
    <row r="6" ht="15.75">
      <c r="A6" s="409" t="str">
        <f>CONCATENATE(inputPrYr!D5-2," 'total expenditures' exceed your ",inputPrYr!D5-2," 'budget authority.'")</f>
        <v>2011 'total expenditures' exceed your 2011 'budget authority.'</v>
      </c>
    </row>
    <row r="7" ht="15.75">
      <c r="A7" s="409"/>
    </row>
    <row r="8" ht="15.75">
      <c r="A8" s="409" t="s">
        <v>391</v>
      </c>
    </row>
    <row r="9" ht="15.75">
      <c r="A9" s="409" t="s">
        <v>392</v>
      </c>
    </row>
    <row r="10" ht="15.75">
      <c r="A10" s="409" t="s">
        <v>393</v>
      </c>
    </row>
    <row r="11" ht="15.75">
      <c r="A11" s="409"/>
    </row>
    <row r="12" ht="15.75">
      <c r="A12" s="409"/>
    </row>
    <row r="13" ht="15.75">
      <c r="A13" s="410" t="s">
        <v>394</v>
      </c>
    </row>
    <row r="15" ht="15.75">
      <c r="A15" s="409" t="s">
        <v>395</v>
      </c>
    </row>
    <row r="16" ht="15.75">
      <c r="A16" s="409" t="str">
        <f>CONCATENATE("(i.e. an audit has not been completed, or the ",inputPrYr!D5," adopted")</f>
        <v>(i.e. an audit has not been completed, or the 2013 adopted</v>
      </c>
    </row>
    <row r="17" ht="15.75">
      <c r="A17" s="409" t="s">
        <v>396</v>
      </c>
    </row>
    <row r="18" ht="15.75">
      <c r="A18" s="409" t="s">
        <v>397</v>
      </c>
    </row>
    <row r="19" ht="15.75">
      <c r="A19" s="409" t="s">
        <v>398</v>
      </c>
    </row>
    <row r="21" ht="15.75">
      <c r="A21" s="410" t="s">
        <v>399</v>
      </c>
    </row>
    <row r="22" ht="15.75">
      <c r="A22" s="410"/>
    </row>
    <row r="23" ht="15.75">
      <c r="A23" s="409" t="s">
        <v>400</v>
      </c>
    </row>
    <row r="24" ht="15.75">
      <c r="A24" s="409" t="s">
        <v>401</v>
      </c>
    </row>
    <row r="25" ht="15.75">
      <c r="A25" s="409" t="str">
        <f>CONCATENATE("particular fund.  If your ",inputPrYr!D5-2," budget was amended, did you")</f>
        <v>particular fund.  If your 2011 budget was amended, did you</v>
      </c>
    </row>
    <row r="26" ht="15.75">
      <c r="A26" s="409" t="s">
        <v>402</v>
      </c>
    </row>
    <row r="27" ht="15.75">
      <c r="A27" s="409"/>
    </row>
    <row r="28" ht="15.75">
      <c r="A28" s="409" t="str">
        <f>CONCATENATE("Next, look to see if any of your ",inputPrYr!D5-2," expenditures can be")</f>
        <v>Next, look to see if any of your 2011 expenditures can be</v>
      </c>
    </row>
    <row r="29" ht="15.75">
      <c r="A29" s="409" t="s">
        <v>403</v>
      </c>
    </row>
    <row r="30" ht="15.75">
      <c r="A30" s="409" t="s">
        <v>404</v>
      </c>
    </row>
    <row r="31" ht="15.75">
      <c r="A31" s="409" t="s">
        <v>405</v>
      </c>
    </row>
    <row r="32" ht="15.75">
      <c r="A32" s="409"/>
    </row>
    <row r="33" ht="15.75">
      <c r="A33" s="409" t="str">
        <f>CONCATENATE("Additionally, do your ",inputPrYr!D5-2," receipts contain a reimbursement")</f>
        <v>Additionally, do your 2011 receipts contain a reimbursement</v>
      </c>
    </row>
    <row r="34" ht="15.75">
      <c r="A34" s="409" t="s">
        <v>406</v>
      </c>
    </row>
    <row r="35" ht="15.75">
      <c r="A35" s="409" t="s">
        <v>407</v>
      </c>
    </row>
    <row r="36" ht="15.75">
      <c r="A36" s="409"/>
    </row>
    <row r="37" ht="15.75">
      <c r="A37" s="409" t="s">
        <v>408</v>
      </c>
    </row>
    <row r="38" ht="15.75">
      <c r="A38" s="409" t="s">
        <v>409</v>
      </c>
    </row>
    <row r="39" ht="15.75">
      <c r="A39" s="409" t="s">
        <v>410</v>
      </c>
    </row>
    <row r="40" ht="15.75">
      <c r="A40" s="409" t="s">
        <v>411</v>
      </c>
    </row>
    <row r="41" ht="15.75">
      <c r="A41" s="409" t="s">
        <v>412</v>
      </c>
    </row>
    <row r="42" ht="15.75">
      <c r="A42" s="409" t="s">
        <v>413</v>
      </c>
    </row>
    <row r="43" ht="15.75">
      <c r="A43" s="409" t="s">
        <v>414</v>
      </c>
    </row>
    <row r="44" ht="15.75">
      <c r="A44" s="409" t="s">
        <v>415</v>
      </c>
    </row>
    <row r="45" ht="15.75">
      <c r="A45" s="409"/>
    </row>
    <row r="46" ht="15.75">
      <c r="A46" s="409" t="s">
        <v>416</v>
      </c>
    </row>
    <row r="47" ht="15.75">
      <c r="A47" s="409" t="s">
        <v>417</v>
      </c>
    </row>
    <row r="48" ht="15.75">
      <c r="A48" s="409" t="s">
        <v>418</v>
      </c>
    </row>
    <row r="49" ht="15.75">
      <c r="A49" s="409"/>
    </row>
    <row r="50" ht="15.75">
      <c r="A50" s="409" t="s">
        <v>419</v>
      </c>
    </row>
    <row r="51" ht="15.75">
      <c r="A51" s="409" t="s">
        <v>420</v>
      </c>
    </row>
    <row r="52" ht="15.75">
      <c r="A52" s="409" t="s">
        <v>421</v>
      </c>
    </row>
    <row r="53" ht="15.75">
      <c r="A53" s="409"/>
    </row>
    <row r="54" ht="15.75">
      <c r="A54" s="410" t="s">
        <v>422</v>
      </c>
    </row>
    <row r="55" ht="15.75">
      <c r="A55" s="409"/>
    </row>
    <row r="56" ht="15.75">
      <c r="A56" s="409" t="s">
        <v>423</v>
      </c>
    </row>
    <row r="57" ht="15.75">
      <c r="A57" s="409" t="s">
        <v>424</v>
      </c>
    </row>
    <row r="58" ht="15.75">
      <c r="A58" s="409" t="s">
        <v>425</v>
      </c>
    </row>
    <row r="59" ht="15.75">
      <c r="A59" s="409" t="s">
        <v>426</v>
      </c>
    </row>
    <row r="60" ht="15.75">
      <c r="A60" s="409" t="s">
        <v>427</v>
      </c>
    </row>
    <row r="61" ht="15.75">
      <c r="A61" s="409" t="s">
        <v>428</v>
      </c>
    </row>
    <row r="62" ht="15.75">
      <c r="A62" s="409" t="s">
        <v>429</v>
      </c>
    </row>
    <row r="63" ht="15.75">
      <c r="A63" s="409" t="s">
        <v>430</v>
      </c>
    </row>
    <row r="64" ht="15.75">
      <c r="A64" s="409" t="s">
        <v>431</v>
      </c>
    </row>
    <row r="65" ht="15.75">
      <c r="A65" s="409" t="s">
        <v>432</v>
      </c>
    </row>
    <row r="66" ht="15.75">
      <c r="A66" s="409" t="s">
        <v>433</v>
      </c>
    </row>
    <row r="67" ht="15.75">
      <c r="A67" s="409" t="s">
        <v>434</v>
      </c>
    </row>
    <row r="68" ht="15.75">
      <c r="A68" s="409" t="s">
        <v>435</v>
      </c>
    </row>
    <row r="69" ht="15.75">
      <c r="A69" s="409"/>
    </row>
    <row r="70" ht="15.75">
      <c r="A70" s="409" t="s">
        <v>436</v>
      </c>
    </row>
    <row r="71" ht="15.75">
      <c r="A71" s="409" t="s">
        <v>437</v>
      </c>
    </row>
    <row r="72" ht="15.75">
      <c r="A72" s="409" t="s">
        <v>438</v>
      </c>
    </row>
    <row r="73" ht="15.75">
      <c r="A73" s="409"/>
    </row>
    <row r="74" ht="15.75">
      <c r="A74" s="410" t="str">
        <f>CONCATENATE("What if the ",inputPrYr!D5-2," financial records have been closed?")</f>
        <v>What if the 2011 financial records have been closed?</v>
      </c>
    </row>
    <row r="76" ht="15.75">
      <c r="A76" s="409" t="s">
        <v>439</v>
      </c>
    </row>
    <row r="77" ht="15.75">
      <c r="A77" s="409" t="str">
        <f>CONCATENATE("(i.e. an audit for ",inputPrYr!D5-2," has been completed, or the ",inputPrYr!D5)</f>
        <v>(i.e. an audit for 2011 has been completed, or the 2013</v>
      </c>
    </row>
    <row r="78" ht="15.75">
      <c r="A78" s="409" t="s">
        <v>440</v>
      </c>
    </row>
    <row r="79" ht="15.75">
      <c r="A79" s="409" t="s">
        <v>441</v>
      </c>
    </row>
    <row r="80" ht="15.75">
      <c r="A80" s="409"/>
    </row>
    <row r="81" ht="15.75">
      <c r="A81" s="409" t="s">
        <v>442</v>
      </c>
    </row>
    <row r="82" ht="15.75">
      <c r="A82" s="409" t="s">
        <v>443</v>
      </c>
    </row>
    <row r="83" ht="15.75">
      <c r="A83" s="409" t="s">
        <v>444</v>
      </c>
    </row>
    <row r="84" ht="15.75">
      <c r="A84" s="409"/>
    </row>
    <row r="85" ht="15.75">
      <c r="A85" s="40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8" t="s">
        <v>446</v>
      </c>
      <c r="B3" s="408"/>
      <c r="C3" s="408"/>
      <c r="D3" s="408"/>
      <c r="E3" s="408"/>
      <c r="F3" s="408"/>
      <c r="G3" s="408"/>
      <c r="H3" s="411"/>
      <c r="I3" s="411"/>
      <c r="J3" s="411"/>
    </row>
    <row r="5" ht="15.75">
      <c r="A5" s="40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5.75">
      <c r="A13" s="410" t="s">
        <v>452</v>
      </c>
    </row>
    <row r="14" ht="15.75">
      <c r="A14" s="410"/>
    </row>
    <row r="15" ht="15.75">
      <c r="A15" s="409" t="s">
        <v>453</v>
      </c>
    </row>
    <row r="16" ht="15.75">
      <c r="A16" s="409" t="s">
        <v>454</v>
      </c>
    </row>
    <row r="17" ht="15.75">
      <c r="A17" s="409" t="s">
        <v>455</v>
      </c>
    </row>
    <row r="18" ht="15.75">
      <c r="A18" s="409"/>
    </row>
    <row r="19" ht="15.75">
      <c r="A19" s="410" t="s">
        <v>456</v>
      </c>
    </row>
    <row r="20" ht="15.75">
      <c r="A20" s="410"/>
    </row>
    <row r="21" ht="15.75">
      <c r="A21" s="409" t="s">
        <v>457</v>
      </c>
    </row>
    <row r="22" ht="15.75">
      <c r="A22" s="409" t="s">
        <v>458</v>
      </c>
    </row>
    <row r="23" ht="15.75">
      <c r="A23" s="409" t="s">
        <v>459</v>
      </c>
    </row>
    <row r="24" ht="15.75">
      <c r="A24" s="409"/>
    </row>
    <row r="25" ht="15.75">
      <c r="A25" s="410" t="s">
        <v>460</v>
      </c>
    </row>
    <row r="26" ht="15.75">
      <c r="A26" s="410"/>
    </row>
    <row r="27" ht="15.75">
      <c r="A27" s="409" t="s">
        <v>461</v>
      </c>
    </row>
    <row r="28" ht="15.75">
      <c r="A28" s="409" t="s">
        <v>462</v>
      </c>
    </row>
    <row r="29" ht="15.75">
      <c r="A29" s="409" t="s">
        <v>463</v>
      </c>
    </row>
    <row r="30" ht="15.75">
      <c r="A30" s="409"/>
    </row>
    <row r="31" ht="15.75">
      <c r="A31" s="410" t="s">
        <v>464</v>
      </c>
    </row>
    <row r="32" ht="15.75">
      <c r="A32" s="410"/>
    </row>
    <row r="33" spans="1:8" ht="15.75">
      <c r="A33" s="409" t="str">
        <f>CONCATENATE("If your financial records for ",inputPrYr!D5-2," are not closed")</f>
        <v>If your financial records for 2011 are not closed</v>
      </c>
      <c r="B33" s="409"/>
      <c r="C33" s="409"/>
      <c r="D33" s="409"/>
      <c r="E33" s="409"/>
      <c r="F33" s="409"/>
      <c r="G33" s="409"/>
      <c r="H33" s="409"/>
    </row>
    <row r="34" spans="1:8" ht="15.75">
      <c r="A34" s="409" t="str">
        <f>CONCATENATE("(i.e. an audit has not been completed, or the ",inputPrYr!D5," adopted ")</f>
        <v>(i.e. an audit has not been completed, or the 2013 adopted </v>
      </c>
      <c r="B34" s="409"/>
      <c r="C34" s="409"/>
      <c r="D34" s="409"/>
      <c r="E34" s="409"/>
      <c r="F34" s="409"/>
      <c r="G34" s="409"/>
      <c r="H34" s="409"/>
    </row>
    <row r="35" spans="1:8" ht="15.75">
      <c r="A35" s="409" t="s">
        <v>465</v>
      </c>
      <c r="B35" s="409"/>
      <c r="C35" s="409"/>
      <c r="D35" s="409"/>
      <c r="E35" s="409"/>
      <c r="F35" s="409"/>
      <c r="G35" s="409"/>
      <c r="H35" s="409"/>
    </row>
    <row r="36" spans="1:8" ht="15.75">
      <c r="A36" s="409" t="s">
        <v>466</v>
      </c>
      <c r="B36" s="409"/>
      <c r="C36" s="409"/>
      <c r="D36" s="409"/>
      <c r="E36" s="409"/>
      <c r="F36" s="409"/>
      <c r="G36" s="409"/>
      <c r="H36" s="409"/>
    </row>
    <row r="37" spans="1:8" ht="15.75">
      <c r="A37" s="409" t="s">
        <v>467</v>
      </c>
      <c r="B37" s="409"/>
      <c r="C37" s="409"/>
      <c r="D37" s="409"/>
      <c r="E37" s="409"/>
      <c r="F37" s="409"/>
      <c r="G37" s="409"/>
      <c r="H37" s="409"/>
    </row>
    <row r="38" spans="1:8" ht="15.75">
      <c r="A38" s="409" t="s">
        <v>468</v>
      </c>
      <c r="B38" s="409"/>
      <c r="C38" s="409"/>
      <c r="D38" s="409"/>
      <c r="E38" s="409"/>
      <c r="F38" s="409"/>
      <c r="G38" s="409"/>
      <c r="H38" s="409"/>
    </row>
    <row r="39" spans="1:8" ht="15.75">
      <c r="A39" s="409" t="s">
        <v>469</v>
      </c>
      <c r="B39" s="409"/>
      <c r="C39" s="409"/>
      <c r="D39" s="409"/>
      <c r="E39" s="409"/>
      <c r="F39" s="409"/>
      <c r="G39" s="409"/>
      <c r="H39" s="409"/>
    </row>
    <row r="40" spans="1:8" ht="15.75">
      <c r="A40" s="409"/>
      <c r="B40" s="409"/>
      <c r="C40" s="409"/>
      <c r="D40" s="409"/>
      <c r="E40" s="409"/>
      <c r="F40" s="409"/>
      <c r="G40" s="409"/>
      <c r="H40" s="409"/>
    </row>
    <row r="41" spans="1:8" ht="15.75">
      <c r="A41" s="409" t="s">
        <v>470</v>
      </c>
      <c r="B41" s="409"/>
      <c r="C41" s="409"/>
      <c r="D41" s="409"/>
      <c r="E41" s="409"/>
      <c r="F41" s="409"/>
      <c r="G41" s="409"/>
      <c r="H41" s="409"/>
    </row>
    <row r="42" spans="1:8" ht="15.75">
      <c r="A42" s="409" t="s">
        <v>471</v>
      </c>
      <c r="B42" s="409"/>
      <c r="C42" s="409"/>
      <c r="D42" s="409"/>
      <c r="E42" s="409"/>
      <c r="F42" s="409"/>
      <c r="G42" s="409"/>
      <c r="H42" s="409"/>
    </row>
    <row r="43" spans="1:8" ht="15.75">
      <c r="A43" s="409" t="s">
        <v>472</v>
      </c>
      <c r="B43" s="409"/>
      <c r="C43" s="409"/>
      <c r="D43" s="409"/>
      <c r="E43" s="409"/>
      <c r="F43" s="409"/>
      <c r="G43" s="409"/>
      <c r="H43" s="409"/>
    </row>
    <row r="44" spans="1:8" ht="15.75">
      <c r="A44" s="409" t="s">
        <v>473</v>
      </c>
      <c r="B44" s="409"/>
      <c r="C44" s="409"/>
      <c r="D44" s="409"/>
      <c r="E44" s="409"/>
      <c r="F44" s="409"/>
      <c r="G44" s="409"/>
      <c r="H44" s="409"/>
    </row>
    <row r="45" spans="1:8" ht="15.75">
      <c r="A45" s="409"/>
      <c r="B45" s="409"/>
      <c r="C45" s="409"/>
      <c r="D45" s="409"/>
      <c r="E45" s="409"/>
      <c r="F45" s="409"/>
      <c r="G45" s="409"/>
      <c r="H45" s="409"/>
    </row>
    <row r="46" spans="1:8" ht="15.75">
      <c r="A46" s="409" t="s">
        <v>474</v>
      </c>
      <c r="B46" s="409"/>
      <c r="C46" s="409"/>
      <c r="D46" s="409"/>
      <c r="E46" s="409"/>
      <c r="F46" s="409"/>
      <c r="G46" s="409"/>
      <c r="H46" s="409"/>
    </row>
    <row r="47" spans="1:8" ht="15.75">
      <c r="A47" s="409" t="s">
        <v>475</v>
      </c>
      <c r="B47" s="409"/>
      <c r="C47" s="409"/>
      <c r="D47" s="409"/>
      <c r="E47" s="409"/>
      <c r="F47" s="409"/>
      <c r="G47" s="409"/>
      <c r="H47" s="409"/>
    </row>
    <row r="48" spans="1:8" ht="15.75">
      <c r="A48" s="409" t="s">
        <v>476</v>
      </c>
      <c r="B48" s="409"/>
      <c r="C48" s="409"/>
      <c r="D48" s="409"/>
      <c r="E48" s="409"/>
      <c r="F48" s="409"/>
      <c r="G48" s="409"/>
      <c r="H48" s="409"/>
    </row>
    <row r="49" spans="1:8" ht="15.75">
      <c r="A49" s="409" t="s">
        <v>477</v>
      </c>
      <c r="B49" s="409"/>
      <c r="C49" s="409"/>
      <c r="D49" s="409"/>
      <c r="E49" s="409"/>
      <c r="F49" s="409"/>
      <c r="G49" s="409"/>
      <c r="H49" s="409"/>
    </row>
    <row r="50" spans="1:8" ht="15.75">
      <c r="A50" s="409" t="s">
        <v>478</v>
      </c>
      <c r="B50" s="409"/>
      <c r="C50" s="409"/>
      <c r="D50" s="409"/>
      <c r="E50" s="409"/>
      <c r="F50" s="409"/>
      <c r="G50" s="409"/>
      <c r="H50" s="409"/>
    </row>
    <row r="51" spans="1:8" ht="15.75">
      <c r="A51" s="409"/>
      <c r="B51" s="409"/>
      <c r="C51" s="409"/>
      <c r="D51" s="409"/>
      <c r="E51" s="409"/>
      <c r="F51" s="409"/>
      <c r="G51" s="409"/>
      <c r="H51" s="409"/>
    </row>
    <row r="52" spans="1:8" ht="15.75">
      <c r="A52" s="410" t="s">
        <v>479</v>
      </c>
      <c r="B52" s="410"/>
      <c r="C52" s="410"/>
      <c r="D52" s="410"/>
      <c r="E52" s="410"/>
      <c r="F52" s="410"/>
      <c r="G52" s="410"/>
      <c r="H52" s="409"/>
    </row>
    <row r="53" spans="1:8" ht="15.75">
      <c r="A53" s="410" t="s">
        <v>480</v>
      </c>
      <c r="B53" s="410"/>
      <c r="C53" s="410"/>
      <c r="D53" s="410"/>
      <c r="E53" s="410"/>
      <c r="F53" s="410"/>
      <c r="G53" s="410"/>
      <c r="H53" s="409"/>
    </row>
    <row r="54" spans="1:8" ht="15.75">
      <c r="A54" s="409"/>
      <c r="B54" s="409"/>
      <c r="C54" s="409"/>
      <c r="D54" s="409"/>
      <c r="E54" s="409"/>
      <c r="F54" s="409"/>
      <c r="G54" s="409"/>
      <c r="H54" s="409"/>
    </row>
    <row r="55" spans="1:8" ht="15.75">
      <c r="A55" s="409" t="s">
        <v>481</v>
      </c>
      <c r="B55" s="409"/>
      <c r="C55" s="409"/>
      <c r="D55" s="409"/>
      <c r="E55" s="409"/>
      <c r="F55" s="409"/>
      <c r="G55" s="409"/>
      <c r="H55" s="409"/>
    </row>
    <row r="56" spans="1:8" ht="15.75">
      <c r="A56" s="409" t="s">
        <v>482</v>
      </c>
      <c r="B56" s="409"/>
      <c r="C56" s="409"/>
      <c r="D56" s="409"/>
      <c r="E56" s="409"/>
      <c r="F56" s="409"/>
      <c r="G56" s="409"/>
      <c r="H56" s="409"/>
    </row>
    <row r="57" spans="1:8" ht="15.75">
      <c r="A57" s="409" t="s">
        <v>483</v>
      </c>
      <c r="B57" s="409"/>
      <c r="C57" s="409"/>
      <c r="D57" s="409"/>
      <c r="E57" s="409"/>
      <c r="F57" s="409"/>
      <c r="G57" s="409"/>
      <c r="H57" s="409"/>
    </row>
    <row r="58" spans="1:8" ht="15.75">
      <c r="A58" s="409" t="s">
        <v>484</v>
      </c>
      <c r="B58" s="409"/>
      <c r="C58" s="409"/>
      <c r="D58" s="409"/>
      <c r="E58" s="409"/>
      <c r="F58" s="409"/>
      <c r="G58" s="409"/>
      <c r="H58" s="409"/>
    </row>
    <row r="59" spans="1:8" ht="15.75">
      <c r="A59" s="409"/>
      <c r="B59" s="409"/>
      <c r="C59" s="409"/>
      <c r="D59" s="409"/>
      <c r="E59" s="409"/>
      <c r="F59" s="409"/>
      <c r="G59" s="409"/>
      <c r="H59" s="409"/>
    </row>
    <row r="60" spans="1:8" ht="15.75">
      <c r="A60" s="409" t="s">
        <v>485</v>
      </c>
      <c r="B60" s="409"/>
      <c r="C60" s="409"/>
      <c r="D60" s="409"/>
      <c r="E60" s="409"/>
      <c r="F60" s="409"/>
      <c r="G60" s="409"/>
      <c r="H60" s="409"/>
    </row>
    <row r="61" spans="1:8" ht="15.75">
      <c r="A61" s="409" t="s">
        <v>486</v>
      </c>
      <c r="B61" s="409"/>
      <c r="C61" s="409"/>
      <c r="D61" s="409"/>
      <c r="E61" s="409"/>
      <c r="F61" s="409"/>
      <c r="G61" s="409"/>
      <c r="H61" s="409"/>
    </row>
    <row r="62" spans="1:8" ht="15.75">
      <c r="A62" s="409" t="s">
        <v>487</v>
      </c>
      <c r="B62" s="409"/>
      <c r="C62" s="409"/>
      <c r="D62" s="409"/>
      <c r="E62" s="409"/>
      <c r="F62" s="409"/>
      <c r="G62" s="409"/>
      <c r="H62" s="409"/>
    </row>
    <row r="63" spans="1:8" ht="15.75">
      <c r="A63" s="409" t="s">
        <v>488</v>
      </c>
      <c r="B63" s="409"/>
      <c r="C63" s="409"/>
      <c r="D63" s="409"/>
      <c r="E63" s="409"/>
      <c r="F63" s="409"/>
      <c r="G63" s="409"/>
      <c r="H63" s="409"/>
    </row>
    <row r="64" spans="1:8" ht="15.75">
      <c r="A64" s="409" t="s">
        <v>489</v>
      </c>
      <c r="B64" s="409"/>
      <c r="C64" s="409"/>
      <c r="D64" s="409"/>
      <c r="E64" s="409"/>
      <c r="F64" s="409"/>
      <c r="G64" s="409"/>
      <c r="H64" s="409"/>
    </row>
    <row r="65" spans="1:8" ht="15.75">
      <c r="A65" s="409" t="s">
        <v>490</v>
      </c>
      <c r="B65" s="409"/>
      <c r="C65" s="409"/>
      <c r="D65" s="409"/>
      <c r="E65" s="409"/>
      <c r="F65" s="409"/>
      <c r="G65" s="409"/>
      <c r="H65" s="409"/>
    </row>
    <row r="66" spans="1:8" ht="15.75">
      <c r="A66" s="409"/>
      <c r="B66" s="409"/>
      <c r="C66" s="409"/>
      <c r="D66" s="409"/>
      <c r="E66" s="409"/>
      <c r="F66" s="409"/>
      <c r="G66" s="409"/>
      <c r="H66" s="409"/>
    </row>
    <row r="67" spans="1:8" ht="15.75">
      <c r="A67" s="409" t="s">
        <v>491</v>
      </c>
      <c r="B67" s="409"/>
      <c r="C67" s="409"/>
      <c r="D67" s="409"/>
      <c r="E67" s="409"/>
      <c r="F67" s="409"/>
      <c r="G67" s="409"/>
      <c r="H67" s="409"/>
    </row>
    <row r="68" spans="1:8" ht="15.75">
      <c r="A68" s="409" t="s">
        <v>492</v>
      </c>
      <c r="B68" s="409"/>
      <c r="C68" s="409"/>
      <c r="D68" s="409"/>
      <c r="E68" s="409"/>
      <c r="F68" s="409"/>
      <c r="G68" s="409"/>
      <c r="H68" s="409"/>
    </row>
    <row r="69" spans="1:8" ht="15.75">
      <c r="A69" s="409" t="s">
        <v>493</v>
      </c>
      <c r="B69" s="409"/>
      <c r="C69" s="409"/>
      <c r="D69" s="409"/>
      <c r="E69" s="409"/>
      <c r="F69" s="409"/>
      <c r="G69" s="409"/>
      <c r="H69" s="409"/>
    </row>
    <row r="70" spans="1:8" ht="15.75">
      <c r="A70" s="409" t="s">
        <v>494</v>
      </c>
      <c r="B70" s="409"/>
      <c r="C70" s="409"/>
      <c r="D70" s="409"/>
      <c r="E70" s="409"/>
      <c r="F70" s="409"/>
      <c r="G70" s="409"/>
      <c r="H70" s="409"/>
    </row>
    <row r="71" spans="1:8" ht="15.75">
      <c r="A71" s="409" t="s">
        <v>495</v>
      </c>
      <c r="B71" s="409"/>
      <c r="C71" s="409"/>
      <c r="D71" s="409"/>
      <c r="E71" s="409"/>
      <c r="F71" s="409"/>
      <c r="G71" s="409"/>
      <c r="H71" s="409"/>
    </row>
    <row r="72" spans="1:8" ht="15.75">
      <c r="A72" s="409" t="s">
        <v>496</v>
      </c>
      <c r="B72" s="409"/>
      <c r="C72" s="409"/>
      <c r="D72" s="409"/>
      <c r="E72" s="409"/>
      <c r="F72" s="409"/>
      <c r="G72" s="409"/>
      <c r="H72" s="409"/>
    </row>
    <row r="73" spans="1:8" ht="15.75">
      <c r="A73" s="409" t="s">
        <v>497</v>
      </c>
      <c r="B73" s="409"/>
      <c r="C73" s="409"/>
      <c r="D73" s="409"/>
      <c r="E73" s="409"/>
      <c r="F73" s="409"/>
      <c r="G73" s="409"/>
      <c r="H73" s="409"/>
    </row>
    <row r="74" spans="1:8" ht="15.75">
      <c r="A74" s="409"/>
      <c r="B74" s="409"/>
      <c r="C74" s="409"/>
      <c r="D74" s="409"/>
      <c r="E74" s="409"/>
      <c r="F74" s="409"/>
      <c r="G74" s="409"/>
      <c r="H74" s="409"/>
    </row>
    <row r="75" spans="1:8" ht="15.75">
      <c r="A75" s="409" t="s">
        <v>498</v>
      </c>
      <c r="B75" s="409"/>
      <c r="C75" s="409"/>
      <c r="D75" s="409"/>
      <c r="E75" s="409"/>
      <c r="F75" s="409"/>
      <c r="G75" s="409"/>
      <c r="H75" s="409"/>
    </row>
    <row r="76" spans="1:8" ht="15.75">
      <c r="A76" s="409" t="s">
        <v>499</v>
      </c>
      <c r="B76" s="409"/>
      <c r="C76" s="409"/>
      <c r="D76" s="409"/>
      <c r="E76" s="409"/>
      <c r="F76" s="409"/>
      <c r="G76" s="409"/>
      <c r="H76" s="409"/>
    </row>
    <row r="77" spans="1:8" ht="15.75">
      <c r="A77" s="409" t="s">
        <v>500</v>
      </c>
      <c r="B77" s="409"/>
      <c r="C77" s="409"/>
      <c r="D77" s="409"/>
      <c r="E77" s="409"/>
      <c r="F77" s="409"/>
      <c r="G77" s="409"/>
      <c r="H77" s="409"/>
    </row>
    <row r="78" spans="1:8" ht="15.75">
      <c r="A78" s="409"/>
      <c r="B78" s="409"/>
      <c r="C78" s="409"/>
      <c r="D78" s="409"/>
      <c r="E78" s="409"/>
      <c r="F78" s="409"/>
      <c r="G78" s="409"/>
      <c r="H78" s="409"/>
    </row>
    <row r="79" ht="15.75">
      <c r="A79" s="409" t="s">
        <v>445</v>
      </c>
    </row>
    <row r="80" ht="15.75">
      <c r="A80" s="410"/>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1" ht="15.75">
      <c r="A91"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3" ht="15.75">
      <c r="A103" s="409"/>
    </row>
    <row r="104" ht="15.75">
      <c r="A104" s="409"/>
    </row>
    <row r="105" ht="15.75">
      <c r="A105" s="409"/>
    </row>
    <row r="107" ht="15.75">
      <c r="A107" s="410"/>
    </row>
    <row r="108" ht="15.75">
      <c r="A108" s="410"/>
    </row>
    <row r="109" ht="15.7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8" t="s">
        <v>501</v>
      </c>
      <c r="B3" s="408"/>
      <c r="C3" s="408"/>
      <c r="D3" s="408"/>
      <c r="E3" s="408"/>
      <c r="F3" s="408"/>
      <c r="G3" s="408"/>
      <c r="H3" s="408"/>
      <c r="I3" s="408"/>
      <c r="J3" s="408"/>
      <c r="K3" s="408"/>
      <c r="L3" s="408"/>
    </row>
    <row r="4" spans="1:12" ht="15.75">
      <c r="A4" s="408"/>
      <c r="B4" s="408"/>
      <c r="C4" s="408"/>
      <c r="D4" s="408"/>
      <c r="E4" s="408"/>
      <c r="F4" s="408"/>
      <c r="G4" s="408"/>
      <c r="H4" s="408"/>
      <c r="I4" s="408"/>
      <c r="J4" s="408"/>
      <c r="K4" s="408"/>
      <c r="L4" s="408"/>
    </row>
    <row r="5" spans="1:12" ht="15.75">
      <c r="A5" s="409" t="s">
        <v>390</v>
      </c>
      <c r="I5" s="408"/>
      <c r="J5" s="408"/>
      <c r="K5" s="408"/>
      <c r="L5" s="408"/>
    </row>
    <row r="6" spans="1:12" ht="15.75">
      <c r="A6" s="409" t="str">
        <f>CONCATENATE("estimated ",inputPrYr!D5-1," 'total expenditures' exceed your ",inputPrYr!D5-1,"")</f>
        <v>estimated 2012 'total expenditures' exceed your 2012</v>
      </c>
      <c r="I6" s="408"/>
      <c r="J6" s="408"/>
      <c r="K6" s="408"/>
      <c r="L6" s="408"/>
    </row>
    <row r="7" spans="1:12" ht="15.75">
      <c r="A7" s="412" t="s">
        <v>502</v>
      </c>
      <c r="I7" s="408"/>
      <c r="J7" s="408"/>
      <c r="K7" s="408"/>
      <c r="L7" s="408"/>
    </row>
    <row r="8" spans="1:12" ht="15.75">
      <c r="A8" s="409"/>
      <c r="I8" s="408"/>
      <c r="J8" s="408"/>
      <c r="K8" s="408"/>
      <c r="L8" s="408"/>
    </row>
    <row r="9" spans="1:12" ht="15.75">
      <c r="A9" s="409" t="s">
        <v>503</v>
      </c>
      <c r="I9" s="408"/>
      <c r="J9" s="408"/>
      <c r="K9" s="408"/>
      <c r="L9" s="408"/>
    </row>
    <row r="10" spans="1:12" ht="15.75">
      <c r="A10" s="409" t="s">
        <v>504</v>
      </c>
      <c r="I10" s="408"/>
      <c r="J10" s="408"/>
      <c r="K10" s="408"/>
      <c r="L10" s="408"/>
    </row>
    <row r="11" spans="1:12" ht="15.75">
      <c r="A11" s="409" t="s">
        <v>505</v>
      </c>
      <c r="I11" s="408"/>
      <c r="J11" s="408"/>
      <c r="K11" s="408"/>
      <c r="L11" s="408"/>
    </row>
    <row r="12" spans="1:12" ht="15.75">
      <c r="A12" s="409" t="s">
        <v>506</v>
      </c>
      <c r="I12" s="408"/>
      <c r="J12" s="408"/>
      <c r="K12" s="408"/>
      <c r="L12" s="408"/>
    </row>
    <row r="13" spans="1:12" ht="15.75">
      <c r="A13" s="409" t="s">
        <v>507</v>
      </c>
      <c r="I13" s="408"/>
      <c r="J13" s="408"/>
      <c r="K13" s="408"/>
      <c r="L13" s="408"/>
    </row>
    <row r="14" spans="1:12" ht="15.75">
      <c r="A14" s="408"/>
      <c r="B14" s="408"/>
      <c r="C14" s="408"/>
      <c r="D14" s="408"/>
      <c r="E14" s="408"/>
      <c r="F14" s="408"/>
      <c r="G14" s="408"/>
      <c r="H14" s="408"/>
      <c r="I14" s="408"/>
      <c r="J14" s="408"/>
      <c r="K14" s="408"/>
      <c r="L14" s="408"/>
    </row>
    <row r="15" ht="15.75">
      <c r="A15" s="410" t="s">
        <v>508</v>
      </c>
    </row>
    <row r="16" ht="15.75">
      <c r="A16" s="410" t="s">
        <v>509</v>
      </c>
    </row>
    <row r="17" ht="15.75">
      <c r="A17" s="410"/>
    </row>
    <row r="18" spans="1:7" ht="15.75">
      <c r="A18" s="409" t="s">
        <v>510</v>
      </c>
      <c r="B18" s="409"/>
      <c r="C18" s="409"/>
      <c r="D18" s="409"/>
      <c r="E18" s="409"/>
      <c r="F18" s="409"/>
      <c r="G18" s="409"/>
    </row>
    <row r="19" spans="1:7" ht="15.75">
      <c r="A19" s="409" t="str">
        <f>CONCATENATE("your ",inputPrYr!D5-1," numbers to see what steps might be necessary to")</f>
        <v>your 2012 numbers to see what steps might be necessary to</v>
      </c>
      <c r="B19" s="409"/>
      <c r="C19" s="409"/>
      <c r="D19" s="409"/>
      <c r="E19" s="409"/>
      <c r="F19" s="409"/>
      <c r="G19" s="409"/>
    </row>
    <row r="20" spans="1:7" ht="15.75">
      <c r="A20" s="409" t="s">
        <v>511</v>
      </c>
      <c r="B20" s="409"/>
      <c r="C20" s="409"/>
      <c r="D20" s="409"/>
      <c r="E20" s="409"/>
      <c r="F20" s="409"/>
      <c r="G20" s="409"/>
    </row>
    <row r="21" spans="1:7" ht="15.75">
      <c r="A21" s="409" t="s">
        <v>512</v>
      </c>
      <c r="B21" s="409"/>
      <c r="C21" s="409"/>
      <c r="D21" s="409"/>
      <c r="E21" s="409"/>
      <c r="F21" s="409"/>
      <c r="G21" s="409"/>
    </row>
    <row r="22" ht="15.75">
      <c r="A22" s="409"/>
    </row>
    <row r="23" ht="15.75">
      <c r="A23" s="410" t="s">
        <v>513</v>
      </c>
    </row>
    <row r="24" ht="15.75">
      <c r="A24" s="410"/>
    </row>
    <row r="25" ht="15.75">
      <c r="A25" s="409" t="s">
        <v>514</v>
      </c>
    </row>
    <row r="26" spans="1:6" ht="15.75">
      <c r="A26" s="409" t="s">
        <v>515</v>
      </c>
      <c r="B26" s="409"/>
      <c r="C26" s="409"/>
      <c r="D26" s="409"/>
      <c r="E26" s="409"/>
      <c r="F26" s="409"/>
    </row>
    <row r="27" spans="1:6" ht="15.75">
      <c r="A27" s="409" t="s">
        <v>516</v>
      </c>
      <c r="B27" s="409"/>
      <c r="C27" s="409"/>
      <c r="D27" s="409"/>
      <c r="E27" s="409"/>
      <c r="F27" s="409"/>
    </row>
    <row r="28" spans="1:6" ht="15.75">
      <c r="A28" s="409" t="s">
        <v>517</v>
      </c>
      <c r="B28" s="409"/>
      <c r="C28" s="409"/>
      <c r="D28" s="409"/>
      <c r="E28" s="409"/>
      <c r="F28" s="409"/>
    </row>
    <row r="29" spans="1:6" ht="15.75">
      <c r="A29" s="409"/>
      <c r="B29" s="409"/>
      <c r="C29" s="409"/>
      <c r="D29" s="409"/>
      <c r="E29" s="409"/>
      <c r="F29" s="409"/>
    </row>
    <row r="30" spans="1:7" ht="15.75">
      <c r="A30" s="410" t="s">
        <v>518</v>
      </c>
      <c r="B30" s="410"/>
      <c r="C30" s="410"/>
      <c r="D30" s="410"/>
      <c r="E30" s="410"/>
      <c r="F30" s="410"/>
      <c r="G30" s="410"/>
    </row>
    <row r="31" spans="1:7" ht="15.75">
      <c r="A31" s="410" t="s">
        <v>519</v>
      </c>
      <c r="B31" s="410"/>
      <c r="C31" s="410"/>
      <c r="D31" s="410"/>
      <c r="E31" s="410"/>
      <c r="F31" s="410"/>
      <c r="G31" s="410"/>
    </row>
    <row r="32" spans="1:6" ht="15.75">
      <c r="A32" s="409"/>
      <c r="B32" s="409"/>
      <c r="C32" s="409"/>
      <c r="D32" s="409"/>
      <c r="E32" s="409"/>
      <c r="F32" s="409"/>
    </row>
    <row r="33" spans="1:6" ht="15.75">
      <c r="A33" s="413" t="str">
        <f>CONCATENATE("Well, let's look to see if any of your ",inputPrYr!D5-1," expenditures can")</f>
        <v>Well, let's look to see if any of your 2012 expenditures can</v>
      </c>
      <c r="B33" s="409"/>
      <c r="C33" s="409"/>
      <c r="D33" s="409"/>
      <c r="E33" s="409"/>
      <c r="F33" s="409"/>
    </row>
    <row r="34" spans="1:6" ht="15.75">
      <c r="A34" s="413" t="s">
        <v>520</v>
      </c>
      <c r="B34" s="409"/>
      <c r="C34" s="409"/>
      <c r="D34" s="409"/>
      <c r="E34" s="409"/>
      <c r="F34" s="409"/>
    </row>
    <row r="35" spans="1:6" ht="15.75">
      <c r="A35" s="413" t="s">
        <v>404</v>
      </c>
      <c r="B35" s="409"/>
      <c r="C35" s="409"/>
      <c r="D35" s="409"/>
      <c r="E35" s="409"/>
      <c r="F35" s="409"/>
    </row>
    <row r="36" spans="1:6" ht="15.75">
      <c r="A36" s="413" t="s">
        <v>405</v>
      </c>
      <c r="B36" s="409"/>
      <c r="C36" s="409"/>
      <c r="D36" s="409"/>
      <c r="E36" s="409"/>
      <c r="F36" s="409"/>
    </row>
    <row r="37" spans="1:6" ht="15.75">
      <c r="A37" s="413"/>
      <c r="B37" s="409"/>
      <c r="C37" s="409"/>
      <c r="D37" s="409"/>
      <c r="E37" s="409"/>
      <c r="F37" s="409"/>
    </row>
    <row r="38" spans="1:6" ht="15.75">
      <c r="A38" s="413" t="str">
        <f>CONCATENATE("Additionally, do your ",inputPrYr!D5-1," receipts contain a reimbursement")</f>
        <v>Additionally, do your 2012 receipts contain a reimbursement</v>
      </c>
      <c r="B38" s="409"/>
      <c r="C38" s="409"/>
      <c r="D38" s="409"/>
      <c r="E38" s="409"/>
      <c r="F38" s="409"/>
    </row>
    <row r="39" spans="1:6" ht="15.75">
      <c r="A39" s="413" t="s">
        <v>406</v>
      </c>
      <c r="B39" s="409"/>
      <c r="C39" s="409"/>
      <c r="D39" s="409"/>
      <c r="E39" s="409"/>
      <c r="F39" s="409"/>
    </row>
    <row r="40" spans="1:6" ht="15.75">
      <c r="A40" s="413" t="s">
        <v>407</v>
      </c>
      <c r="B40" s="409"/>
      <c r="C40" s="409"/>
      <c r="D40" s="409"/>
      <c r="E40" s="409"/>
      <c r="F40" s="409"/>
    </row>
    <row r="41" spans="1:6" ht="15.75">
      <c r="A41" s="413"/>
      <c r="B41" s="409"/>
      <c r="C41" s="409"/>
      <c r="D41" s="409"/>
      <c r="E41" s="409"/>
      <c r="F41" s="409"/>
    </row>
    <row r="42" spans="1:6" ht="15.75">
      <c r="A42" s="413" t="s">
        <v>408</v>
      </c>
      <c r="B42" s="409"/>
      <c r="C42" s="409"/>
      <c r="D42" s="409"/>
      <c r="E42" s="409"/>
      <c r="F42" s="409"/>
    </row>
    <row r="43" spans="1:6" ht="15.75">
      <c r="A43" s="413" t="s">
        <v>409</v>
      </c>
      <c r="B43" s="409"/>
      <c r="C43" s="409"/>
      <c r="D43" s="409"/>
      <c r="E43" s="409"/>
      <c r="F43" s="409"/>
    </row>
    <row r="44" spans="1:6" ht="15.75">
      <c r="A44" s="413" t="s">
        <v>410</v>
      </c>
      <c r="B44" s="409"/>
      <c r="C44" s="409"/>
      <c r="D44" s="409"/>
      <c r="E44" s="409"/>
      <c r="F44" s="409"/>
    </row>
    <row r="45" spans="1:6" ht="15.75">
      <c r="A45" s="413" t="s">
        <v>521</v>
      </c>
      <c r="B45" s="409"/>
      <c r="C45" s="409"/>
      <c r="D45" s="409"/>
      <c r="E45" s="409"/>
      <c r="F45" s="409"/>
    </row>
    <row r="46" spans="1:6" ht="15.75">
      <c r="A46" s="413" t="s">
        <v>412</v>
      </c>
      <c r="B46" s="409"/>
      <c r="C46" s="409"/>
      <c r="D46" s="409"/>
      <c r="E46" s="409"/>
      <c r="F46" s="409"/>
    </row>
    <row r="47" spans="1:6" ht="15.75">
      <c r="A47" s="413" t="s">
        <v>522</v>
      </c>
      <c r="B47" s="409"/>
      <c r="C47" s="409"/>
      <c r="D47" s="409"/>
      <c r="E47" s="409"/>
      <c r="F47" s="409"/>
    </row>
    <row r="48" spans="1:6" ht="15.75">
      <c r="A48" s="413" t="s">
        <v>523</v>
      </c>
      <c r="B48" s="409"/>
      <c r="C48" s="409"/>
      <c r="D48" s="409"/>
      <c r="E48" s="409"/>
      <c r="F48" s="409"/>
    </row>
    <row r="49" spans="1:6" ht="15.75">
      <c r="A49" s="413" t="s">
        <v>415</v>
      </c>
      <c r="B49" s="409"/>
      <c r="C49" s="409"/>
      <c r="D49" s="409"/>
      <c r="E49" s="409"/>
      <c r="F49" s="409"/>
    </row>
    <row r="50" spans="1:6" ht="15.75">
      <c r="A50" s="413"/>
      <c r="B50" s="409"/>
      <c r="C50" s="409"/>
      <c r="D50" s="409"/>
      <c r="E50" s="409"/>
      <c r="F50" s="409"/>
    </row>
    <row r="51" spans="1:6" ht="15.75">
      <c r="A51" s="413" t="s">
        <v>416</v>
      </c>
      <c r="B51" s="409"/>
      <c r="C51" s="409"/>
      <c r="D51" s="409"/>
      <c r="E51" s="409"/>
      <c r="F51" s="409"/>
    </row>
    <row r="52" spans="1:6" ht="15.75">
      <c r="A52" s="413" t="s">
        <v>417</v>
      </c>
      <c r="B52" s="409"/>
      <c r="C52" s="409"/>
      <c r="D52" s="409"/>
      <c r="E52" s="409"/>
      <c r="F52" s="409"/>
    </row>
    <row r="53" spans="1:6" ht="15.75">
      <c r="A53" s="413" t="s">
        <v>418</v>
      </c>
      <c r="B53" s="409"/>
      <c r="C53" s="409"/>
      <c r="D53" s="409"/>
      <c r="E53" s="409"/>
      <c r="F53" s="409"/>
    </row>
    <row r="54" spans="1:6" ht="15.75">
      <c r="A54" s="413"/>
      <c r="B54" s="409"/>
      <c r="C54" s="409"/>
      <c r="D54" s="409"/>
      <c r="E54" s="409"/>
      <c r="F54" s="409"/>
    </row>
    <row r="55" spans="1:6" ht="15.75">
      <c r="A55" s="413" t="s">
        <v>524</v>
      </c>
      <c r="B55" s="409"/>
      <c r="C55" s="409"/>
      <c r="D55" s="409"/>
      <c r="E55" s="409"/>
      <c r="F55" s="409"/>
    </row>
    <row r="56" spans="1:6" ht="15.75">
      <c r="A56" s="413" t="s">
        <v>525</v>
      </c>
      <c r="B56" s="409"/>
      <c r="C56" s="409"/>
      <c r="D56" s="409"/>
      <c r="E56" s="409"/>
      <c r="F56" s="409"/>
    </row>
    <row r="57" spans="1:6" ht="15.75">
      <c r="A57" s="413" t="s">
        <v>526</v>
      </c>
      <c r="B57" s="409"/>
      <c r="C57" s="409"/>
      <c r="D57" s="409"/>
      <c r="E57" s="409"/>
      <c r="F57" s="409"/>
    </row>
    <row r="58" spans="1:6" ht="15.75">
      <c r="A58" s="413" t="s">
        <v>527</v>
      </c>
      <c r="B58" s="409"/>
      <c r="C58" s="409"/>
      <c r="D58" s="409"/>
      <c r="E58" s="409"/>
      <c r="F58" s="409"/>
    </row>
    <row r="59" spans="1:6" ht="15.75">
      <c r="A59" s="413" t="s">
        <v>528</v>
      </c>
      <c r="B59" s="409"/>
      <c r="C59" s="409"/>
      <c r="D59" s="409"/>
      <c r="E59" s="409"/>
      <c r="F59" s="409"/>
    </row>
    <row r="60" spans="1:6" ht="15.75">
      <c r="A60" s="413"/>
      <c r="B60" s="409"/>
      <c r="C60" s="409"/>
      <c r="D60" s="409"/>
      <c r="E60" s="409"/>
      <c r="F60" s="409"/>
    </row>
    <row r="61" spans="1:6" ht="15.75">
      <c r="A61" s="414" t="s">
        <v>529</v>
      </c>
      <c r="B61" s="409"/>
      <c r="C61" s="409"/>
      <c r="D61" s="409"/>
      <c r="E61" s="409"/>
      <c r="F61" s="409"/>
    </row>
    <row r="62" spans="1:6" ht="15.75">
      <c r="A62" s="414" t="s">
        <v>530</v>
      </c>
      <c r="B62" s="409"/>
      <c r="C62" s="409"/>
      <c r="D62" s="409"/>
      <c r="E62" s="409"/>
      <c r="F62" s="409"/>
    </row>
    <row r="63" spans="1:6" ht="15.75">
      <c r="A63" s="414" t="s">
        <v>531</v>
      </c>
      <c r="B63" s="409"/>
      <c r="C63" s="409"/>
      <c r="D63" s="409"/>
      <c r="E63" s="409"/>
      <c r="F63" s="409"/>
    </row>
    <row r="64" ht="15.75">
      <c r="A64" s="414" t="s">
        <v>532</v>
      </c>
    </row>
    <row r="65" ht="15.75">
      <c r="A65" s="414" t="s">
        <v>533</v>
      </c>
    </row>
    <row r="66" ht="15.75">
      <c r="A66" s="414" t="s">
        <v>534</v>
      </c>
    </row>
    <row r="68" ht="15.75">
      <c r="A68" s="409" t="s">
        <v>535</v>
      </c>
    </row>
    <row r="69" ht="15.75">
      <c r="A69" s="409" t="s">
        <v>536</v>
      </c>
    </row>
    <row r="70" ht="15.75">
      <c r="A70" s="409" t="s">
        <v>537</v>
      </c>
    </row>
    <row r="71" ht="15.75">
      <c r="A71" s="409" t="s">
        <v>538</v>
      </c>
    </row>
    <row r="72" ht="15.75">
      <c r="A72" s="409" t="s">
        <v>539</v>
      </c>
    </row>
    <row r="73" ht="15.75">
      <c r="A73" s="409" t="s">
        <v>540</v>
      </c>
    </row>
    <row r="75" ht="15.75">
      <c r="A75" s="409"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8" t="s">
        <v>541</v>
      </c>
      <c r="B3" s="408"/>
      <c r="C3" s="408"/>
      <c r="D3" s="408"/>
      <c r="E3" s="408"/>
      <c r="F3" s="408"/>
      <c r="G3" s="408"/>
    </row>
    <row r="4" spans="1:7" ht="15.75">
      <c r="A4" s="408"/>
      <c r="B4" s="408"/>
      <c r="C4" s="408"/>
      <c r="D4" s="408"/>
      <c r="E4" s="408"/>
      <c r="F4" s="408"/>
      <c r="G4" s="408"/>
    </row>
    <row r="5" ht="15.75">
      <c r="A5" s="409" t="s">
        <v>447</v>
      </c>
    </row>
    <row r="6" ht="15.75">
      <c r="A6" s="409" t="str">
        <f>CONCATENATE(inputPrYr!D5," estimated expenditures show that at the end of this year")</f>
        <v>2013 estimated expenditures show that at the end of this year</v>
      </c>
    </row>
    <row r="7" ht="15.75">
      <c r="A7" s="409" t="s">
        <v>542</v>
      </c>
    </row>
    <row r="8" ht="15.75">
      <c r="A8" s="409" t="s">
        <v>543</v>
      </c>
    </row>
    <row r="10" ht="15.75">
      <c r="A10" t="s">
        <v>449</v>
      </c>
    </row>
    <row r="11" ht="15.75">
      <c r="A11" t="s">
        <v>450</v>
      </c>
    </row>
    <row r="12" ht="15.75">
      <c r="A12" t="s">
        <v>451</v>
      </c>
    </row>
    <row r="13" spans="1:7" ht="15.75">
      <c r="A13" s="408"/>
      <c r="B13" s="408"/>
      <c r="C13" s="408"/>
      <c r="D13" s="408"/>
      <c r="E13" s="408"/>
      <c r="F13" s="408"/>
      <c r="G13" s="408"/>
    </row>
    <row r="14" ht="15.75">
      <c r="A14" s="410" t="s">
        <v>544</v>
      </c>
    </row>
    <row r="15" ht="15.75">
      <c r="A15" s="409"/>
    </row>
    <row r="16" ht="15.75">
      <c r="A16" s="409" t="s">
        <v>545</v>
      </c>
    </row>
    <row r="17" ht="15.75">
      <c r="A17" s="409" t="s">
        <v>546</v>
      </c>
    </row>
    <row r="18" ht="15.75">
      <c r="A18" s="409" t="s">
        <v>547</v>
      </c>
    </row>
    <row r="19" ht="15.75">
      <c r="A19" s="409"/>
    </row>
    <row r="20" ht="15.75">
      <c r="A20" s="409" t="s">
        <v>548</v>
      </c>
    </row>
    <row r="21" ht="15.75">
      <c r="A21" s="409" t="s">
        <v>549</v>
      </c>
    </row>
    <row r="22" ht="15.75">
      <c r="A22" s="409" t="s">
        <v>550</v>
      </c>
    </row>
    <row r="23" ht="15.75">
      <c r="A23" s="409" t="s">
        <v>551</v>
      </c>
    </row>
    <row r="24" ht="15.75">
      <c r="A24" s="409"/>
    </row>
    <row r="25" ht="15.75">
      <c r="A25" s="410" t="s">
        <v>513</v>
      </c>
    </row>
    <row r="26" ht="15.75">
      <c r="A26" s="410"/>
    </row>
    <row r="27" ht="15.75">
      <c r="A27" s="409" t="s">
        <v>514</v>
      </c>
    </row>
    <row r="28" spans="1:6" ht="15.75">
      <c r="A28" s="409" t="s">
        <v>515</v>
      </c>
      <c r="B28" s="409"/>
      <c r="C28" s="409"/>
      <c r="D28" s="409"/>
      <c r="E28" s="409"/>
      <c r="F28" s="409"/>
    </row>
    <row r="29" spans="1:6" ht="15.75">
      <c r="A29" s="409" t="s">
        <v>516</v>
      </c>
      <c r="B29" s="409"/>
      <c r="C29" s="409"/>
      <c r="D29" s="409"/>
      <c r="E29" s="409"/>
      <c r="F29" s="409"/>
    </row>
    <row r="30" spans="1:6" ht="15.75">
      <c r="A30" s="409" t="s">
        <v>517</v>
      </c>
      <c r="B30" s="409"/>
      <c r="C30" s="409"/>
      <c r="D30" s="409"/>
      <c r="E30" s="409"/>
      <c r="F30" s="409"/>
    </row>
    <row r="31" ht="15.75">
      <c r="A31" s="409"/>
    </row>
    <row r="32" spans="1:7" ht="15.75">
      <c r="A32" s="410" t="s">
        <v>518</v>
      </c>
      <c r="B32" s="410"/>
      <c r="C32" s="410"/>
      <c r="D32" s="410"/>
      <c r="E32" s="410"/>
      <c r="F32" s="410"/>
      <c r="G32" s="410"/>
    </row>
    <row r="33" spans="1:7" ht="15.75">
      <c r="A33" s="410" t="s">
        <v>519</v>
      </c>
      <c r="B33" s="410"/>
      <c r="C33" s="410"/>
      <c r="D33" s="410"/>
      <c r="E33" s="410"/>
      <c r="F33" s="410"/>
      <c r="G33" s="410"/>
    </row>
    <row r="34" spans="1:7" ht="15.75">
      <c r="A34" s="410"/>
      <c r="B34" s="410"/>
      <c r="C34" s="410"/>
      <c r="D34" s="410"/>
      <c r="E34" s="410"/>
      <c r="F34" s="410"/>
      <c r="G34" s="410"/>
    </row>
    <row r="35" spans="1:7" ht="15.75">
      <c r="A35" s="409" t="s">
        <v>552</v>
      </c>
      <c r="B35" s="409"/>
      <c r="C35" s="409"/>
      <c r="D35" s="409"/>
      <c r="E35" s="409"/>
      <c r="F35" s="409"/>
      <c r="G35" s="409"/>
    </row>
    <row r="36" spans="1:7" ht="15.75">
      <c r="A36" s="409" t="s">
        <v>553</v>
      </c>
      <c r="B36" s="409"/>
      <c r="C36" s="409"/>
      <c r="D36" s="409"/>
      <c r="E36" s="409"/>
      <c r="F36" s="409"/>
      <c r="G36" s="409"/>
    </row>
    <row r="37" spans="1:7" ht="15.75">
      <c r="A37" s="409" t="s">
        <v>554</v>
      </c>
      <c r="B37" s="409"/>
      <c r="C37" s="409"/>
      <c r="D37" s="409"/>
      <c r="E37" s="409"/>
      <c r="F37" s="409"/>
      <c r="G37" s="409"/>
    </row>
    <row r="38" spans="1:7" ht="15.75">
      <c r="A38" s="409" t="s">
        <v>555</v>
      </c>
      <c r="B38" s="409"/>
      <c r="C38" s="409"/>
      <c r="D38" s="409"/>
      <c r="E38" s="409"/>
      <c r="F38" s="409"/>
      <c r="G38" s="409"/>
    </row>
    <row r="39" spans="1:7" ht="15.75">
      <c r="A39" s="409" t="s">
        <v>556</v>
      </c>
      <c r="B39" s="409"/>
      <c r="C39" s="409"/>
      <c r="D39" s="409"/>
      <c r="E39" s="409"/>
      <c r="F39" s="409"/>
      <c r="G39" s="409"/>
    </row>
    <row r="40" spans="1:7" ht="15.75">
      <c r="A40" s="410"/>
      <c r="B40" s="410"/>
      <c r="C40" s="410"/>
      <c r="D40" s="410"/>
      <c r="E40" s="410"/>
      <c r="F40" s="410"/>
      <c r="G40" s="410"/>
    </row>
    <row r="41" spans="1:6" ht="15.75">
      <c r="A41" s="413" t="str">
        <f>CONCATENATE("So, let's look to see if any of your ",inputPrYr!D5-1," expenditures can")</f>
        <v>So, let's look to see if any of your 2012 expenditures can</v>
      </c>
      <c r="B41" s="409"/>
      <c r="C41" s="409"/>
      <c r="D41" s="409"/>
      <c r="E41" s="409"/>
      <c r="F41" s="409"/>
    </row>
    <row r="42" spans="1:6" ht="15.75">
      <c r="A42" s="413" t="s">
        <v>520</v>
      </c>
      <c r="B42" s="409"/>
      <c r="C42" s="409"/>
      <c r="D42" s="409"/>
      <c r="E42" s="409"/>
      <c r="F42" s="409"/>
    </row>
    <row r="43" spans="1:6" ht="15.75">
      <c r="A43" s="413" t="s">
        <v>404</v>
      </c>
      <c r="B43" s="409"/>
      <c r="C43" s="409"/>
      <c r="D43" s="409"/>
      <c r="E43" s="409"/>
      <c r="F43" s="409"/>
    </row>
    <row r="44" spans="1:6" ht="15.75">
      <c r="A44" s="413" t="s">
        <v>405</v>
      </c>
      <c r="B44" s="409"/>
      <c r="C44" s="409"/>
      <c r="D44" s="409"/>
      <c r="E44" s="409"/>
      <c r="F44" s="409"/>
    </row>
    <row r="45" ht="15.75">
      <c r="A45" s="409"/>
    </row>
    <row r="46" spans="1:6" ht="15.75">
      <c r="A46" s="413" t="str">
        <f>CONCATENATE("Additionally, do your ",inputPrYr!D5-1," receipts contain a reimbursement")</f>
        <v>Additionally, do your 2012 receipts contain a reimbursement</v>
      </c>
      <c r="B46" s="409"/>
      <c r="C46" s="409"/>
      <c r="D46" s="409"/>
      <c r="E46" s="409"/>
      <c r="F46" s="409"/>
    </row>
    <row r="47" spans="1:6" ht="15.75">
      <c r="A47" s="413" t="s">
        <v>406</v>
      </c>
      <c r="B47" s="409"/>
      <c r="C47" s="409"/>
      <c r="D47" s="409"/>
      <c r="E47" s="409"/>
      <c r="F47" s="409"/>
    </row>
    <row r="48" spans="1:6" ht="15.75">
      <c r="A48" s="413" t="s">
        <v>407</v>
      </c>
      <c r="B48" s="409"/>
      <c r="C48" s="409"/>
      <c r="D48" s="409"/>
      <c r="E48" s="409"/>
      <c r="F48" s="409"/>
    </row>
    <row r="49" spans="1:7" ht="15.75">
      <c r="A49" s="409"/>
      <c r="B49" s="409"/>
      <c r="C49" s="409"/>
      <c r="D49" s="409"/>
      <c r="E49" s="409"/>
      <c r="F49" s="409"/>
      <c r="G49" s="409"/>
    </row>
    <row r="50" spans="1:7" ht="15.75">
      <c r="A50" s="409" t="s">
        <v>474</v>
      </c>
      <c r="B50" s="409"/>
      <c r="C50" s="409"/>
      <c r="D50" s="409"/>
      <c r="E50" s="409"/>
      <c r="F50" s="409"/>
      <c r="G50" s="409"/>
    </row>
    <row r="51" spans="1:7" ht="15.75">
      <c r="A51" s="409" t="s">
        <v>475</v>
      </c>
      <c r="B51" s="409"/>
      <c r="C51" s="409"/>
      <c r="D51" s="409"/>
      <c r="E51" s="409"/>
      <c r="F51" s="409"/>
      <c r="G51" s="409"/>
    </row>
    <row r="52" spans="1:7" ht="15.75">
      <c r="A52" s="409" t="s">
        <v>476</v>
      </c>
      <c r="B52" s="409"/>
      <c r="C52" s="409"/>
      <c r="D52" s="409"/>
      <c r="E52" s="409"/>
      <c r="F52" s="409"/>
      <c r="G52" s="409"/>
    </row>
    <row r="53" spans="1:7" ht="15.75">
      <c r="A53" s="409" t="s">
        <v>477</v>
      </c>
      <c r="B53" s="409"/>
      <c r="C53" s="409"/>
      <c r="D53" s="409"/>
      <c r="E53" s="409"/>
      <c r="F53" s="409"/>
      <c r="G53" s="409"/>
    </row>
    <row r="54" spans="1:7" ht="15.75">
      <c r="A54" s="409" t="s">
        <v>478</v>
      </c>
      <c r="B54" s="409"/>
      <c r="C54" s="409"/>
      <c r="D54" s="409"/>
      <c r="E54" s="409"/>
      <c r="F54" s="409"/>
      <c r="G54" s="409"/>
    </row>
    <row r="55" spans="1:7" ht="15.75">
      <c r="A55" s="409"/>
      <c r="B55" s="409"/>
      <c r="C55" s="409"/>
      <c r="D55" s="409"/>
      <c r="E55" s="409"/>
      <c r="F55" s="409"/>
      <c r="G55" s="409"/>
    </row>
    <row r="56" spans="1:6" ht="15.75">
      <c r="A56" s="413" t="s">
        <v>416</v>
      </c>
      <c r="B56" s="409"/>
      <c r="C56" s="409"/>
      <c r="D56" s="409"/>
      <c r="E56" s="409"/>
      <c r="F56" s="409"/>
    </row>
    <row r="57" spans="1:6" ht="15.75">
      <c r="A57" s="413" t="s">
        <v>417</v>
      </c>
      <c r="B57" s="409"/>
      <c r="C57" s="409"/>
      <c r="D57" s="409"/>
      <c r="E57" s="409"/>
      <c r="F57" s="409"/>
    </row>
    <row r="58" spans="1:6" ht="15.75">
      <c r="A58" s="413" t="s">
        <v>418</v>
      </c>
      <c r="B58" s="409"/>
      <c r="C58" s="409"/>
      <c r="D58" s="409"/>
      <c r="E58" s="409"/>
      <c r="F58" s="409"/>
    </row>
    <row r="59" spans="1:6" ht="15.75">
      <c r="A59" s="413"/>
      <c r="B59" s="409"/>
      <c r="C59" s="409"/>
      <c r="D59" s="409"/>
      <c r="E59" s="409"/>
      <c r="F59" s="409"/>
    </row>
    <row r="60" spans="1:7" ht="15.75">
      <c r="A60" s="409" t="s">
        <v>557</v>
      </c>
      <c r="B60" s="409"/>
      <c r="C60" s="409"/>
      <c r="D60" s="409"/>
      <c r="E60" s="409"/>
      <c r="F60" s="409"/>
      <c r="G60" s="409"/>
    </row>
    <row r="61" spans="1:7" ht="15.75">
      <c r="A61" s="409" t="s">
        <v>558</v>
      </c>
      <c r="B61" s="409"/>
      <c r="C61" s="409"/>
      <c r="D61" s="409"/>
      <c r="E61" s="409"/>
      <c r="F61" s="409"/>
      <c r="G61" s="409"/>
    </row>
    <row r="62" spans="1:7" ht="15.75">
      <c r="A62" s="409" t="s">
        <v>559</v>
      </c>
      <c r="B62" s="409"/>
      <c r="C62" s="409"/>
      <c r="D62" s="409"/>
      <c r="E62" s="409"/>
      <c r="F62" s="409"/>
      <c r="G62" s="409"/>
    </row>
    <row r="63" spans="1:7" ht="15.75">
      <c r="A63" s="409" t="s">
        <v>560</v>
      </c>
      <c r="B63" s="409"/>
      <c r="C63" s="409"/>
      <c r="D63" s="409"/>
      <c r="E63" s="409"/>
      <c r="F63" s="409"/>
      <c r="G63" s="409"/>
    </row>
    <row r="64" spans="1:7" ht="15.75">
      <c r="A64" s="409" t="s">
        <v>561</v>
      </c>
      <c r="B64" s="409"/>
      <c r="C64" s="409"/>
      <c r="D64" s="409"/>
      <c r="E64" s="409"/>
      <c r="F64" s="409"/>
      <c r="G64" s="409"/>
    </row>
    <row r="66" spans="1:6" ht="15.75">
      <c r="A66" s="413" t="s">
        <v>524</v>
      </c>
      <c r="B66" s="409"/>
      <c r="C66" s="409"/>
      <c r="D66" s="409"/>
      <c r="E66" s="409"/>
      <c r="F66" s="409"/>
    </row>
    <row r="67" spans="1:6" ht="15.75">
      <c r="A67" s="413" t="s">
        <v>525</v>
      </c>
      <c r="B67" s="409"/>
      <c r="C67" s="409"/>
      <c r="D67" s="409"/>
      <c r="E67" s="409"/>
      <c r="F67" s="409"/>
    </row>
    <row r="68" spans="1:6" ht="15.75">
      <c r="A68" s="413" t="s">
        <v>526</v>
      </c>
      <c r="B68" s="409"/>
      <c r="C68" s="409"/>
      <c r="D68" s="409"/>
      <c r="E68" s="409"/>
      <c r="F68" s="409"/>
    </row>
    <row r="69" spans="1:6" ht="15.75">
      <c r="A69" s="413" t="s">
        <v>527</v>
      </c>
      <c r="B69" s="409"/>
      <c r="C69" s="409"/>
      <c r="D69" s="409"/>
      <c r="E69" s="409"/>
      <c r="F69" s="409"/>
    </row>
    <row r="70" spans="1:6" ht="15.75">
      <c r="A70" s="413" t="s">
        <v>528</v>
      </c>
      <c r="B70" s="409"/>
      <c r="C70" s="409"/>
      <c r="D70" s="409"/>
      <c r="E70" s="409"/>
      <c r="F70" s="409"/>
    </row>
    <row r="71" ht="15.75">
      <c r="A71" s="409"/>
    </row>
    <row r="72" ht="15.75">
      <c r="A72" s="409" t="s">
        <v>445</v>
      </c>
    </row>
    <row r="73" ht="15.75">
      <c r="A73" s="409"/>
    </row>
    <row r="74" ht="15.75">
      <c r="A74" s="409"/>
    </row>
    <row r="75" ht="15.75">
      <c r="A75" s="409"/>
    </row>
    <row r="78" ht="15.75">
      <c r="A78" s="410"/>
    </row>
    <row r="80" ht="15.75">
      <c r="A80" s="409"/>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2" ht="15.75">
      <c r="A102" s="409"/>
    </row>
    <row r="103" ht="15.75">
      <c r="A103" s="409"/>
    </row>
    <row r="104" ht="15.75">
      <c r="A104" s="409"/>
    </row>
    <row r="105" ht="15.75">
      <c r="A105" s="409"/>
    </row>
    <row r="106" ht="15.7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tabSelected="1"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FALL RIVER TOWNSHIP</v>
      </c>
      <c r="B1" s="171"/>
      <c r="C1" s="171"/>
      <c r="D1" s="171"/>
      <c r="E1" s="171">
        <f>inputPrYr!D5</f>
        <v>2013</v>
      </c>
    </row>
    <row r="2" spans="1:5" ht="15.75">
      <c r="A2" s="222" t="str">
        <f>inputPrYr!D3</f>
        <v>GREENWOOD COUNTY</v>
      </c>
      <c r="B2" s="171"/>
      <c r="C2" s="171"/>
      <c r="D2" s="171"/>
      <c r="E2" s="171"/>
    </row>
    <row r="3" spans="1:5" ht="15.75">
      <c r="A3" s="171"/>
      <c r="B3" s="171"/>
      <c r="C3" s="171"/>
      <c r="D3" s="171"/>
      <c r="E3" s="171"/>
    </row>
    <row r="4" spans="1:5" ht="15.75">
      <c r="A4" s="789" t="s">
        <v>160</v>
      </c>
      <c r="B4" s="790"/>
      <c r="C4" s="790"/>
      <c r="D4" s="790"/>
      <c r="E4" s="790"/>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1443637</v>
      </c>
    </row>
    <row r="8" spans="1:5" ht="15.75">
      <c r="A8" s="131" t="str">
        <f>CONCATENATE("New Improvements for ",E1-1,"")</f>
        <v>New Improvements for 2012</v>
      </c>
      <c r="B8" s="130"/>
      <c r="C8" s="130"/>
      <c r="D8" s="130"/>
      <c r="E8" s="359">
        <v>27240</v>
      </c>
    </row>
    <row r="9" spans="1:5" ht="15.75">
      <c r="A9" s="131" t="str">
        <f>CONCATENATE("Personal Property excluding oil, gas, and mobile homes - ",E1-1,"")</f>
        <v>Personal Property excluding oil, gas, and mobile homes - 2012</v>
      </c>
      <c r="B9" s="130"/>
      <c r="C9" s="130"/>
      <c r="D9" s="130"/>
      <c r="E9" s="359">
        <v>22053</v>
      </c>
    </row>
    <row r="10" spans="1:5" ht="15.75">
      <c r="A10" s="131" t="str">
        <f>CONCATENATE("Property that has changed in use for ",E1-1,"")</f>
        <v>Property that has changed in use for 2012</v>
      </c>
      <c r="B10" s="130"/>
      <c r="C10" s="130"/>
      <c r="D10" s="130"/>
      <c r="E10" s="359">
        <v>10216</v>
      </c>
    </row>
    <row r="11" spans="1:5" ht="15.75">
      <c r="A11" s="131" t="str">
        <f>CONCATENATE("Personal Property excluding oil, gas, and mobile homes- ",E1-2,"")</f>
        <v>Personal Property excluding oil, gas, and mobile homes- 2011</v>
      </c>
      <c r="B11" s="130"/>
      <c r="C11" s="130"/>
      <c r="D11" s="130"/>
      <c r="E11" s="359">
        <v>20004</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91" t="s">
        <v>288</v>
      </c>
      <c r="B16" s="792"/>
      <c r="C16" s="171"/>
      <c r="D16" s="363" t="s">
        <v>3</v>
      </c>
      <c r="E16" s="362"/>
    </row>
    <row r="17" spans="1:5" ht="15.75">
      <c r="A17" s="135" t="str">
        <f>inputPrYr!B16</f>
        <v>General</v>
      </c>
      <c r="B17" s="136"/>
      <c r="C17" s="130"/>
      <c r="D17" s="364">
        <v>2.343</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18.111</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278</v>
      </c>
      <c r="C29" s="147"/>
      <c r="D29" s="367">
        <f>SUM(D17:D28)</f>
        <v>20.454</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161</v>
      </c>
      <c r="B34" s="136"/>
      <c r="C34" s="136"/>
      <c r="D34" s="371"/>
      <c r="E34" s="259">
        <v>3258</v>
      </c>
    </row>
    <row r="35" spans="1:5" ht="15.75">
      <c r="A35" s="372" t="s">
        <v>279</v>
      </c>
      <c r="B35" s="157"/>
      <c r="C35" s="157"/>
      <c r="D35" s="287"/>
      <c r="E35" s="259">
        <v>37</v>
      </c>
    </row>
    <row r="36" spans="1:5" ht="15.75">
      <c r="A36" s="372" t="s">
        <v>162</v>
      </c>
      <c r="B36" s="157"/>
      <c r="C36" s="157"/>
      <c r="D36" s="287"/>
      <c r="E36" s="259">
        <v>479</v>
      </c>
    </row>
    <row r="37" spans="1:5" ht="15.75">
      <c r="A37" s="372" t="s">
        <v>163</v>
      </c>
      <c r="B37" s="157"/>
      <c r="C37" s="157"/>
      <c r="D37" s="287"/>
      <c r="E37" s="259">
        <v>0</v>
      </c>
    </row>
    <row r="38" spans="1:5" ht="15.75">
      <c r="A38" s="372" t="s">
        <v>102</v>
      </c>
      <c r="B38" s="136"/>
      <c r="C38" s="136"/>
      <c r="D38" s="371"/>
      <c r="E38" s="259">
        <v>0</v>
      </c>
    </row>
    <row r="39" spans="1:5" ht="15.75">
      <c r="A39" s="125" t="s">
        <v>164</v>
      </c>
      <c r="B39" s="125"/>
      <c r="C39" s="125"/>
      <c r="D39" s="125"/>
      <c r="E39" s="125"/>
    </row>
    <row r="40" spans="1:5" ht="15.75">
      <c r="A40" s="310" t="s">
        <v>165</v>
      </c>
      <c r="B40" s="126"/>
      <c r="C40" s="126"/>
      <c r="D40" s="125"/>
      <c r="E40" s="125"/>
    </row>
    <row r="41" spans="1:5" ht="15.75">
      <c r="A41" s="135" t="str">
        <f>CONCATENATE("Actual Delinquency for ",E1-3," Tax - (rate .01213 = 1.213%, key in 1.2)")</f>
        <v>Actual Delinquency for 2010 Tax - (rate .01213 = 1.213%, key in 1.2)</v>
      </c>
      <c r="B41" s="136"/>
      <c r="C41" s="136"/>
      <c r="D41" s="147"/>
      <c r="E41" s="749">
        <v>0.01225401</v>
      </c>
    </row>
    <row r="42" spans="1:5" ht="15.75">
      <c r="A42" s="135" t="s">
        <v>849</v>
      </c>
      <c r="B42" s="166"/>
      <c r="C42" s="130"/>
      <c r="D42" s="130"/>
      <c r="E42" s="601">
        <v>0</v>
      </c>
    </row>
    <row r="43" spans="1:5" ht="15.75">
      <c r="A43" s="373" t="s">
        <v>166</v>
      </c>
      <c r="B43" s="373"/>
      <c r="C43" s="374"/>
      <c r="D43" s="374"/>
      <c r="E43" s="375"/>
    </row>
    <row r="44" spans="1:5" ht="15.75">
      <c r="A44" s="195"/>
      <c r="B44" s="195"/>
      <c r="C44" s="195"/>
      <c r="D44" s="195"/>
      <c r="E44" s="195"/>
    </row>
    <row r="45" spans="1:5" ht="15.75">
      <c r="A45" s="793" t="str">
        <f>CONCATENATE("From the ",E1-2," Budget Certificate Page")</f>
        <v>From the 2011 Budget Certificate Page</v>
      </c>
      <c r="B45" s="794"/>
      <c r="C45" s="195"/>
      <c r="D45" s="195"/>
      <c r="E45" s="195"/>
    </row>
    <row r="46" spans="1:5" ht="15.75">
      <c r="A46" s="376"/>
      <c r="B46" s="376" t="str">
        <f>CONCATENATE("",E1-2," Expenditure Amounts")</f>
        <v>2011 Expenditure Amounts</v>
      </c>
      <c r="C46" s="795" t="str">
        <f>CONCATENATE("Note: If the ",E1-2," budget was amended, then the")</f>
        <v>Note: If the 2011 budget was amended, then the</v>
      </c>
      <c r="D46" s="796"/>
      <c r="E46" s="796"/>
    </row>
    <row r="47" spans="1:5" ht="15.75">
      <c r="A47" s="377" t="s">
        <v>209</v>
      </c>
      <c r="B47" s="377" t="s">
        <v>210</v>
      </c>
      <c r="C47" s="378" t="s">
        <v>211</v>
      </c>
      <c r="D47" s="379"/>
      <c r="E47" s="379"/>
    </row>
    <row r="48" spans="1:5" ht="15.75">
      <c r="A48" s="380" t="str">
        <f>inputPrYr!B16</f>
        <v>General</v>
      </c>
      <c r="B48" s="290"/>
      <c r="C48" s="378" t="s">
        <v>212</v>
      </c>
      <c r="D48" s="379"/>
      <c r="E48" s="379"/>
    </row>
    <row r="49" spans="1:5" ht="15.75">
      <c r="A49" s="380" t="str">
        <f>inputPrYr!B17</f>
        <v>Debt Service</v>
      </c>
      <c r="B49" s="290"/>
      <c r="C49" s="378"/>
      <c r="D49" s="379"/>
      <c r="E49" s="379"/>
    </row>
    <row r="50" spans="1:5" ht="15.75">
      <c r="A50" s="380" t="str">
        <f>inputPrYr!B18</f>
        <v>Library</v>
      </c>
      <c r="B50" s="290"/>
      <c r="C50" s="378"/>
      <c r="D50" s="379"/>
      <c r="E50" s="379"/>
    </row>
    <row r="51" spans="1:5" ht="15.75">
      <c r="A51" s="380" t="str">
        <f>inputPrYr!B19</f>
        <v>Road</v>
      </c>
      <c r="B51" s="290"/>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8" t="s">
        <v>562</v>
      </c>
      <c r="B3" s="408"/>
      <c r="C3" s="408"/>
      <c r="D3" s="408"/>
      <c r="E3" s="408"/>
      <c r="F3" s="408"/>
      <c r="G3" s="408"/>
    </row>
    <row r="4" spans="1:7" ht="15.75">
      <c r="A4" s="408" t="s">
        <v>563</v>
      </c>
      <c r="B4" s="408"/>
      <c r="C4" s="408"/>
      <c r="D4" s="408"/>
      <c r="E4" s="408"/>
      <c r="F4" s="408"/>
      <c r="G4" s="408"/>
    </row>
    <row r="5" spans="1:7" ht="15.75">
      <c r="A5" s="408"/>
      <c r="B5" s="408"/>
      <c r="C5" s="408"/>
      <c r="D5" s="408"/>
      <c r="E5" s="408"/>
      <c r="F5" s="408"/>
      <c r="G5" s="408"/>
    </row>
    <row r="6" spans="1:7" ht="15.75">
      <c r="A6" s="408"/>
      <c r="B6" s="408"/>
      <c r="C6" s="408"/>
      <c r="D6" s="408"/>
      <c r="E6" s="408"/>
      <c r="F6" s="408"/>
      <c r="G6" s="408"/>
    </row>
    <row r="7" ht="15.75">
      <c r="A7" s="409" t="s">
        <v>390</v>
      </c>
    </row>
    <row r="8" ht="15.75">
      <c r="A8" s="409" t="str">
        <f>CONCATENATE("estimated ",inputPrYr!D5," 'total expenditures' exceed your ",inputPrYr!D5,"")</f>
        <v>estimated 2013 'total expenditures' exceed your 2013</v>
      </c>
    </row>
    <row r="9" ht="15.75">
      <c r="A9" s="412" t="s">
        <v>564</v>
      </c>
    </row>
    <row r="10" ht="15.75">
      <c r="A10" s="409"/>
    </row>
    <row r="11" ht="15.75">
      <c r="A11" s="409" t="s">
        <v>565</v>
      </c>
    </row>
    <row r="12" ht="15.75">
      <c r="A12" s="409" t="s">
        <v>566</v>
      </c>
    </row>
    <row r="13" ht="15.75">
      <c r="A13" s="409" t="s">
        <v>567</v>
      </c>
    </row>
    <row r="14" ht="15.75">
      <c r="A14" s="409"/>
    </row>
    <row r="15" ht="15.75">
      <c r="A15" s="410" t="s">
        <v>568</v>
      </c>
    </row>
    <row r="16" spans="1:7" ht="15.75">
      <c r="A16" s="408"/>
      <c r="B16" s="408"/>
      <c r="C16" s="408"/>
      <c r="D16" s="408"/>
      <c r="E16" s="408"/>
      <c r="F16" s="408"/>
      <c r="G16" s="408"/>
    </row>
    <row r="17" spans="1:8" ht="15.75">
      <c r="A17" s="415" t="s">
        <v>569</v>
      </c>
      <c r="B17" s="391"/>
      <c r="C17" s="391"/>
      <c r="D17" s="391"/>
      <c r="E17" s="391"/>
      <c r="F17" s="391"/>
      <c r="G17" s="391"/>
      <c r="H17" s="391"/>
    </row>
    <row r="18" spans="1:7" ht="15.75">
      <c r="A18" s="409" t="s">
        <v>570</v>
      </c>
      <c r="B18" s="416"/>
      <c r="C18" s="416"/>
      <c r="D18" s="416"/>
      <c r="E18" s="416"/>
      <c r="F18" s="416"/>
      <c r="G18" s="416"/>
    </row>
    <row r="19" ht="15.75">
      <c r="A19" s="409" t="s">
        <v>571</v>
      </c>
    </row>
    <row r="20" ht="15.75">
      <c r="A20" s="409" t="s">
        <v>572</v>
      </c>
    </row>
    <row r="22" ht="15.75">
      <c r="A22" s="410" t="s">
        <v>573</v>
      </c>
    </row>
    <row r="24" ht="15.75">
      <c r="A24" s="409" t="s">
        <v>574</v>
      </c>
    </row>
    <row r="25" ht="15.75">
      <c r="A25" s="409" t="s">
        <v>575</v>
      </c>
    </row>
    <row r="26" ht="15.75">
      <c r="A26" s="409" t="s">
        <v>576</v>
      </c>
    </row>
    <row r="28" ht="15.75">
      <c r="A28" s="410" t="s">
        <v>577</v>
      </c>
    </row>
    <row r="30" ht="15.75">
      <c r="A30" t="s">
        <v>578</v>
      </c>
    </row>
    <row r="31" ht="15.75">
      <c r="A31" t="s">
        <v>579</v>
      </c>
    </row>
    <row r="32" ht="15.75">
      <c r="A32" t="s">
        <v>580</v>
      </c>
    </row>
    <row r="33" ht="15.75">
      <c r="A33" s="40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9" t="s">
        <v>594</v>
      </c>
    </row>
    <row r="50" ht="15.75">
      <c r="A50" s="409"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3" t="s">
        <v>643</v>
      </c>
      <c r="C6" s="911"/>
      <c r="D6" s="911"/>
      <c r="E6" s="911"/>
      <c r="F6" s="911"/>
      <c r="G6" s="911"/>
      <c r="H6" s="911"/>
      <c r="I6" s="911"/>
      <c r="J6" s="911"/>
      <c r="K6" s="911"/>
      <c r="L6" s="509"/>
    </row>
    <row r="7" spans="1:12" ht="40.5" customHeight="1">
      <c r="A7" s="512"/>
      <c r="B7" s="923" t="s">
        <v>644</v>
      </c>
      <c r="C7" s="924"/>
      <c r="D7" s="924"/>
      <c r="E7" s="924"/>
      <c r="F7" s="924"/>
      <c r="G7" s="924"/>
      <c r="H7" s="924"/>
      <c r="I7" s="924"/>
      <c r="J7" s="924"/>
      <c r="K7" s="924"/>
      <c r="L7" s="512"/>
    </row>
    <row r="8" spans="1:12" ht="14.25">
      <c r="A8" s="512"/>
      <c r="B8" s="920" t="s">
        <v>645</v>
      </c>
      <c r="C8" s="920"/>
      <c r="D8" s="920"/>
      <c r="E8" s="920"/>
      <c r="F8" s="920"/>
      <c r="G8" s="920"/>
      <c r="H8" s="920"/>
      <c r="I8" s="920"/>
      <c r="J8" s="920"/>
      <c r="K8" s="920"/>
      <c r="L8" s="512"/>
    </row>
    <row r="9" spans="1:12" ht="14.25">
      <c r="A9" s="512"/>
      <c r="L9" s="512"/>
    </row>
    <row r="10" spans="1:12" ht="14.25">
      <c r="A10" s="512"/>
      <c r="B10" s="920" t="s">
        <v>646</v>
      </c>
      <c r="C10" s="920"/>
      <c r="D10" s="920"/>
      <c r="E10" s="920"/>
      <c r="F10" s="920"/>
      <c r="G10" s="920"/>
      <c r="H10" s="920"/>
      <c r="I10" s="920"/>
      <c r="J10" s="920"/>
      <c r="K10" s="920"/>
      <c r="L10" s="512"/>
    </row>
    <row r="11" spans="1:12" ht="14.25">
      <c r="A11" s="512"/>
      <c r="B11" s="590"/>
      <c r="C11" s="590"/>
      <c r="D11" s="590"/>
      <c r="E11" s="590"/>
      <c r="F11" s="590"/>
      <c r="G11" s="590"/>
      <c r="H11" s="590"/>
      <c r="I11" s="590"/>
      <c r="J11" s="590"/>
      <c r="K11" s="590"/>
      <c r="L11" s="512"/>
    </row>
    <row r="12" spans="1:12" ht="32.25" customHeight="1">
      <c r="A12" s="512"/>
      <c r="B12" s="904" t="s">
        <v>647</v>
      </c>
      <c r="C12" s="904"/>
      <c r="D12" s="904"/>
      <c r="E12" s="904"/>
      <c r="F12" s="904"/>
      <c r="G12" s="904"/>
      <c r="H12" s="904"/>
      <c r="I12" s="904"/>
      <c r="J12" s="904"/>
      <c r="K12" s="904"/>
      <c r="L12" s="512"/>
    </row>
    <row r="13" spans="1:12" ht="14.25">
      <c r="A13" s="512"/>
      <c r="L13" s="512"/>
    </row>
    <row r="14" spans="1:12" ht="14.25">
      <c r="A14" s="512"/>
      <c r="B14" s="508" t="s">
        <v>648</v>
      </c>
      <c r="L14" s="512"/>
    </row>
    <row r="15" spans="1:12" ht="14.25">
      <c r="A15" s="512"/>
      <c r="L15" s="512"/>
    </row>
    <row r="16" spans="1:12" ht="14.25">
      <c r="A16" s="512"/>
      <c r="B16" s="510" t="s">
        <v>649</v>
      </c>
      <c r="L16" s="512"/>
    </row>
    <row r="17" spans="1:12" ht="14.25">
      <c r="A17" s="512"/>
      <c r="B17" s="510" t="s">
        <v>650</v>
      </c>
      <c r="L17" s="512"/>
    </row>
    <row r="18" spans="1:12" ht="14.25">
      <c r="A18" s="512"/>
      <c r="L18" s="512"/>
    </row>
    <row r="19" spans="1:12" ht="14.25">
      <c r="A19" s="512"/>
      <c r="B19" s="508" t="s">
        <v>755</v>
      </c>
      <c r="L19" s="512"/>
    </row>
    <row r="20" spans="1:12" ht="14.25">
      <c r="A20" s="512"/>
      <c r="B20" s="508"/>
      <c r="L20" s="512"/>
    </row>
    <row r="21" spans="1:12" ht="14.25">
      <c r="A21" s="512"/>
      <c r="B21" s="510" t="s">
        <v>756</v>
      </c>
      <c r="L21" s="512"/>
    </row>
    <row r="22" spans="1:12" ht="14.25">
      <c r="A22" s="512"/>
      <c r="L22" s="512"/>
    </row>
    <row r="23" spans="1:12" ht="14.25">
      <c r="A23" s="512"/>
      <c r="B23" s="510" t="s">
        <v>651</v>
      </c>
      <c r="E23" s="510" t="s">
        <v>652</v>
      </c>
      <c r="F23" s="906">
        <v>312000000</v>
      </c>
      <c r="G23" s="906"/>
      <c r="L23" s="512"/>
    </row>
    <row r="24" spans="1:12" ht="14.25">
      <c r="A24" s="512"/>
      <c r="L24" s="512"/>
    </row>
    <row r="25" spans="1:12" ht="14.25">
      <c r="A25" s="512"/>
      <c r="C25" s="921">
        <f>F23</f>
        <v>312000000</v>
      </c>
      <c r="D25" s="921"/>
      <c r="E25" s="510" t="s">
        <v>653</v>
      </c>
      <c r="F25" s="507">
        <v>1000</v>
      </c>
      <c r="G25" s="507" t="s">
        <v>652</v>
      </c>
      <c r="H25" s="592">
        <f>F23/F25</f>
        <v>312000</v>
      </c>
      <c r="L25" s="512"/>
    </row>
    <row r="26" spans="1:12" ht="15" thickBot="1">
      <c r="A26" s="512"/>
      <c r="L26" s="512"/>
    </row>
    <row r="27" spans="1:12" ht="14.25">
      <c r="A27" s="512"/>
      <c r="B27" s="506" t="s">
        <v>648</v>
      </c>
      <c r="C27" s="505"/>
      <c r="D27" s="505"/>
      <c r="E27" s="505"/>
      <c r="F27" s="505"/>
      <c r="G27" s="505"/>
      <c r="H27" s="505"/>
      <c r="I27" s="505"/>
      <c r="J27" s="505"/>
      <c r="K27" s="504"/>
      <c r="L27" s="512"/>
    </row>
    <row r="28" spans="1:12" ht="14.25">
      <c r="A28" s="512"/>
      <c r="B28" s="503">
        <f>F23</f>
        <v>312000000</v>
      </c>
      <c r="C28" s="502" t="s">
        <v>654</v>
      </c>
      <c r="D28" s="502"/>
      <c r="E28" s="502" t="s">
        <v>653</v>
      </c>
      <c r="F28" s="595">
        <v>1000</v>
      </c>
      <c r="G28" s="595" t="s">
        <v>652</v>
      </c>
      <c r="H28" s="501">
        <f>B28/F28</f>
        <v>312000</v>
      </c>
      <c r="I28" s="502" t="s">
        <v>655</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8" t="s">
        <v>644</v>
      </c>
      <c r="C30" s="908"/>
      <c r="D30" s="908"/>
      <c r="E30" s="908"/>
      <c r="F30" s="908"/>
      <c r="G30" s="908"/>
      <c r="H30" s="908"/>
      <c r="I30" s="908"/>
      <c r="J30" s="908"/>
      <c r="K30" s="908"/>
      <c r="L30" s="512"/>
    </row>
    <row r="31" spans="1:12" ht="14.25">
      <c r="A31" s="512"/>
      <c r="B31" s="920" t="s">
        <v>656</v>
      </c>
      <c r="C31" s="920"/>
      <c r="D31" s="920"/>
      <c r="E31" s="920"/>
      <c r="F31" s="920"/>
      <c r="G31" s="920"/>
      <c r="H31" s="920"/>
      <c r="I31" s="920"/>
      <c r="J31" s="920"/>
      <c r="K31" s="920"/>
      <c r="L31" s="512"/>
    </row>
    <row r="32" spans="1:12" ht="14.25">
      <c r="A32" s="512"/>
      <c r="L32" s="512"/>
    </row>
    <row r="33" spans="1:12" ht="14.25">
      <c r="A33" s="512"/>
      <c r="B33" s="920" t="s">
        <v>657</v>
      </c>
      <c r="C33" s="920"/>
      <c r="D33" s="920"/>
      <c r="E33" s="920"/>
      <c r="F33" s="920"/>
      <c r="G33" s="920"/>
      <c r="H33" s="920"/>
      <c r="I33" s="920"/>
      <c r="J33" s="920"/>
      <c r="K33" s="920"/>
      <c r="L33" s="512"/>
    </row>
    <row r="34" spans="1:12" ht="14.25">
      <c r="A34" s="512"/>
      <c r="L34" s="512"/>
    </row>
    <row r="35" spans="1:12" ht="89.25" customHeight="1">
      <c r="A35" s="512"/>
      <c r="B35" s="904" t="s">
        <v>658</v>
      </c>
      <c r="C35" s="914"/>
      <c r="D35" s="914"/>
      <c r="E35" s="914"/>
      <c r="F35" s="914"/>
      <c r="G35" s="914"/>
      <c r="H35" s="914"/>
      <c r="I35" s="914"/>
      <c r="J35" s="914"/>
      <c r="K35" s="914"/>
      <c r="L35" s="512"/>
    </row>
    <row r="36" spans="1:12" ht="14.25">
      <c r="A36" s="512"/>
      <c r="L36" s="512"/>
    </row>
    <row r="37" spans="1:12" ht="14.25">
      <c r="A37" s="512"/>
      <c r="B37" s="508" t="s">
        <v>659</v>
      </c>
      <c r="L37" s="512"/>
    </row>
    <row r="38" spans="1:12" ht="14.25">
      <c r="A38" s="512"/>
      <c r="L38" s="512"/>
    </row>
    <row r="39" spans="1:12" ht="14.25">
      <c r="A39" s="512"/>
      <c r="B39" s="510" t="s">
        <v>660</v>
      </c>
      <c r="L39" s="512"/>
    </row>
    <row r="40" spans="1:12" ht="14.25">
      <c r="A40" s="512"/>
      <c r="L40" s="512"/>
    </row>
    <row r="41" spans="1:12" ht="14.25">
      <c r="A41" s="512"/>
      <c r="C41" s="922">
        <v>312000000</v>
      </c>
      <c r="D41" s="922"/>
      <c r="E41" s="510" t="s">
        <v>653</v>
      </c>
      <c r="F41" s="507">
        <v>1000</v>
      </c>
      <c r="G41" s="507" t="s">
        <v>652</v>
      </c>
      <c r="H41" s="496">
        <f>C41/F41</f>
        <v>312000</v>
      </c>
      <c r="L41" s="512"/>
    </row>
    <row r="42" spans="1:12" ht="14.25">
      <c r="A42" s="512"/>
      <c r="L42" s="512"/>
    </row>
    <row r="43" spans="1:12" ht="14.25">
      <c r="A43" s="512"/>
      <c r="B43" s="510" t="s">
        <v>661</v>
      </c>
      <c r="L43" s="512"/>
    </row>
    <row r="44" spans="1:12" ht="14.25">
      <c r="A44" s="512"/>
      <c r="L44" s="512"/>
    </row>
    <row r="45" spans="1:12" ht="14.25">
      <c r="A45" s="512"/>
      <c r="B45" s="510" t="s">
        <v>662</v>
      </c>
      <c r="L45" s="512"/>
    </row>
    <row r="46" spans="1:12" ht="15" thickBot="1">
      <c r="A46" s="512"/>
      <c r="L46" s="512"/>
    </row>
    <row r="47" spans="1:12" ht="14.25">
      <c r="A47" s="512"/>
      <c r="B47" s="495" t="s">
        <v>648</v>
      </c>
      <c r="C47" s="505"/>
      <c r="D47" s="505"/>
      <c r="E47" s="505"/>
      <c r="F47" s="505"/>
      <c r="G47" s="505"/>
      <c r="H47" s="505"/>
      <c r="I47" s="505"/>
      <c r="J47" s="505"/>
      <c r="K47" s="504"/>
      <c r="L47" s="512"/>
    </row>
    <row r="48" spans="1:12" ht="14.25">
      <c r="A48" s="512"/>
      <c r="B48" s="915">
        <v>312000000</v>
      </c>
      <c r="C48" s="906"/>
      <c r="D48" s="502" t="s">
        <v>663</v>
      </c>
      <c r="E48" s="502" t="s">
        <v>653</v>
      </c>
      <c r="F48" s="595">
        <v>1000</v>
      </c>
      <c r="G48" s="595" t="s">
        <v>652</v>
      </c>
      <c r="H48" s="501">
        <f>B48/F48</f>
        <v>312000</v>
      </c>
      <c r="I48" s="502" t="s">
        <v>664</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665</v>
      </c>
      <c r="D50" s="502"/>
      <c r="E50" s="502" t="s">
        <v>653</v>
      </c>
      <c r="F50" s="501">
        <f>H48</f>
        <v>312000</v>
      </c>
      <c r="G50" s="916" t="s">
        <v>666</v>
      </c>
      <c r="H50" s="917"/>
      <c r="I50" s="595" t="s">
        <v>652</v>
      </c>
      <c r="J50" s="492">
        <f>B50/F50</f>
        <v>0.16025641025641027</v>
      </c>
      <c r="K50" s="500"/>
      <c r="L50" s="512"/>
    </row>
    <row r="51" spans="1:15" ht="15" thickBot="1">
      <c r="A51" s="512"/>
      <c r="B51" s="499"/>
      <c r="C51" s="498"/>
      <c r="D51" s="498"/>
      <c r="E51" s="498"/>
      <c r="F51" s="498"/>
      <c r="G51" s="498"/>
      <c r="H51" s="498"/>
      <c r="I51" s="918" t="s">
        <v>667</v>
      </c>
      <c r="J51" s="918"/>
      <c r="K51" s="919"/>
      <c r="L51" s="512"/>
      <c r="O51" s="491"/>
    </row>
    <row r="52" spans="1:12" ht="40.5" customHeight="1">
      <c r="A52" s="512"/>
      <c r="B52" s="908" t="s">
        <v>644</v>
      </c>
      <c r="C52" s="908"/>
      <c r="D52" s="908"/>
      <c r="E52" s="908"/>
      <c r="F52" s="908"/>
      <c r="G52" s="908"/>
      <c r="H52" s="908"/>
      <c r="I52" s="908"/>
      <c r="J52" s="908"/>
      <c r="K52" s="908"/>
      <c r="L52" s="512"/>
    </row>
    <row r="53" spans="1:12" ht="14.25">
      <c r="A53" s="512"/>
      <c r="B53" s="920" t="s">
        <v>668</v>
      </c>
      <c r="C53" s="920"/>
      <c r="D53" s="920"/>
      <c r="E53" s="920"/>
      <c r="F53" s="920"/>
      <c r="G53" s="920"/>
      <c r="H53" s="920"/>
      <c r="I53" s="920"/>
      <c r="J53" s="920"/>
      <c r="K53" s="920"/>
      <c r="L53" s="512"/>
    </row>
    <row r="54" spans="1:12" ht="14.25">
      <c r="A54" s="512"/>
      <c r="B54" s="590"/>
      <c r="C54" s="590"/>
      <c r="D54" s="590"/>
      <c r="E54" s="590"/>
      <c r="F54" s="590"/>
      <c r="G54" s="590"/>
      <c r="H54" s="590"/>
      <c r="I54" s="590"/>
      <c r="J54" s="590"/>
      <c r="K54" s="590"/>
      <c r="L54" s="512"/>
    </row>
    <row r="55" spans="1:12" ht="14.25">
      <c r="A55" s="512"/>
      <c r="B55" s="903" t="s">
        <v>669</v>
      </c>
      <c r="C55" s="903"/>
      <c r="D55" s="903"/>
      <c r="E55" s="903"/>
      <c r="F55" s="903"/>
      <c r="G55" s="903"/>
      <c r="H55" s="903"/>
      <c r="I55" s="903"/>
      <c r="J55" s="903"/>
      <c r="K55" s="903"/>
      <c r="L55" s="512"/>
    </row>
    <row r="56" spans="1:12" ht="15" customHeight="1">
      <c r="A56" s="512"/>
      <c r="L56" s="512"/>
    </row>
    <row r="57" spans="1:24" ht="74.25" customHeight="1">
      <c r="A57" s="512"/>
      <c r="B57" s="904" t="s">
        <v>670</v>
      </c>
      <c r="C57" s="914"/>
      <c r="D57" s="914"/>
      <c r="E57" s="914"/>
      <c r="F57" s="914"/>
      <c r="G57" s="914"/>
      <c r="H57" s="914"/>
      <c r="I57" s="914"/>
      <c r="J57" s="914"/>
      <c r="K57" s="914"/>
      <c r="L57" s="512"/>
      <c r="M57" s="490"/>
      <c r="N57" s="489"/>
      <c r="O57" s="489"/>
      <c r="P57" s="489"/>
      <c r="Q57" s="489"/>
      <c r="R57" s="489"/>
      <c r="S57" s="489"/>
      <c r="T57" s="489"/>
      <c r="U57" s="489"/>
      <c r="V57" s="489"/>
      <c r="W57" s="489"/>
      <c r="X57" s="489"/>
    </row>
    <row r="58" spans="1:24" ht="15" customHeight="1">
      <c r="A58" s="512"/>
      <c r="B58" s="904"/>
      <c r="C58" s="914"/>
      <c r="D58" s="914"/>
      <c r="E58" s="914"/>
      <c r="F58" s="914"/>
      <c r="G58" s="914"/>
      <c r="H58" s="914"/>
      <c r="I58" s="914"/>
      <c r="J58" s="914"/>
      <c r="K58" s="914"/>
      <c r="L58" s="512"/>
      <c r="M58" s="490"/>
      <c r="N58" s="489"/>
      <c r="O58" s="489"/>
      <c r="P58" s="489"/>
      <c r="Q58" s="489"/>
      <c r="R58" s="489"/>
      <c r="S58" s="489"/>
      <c r="T58" s="489"/>
      <c r="U58" s="489"/>
      <c r="V58" s="489"/>
      <c r="W58" s="489"/>
      <c r="X58" s="489"/>
    </row>
    <row r="59" spans="1:24" ht="14.25">
      <c r="A59" s="512"/>
      <c r="B59" s="508" t="s">
        <v>659</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671</v>
      </c>
      <c r="L61" s="512"/>
      <c r="M61" s="489"/>
      <c r="N61" s="489"/>
      <c r="O61" s="489"/>
      <c r="P61" s="489"/>
      <c r="Q61" s="489"/>
      <c r="R61" s="489"/>
      <c r="S61" s="489"/>
      <c r="T61" s="489"/>
      <c r="U61" s="489"/>
      <c r="V61" s="489"/>
      <c r="W61" s="489"/>
      <c r="X61" s="489"/>
    </row>
    <row r="62" spans="1:24" ht="14.25">
      <c r="A62" s="512"/>
      <c r="B62" s="510" t="s">
        <v>757</v>
      </c>
      <c r="L62" s="512"/>
      <c r="M62" s="489"/>
      <c r="N62" s="489"/>
      <c r="O62" s="489"/>
      <c r="P62" s="489"/>
      <c r="Q62" s="489"/>
      <c r="R62" s="489"/>
      <c r="S62" s="489"/>
      <c r="T62" s="489"/>
      <c r="U62" s="489"/>
      <c r="V62" s="489"/>
      <c r="W62" s="489"/>
      <c r="X62" s="489"/>
    </row>
    <row r="63" spans="1:24" ht="14.25">
      <c r="A63" s="512"/>
      <c r="B63" s="510" t="s">
        <v>758</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672</v>
      </c>
      <c r="L65" s="512"/>
      <c r="M65" s="489"/>
      <c r="N65" s="489"/>
      <c r="O65" s="489"/>
      <c r="P65" s="489"/>
      <c r="Q65" s="489"/>
      <c r="R65" s="489"/>
      <c r="S65" s="489"/>
      <c r="T65" s="489"/>
      <c r="U65" s="489"/>
      <c r="V65" s="489"/>
      <c r="W65" s="489"/>
      <c r="X65" s="489"/>
    </row>
    <row r="66" spans="1:24" ht="14.25">
      <c r="A66" s="512"/>
      <c r="B66" s="510" t="s">
        <v>673</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674</v>
      </c>
      <c r="L68" s="512"/>
      <c r="M68" s="488"/>
      <c r="N68" s="487"/>
      <c r="O68" s="487"/>
      <c r="P68" s="487"/>
      <c r="Q68" s="487"/>
      <c r="R68" s="487"/>
      <c r="S68" s="487"/>
      <c r="T68" s="487"/>
      <c r="U68" s="487"/>
      <c r="V68" s="487"/>
      <c r="W68" s="487"/>
      <c r="X68" s="489"/>
    </row>
    <row r="69" spans="1:24" ht="14.25">
      <c r="A69" s="512"/>
      <c r="B69" s="510" t="s">
        <v>759</v>
      </c>
      <c r="L69" s="512"/>
      <c r="M69" s="489"/>
      <c r="N69" s="489"/>
      <c r="O69" s="489"/>
      <c r="P69" s="489"/>
      <c r="Q69" s="489"/>
      <c r="R69" s="489"/>
      <c r="S69" s="489"/>
      <c r="T69" s="489"/>
      <c r="U69" s="489"/>
      <c r="V69" s="489"/>
      <c r="W69" s="489"/>
      <c r="X69" s="489"/>
    </row>
    <row r="70" spans="1:24" ht="14.25">
      <c r="A70" s="512"/>
      <c r="B70" s="510" t="s">
        <v>760</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648</v>
      </c>
      <c r="C72" s="505"/>
      <c r="D72" s="505"/>
      <c r="E72" s="505"/>
      <c r="F72" s="505"/>
      <c r="G72" s="505"/>
      <c r="H72" s="505"/>
      <c r="I72" s="505"/>
      <c r="J72" s="505"/>
      <c r="K72" s="504"/>
      <c r="L72" s="486"/>
    </row>
    <row r="73" spans="1:12" ht="14.25">
      <c r="A73" s="512"/>
      <c r="B73" s="494"/>
      <c r="C73" s="502" t="s">
        <v>654</v>
      </c>
      <c r="D73" s="502"/>
      <c r="E73" s="502"/>
      <c r="F73" s="502"/>
      <c r="G73" s="502"/>
      <c r="H73" s="502"/>
      <c r="I73" s="502"/>
      <c r="J73" s="502"/>
      <c r="K73" s="500"/>
      <c r="L73" s="486"/>
    </row>
    <row r="74" spans="1:12" ht="14.25">
      <c r="A74" s="512"/>
      <c r="B74" s="494" t="s">
        <v>675</v>
      </c>
      <c r="C74" s="906">
        <v>312000000</v>
      </c>
      <c r="D74" s="906"/>
      <c r="E74" s="595" t="s">
        <v>653</v>
      </c>
      <c r="F74" s="595">
        <v>1000</v>
      </c>
      <c r="G74" s="595" t="s">
        <v>652</v>
      </c>
      <c r="H74" s="596">
        <f>C74/F74</f>
        <v>312000</v>
      </c>
      <c r="I74" s="502" t="s">
        <v>676</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677</v>
      </c>
      <c r="D76" s="502"/>
      <c r="E76" s="595"/>
      <c r="F76" s="502" t="s">
        <v>676</v>
      </c>
      <c r="G76" s="502"/>
      <c r="H76" s="502"/>
      <c r="I76" s="502"/>
      <c r="J76" s="502"/>
      <c r="K76" s="500"/>
      <c r="L76" s="486"/>
    </row>
    <row r="77" spans="1:12" ht="14.25">
      <c r="A77" s="512"/>
      <c r="B77" s="494" t="s">
        <v>678</v>
      </c>
      <c r="C77" s="906">
        <v>50000</v>
      </c>
      <c r="D77" s="906"/>
      <c r="E77" s="595" t="s">
        <v>653</v>
      </c>
      <c r="F77" s="596">
        <f>H74</f>
        <v>312000</v>
      </c>
      <c r="G77" s="595" t="s">
        <v>652</v>
      </c>
      <c r="H77" s="492">
        <f>C77/F77</f>
        <v>0.16025641025641027</v>
      </c>
      <c r="I77" s="502" t="s">
        <v>679</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680</v>
      </c>
      <c r="D79" s="484"/>
      <c r="E79" s="597"/>
      <c r="F79" s="484"/>
      <c r="G79" s="484"/>
      <c r="H79" s="484"/>
      <c r="I79" s="484"/>
      <c r="J79" s="484"/>
      <c r="K79" s="483"/>
      <c r="L79" s="486"/>
    </row>
    <row r="80" spans="1:12" ht="14.25">
      <c r="A80" s="512"/>
      <c r="B80" s="494" t="s">
        <v>681</v>
      </c>
      <c r="C80" s="906">
        <v>100000</v>
      </c>
      <c r="D80" s="906"/>
      <c r="E80" s="595" t="s">
        <v>292</v>
      </c>
      <c r="F80" s="595">
        <v>0.115</v>
      </c>
      <c r="G80" s="595" t="s">
        <v>652</v>
      </c>
      <c r="H80" s="596">
        <f>C80*F80</f>
        <v>11500</v>
      </c>
      <c r="I80" s="502" t="s">
        <v>682</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683</v>
      </c>
      <c r="D82" s="484"/>
      <c r="E82" s="597"/>
      <c r="F82" s="484" t="s">
        <v>679</v>
      </c>
      <c r="G82" s="484"/>
      <c r="H82" s="484"/>
      <c r="I82" s="484"/>
      <c r="J82" s="484" t="s">
        <v>684</v>
      </c>
      <c r="K82" s="483"/>
      <c r="L82" s="486"/>
    </row>
    <row r="83" spans="1:12" ht="14.25">
      <c r="A83" s="512"/>
      <c r="B83" s="494" t="s">
        <v>685</v>
      </c>
      <c r="C83" s="907">
        <f>H80</f>
        <v>11500</v>
      </c>
      <c r="D83" s="907"/>
      <c r="E83" s="595" t="s">
        <v>292</v>
      </c>
      <c r="F83" s="492">
        <f>H77</f>
        <v>0.16025641025641027</v>
      </c>
      <c r="G83" s="595" t="s">
        <v>653</v>
      </c>
      <c r="H83" s="595">
        <v>1000</v>
      </c>
      <c r="I83" s="595" t="s">
        <v>652</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8" t="s">
        <v>644</v>
      </c>
      <c r="C85" s="908"/>
      <c r="D85" s="908"/>
      <c r="E85" s="908"/>
      <c r="F85" s="908"/>
      <c r="G85" s="908"/>
      <c r="H85" s="908"/>
      <c r="I85" s="908"/>
      <c r="J85" s="908"/>
      <c r="K85" s="908"/>
      <c r="L85" s="512"/>
    </row>
    <row r="86" spans="1:12" ht="14.25">
      <c r="A86" s="512"/>
      <c r="B86" s="903" t="s">
        <v>686</v>
      </c>
      <c r="C86" s="903"/>
      <c r="D86" s="903"/>
      <c r="E86" s="903"/>
      <c r="F86" s="903"/>
      <c r="G86" s="903"/>
      <c r="H86" s="903"/>
      <c r="I86" s="903"/>
      <c r="J86" s="903"/>
      <c r="K86" s="903"/>
      <c r="L86" s="512"/>
    </row>
    <row r="87" spans="1:12" ht="14.25">
      <c r="A87" s="512"/>
      <c r="B87" s="478"/>
      <c r="C87" s="478"/>
      <c r="D87" s="478"/>
      <c r="E87" s="478"/>
      <c r="F87" s="478"/>
      <c r="G87" s="478"/>
      <c r="H87" s="478"/>
      <c r="I87" s="478"/>
      <c r="J87" s="478"/>
      <c r="K87" s="478"/>
      <c r="L87" s="512"/>
    </row>
    <row r="88" spans="1:12" ht="14.25">
      <c r="A88" s="512"/>
      <c r="B88" s="903" t="s">
        <v>687</v>
      </c>
      <c r="C88" s="903"/>
      <c r="D88" s="903"/>
      <c r="E88" s="903"/>
      <c r="F88" s="903"/>
      <c r="G88" s="903"/>
      <c r="H88" s="903"/>
      <c r="I88" s="903"/>
      <c r="J88" s="903"/>
      <c r="K88" s="903"/>
      <c r="L88" s="512"/>
    </row>
    <row r="89" spans="1:12" ht="14.25">
      <c r="A89" s="512"/>
      <c r="B89" s="589"/>
      <c r="C89" s="589"/>
      <c r="D89" s="589"/>
      <c r="E89" s="589"/>
      <c r="F89" s="589"/>
      <c r="G89" s="589"/>
      <c r="H89" s="589"/>
      <c r="I89" s="589"/>
      <c r="J89" s="589"/>
      <c r="K89" s="589"/>
      <c r="L89" s="512"/>
    </row>
    <row r="90" spans="1:12" ht="45" customHeight="1">
      <c r="A90" s="512"/>
      <c r="B90" s="904" t="s">
        <v>688</v>
      </c>
      <c r="C90" s="904"/>
      <c r="D90" s="904"/>
      <c r="E90" s="904"/>
      <c r="F90" s="904"/>
      <c r="G90" s="904"/>
      <c r="H90" s="904"/>
      <c r="I90" s="904"/>
      <c r="J90" s="904"/>
      <c r="K90" s="904"/>
      <c r="L90" s="512"/>
    </row>
    <row r="91" spans="1:12" ht="15" customHeight="1" thickBot="1">
      <c r="A91" s="512"/>
      <c r="L91" s="512"/>
    </row>
    <row r="92" spans="1:12" ht="15" customHeight="1">
      <c r="A92" s="512"/>
      <c r="B92" s="477" t="s">
        <v>648</v>
      </c>
      <c r="C92" s="476"/>
      <c r="D92" s="476"/>
      <c r="E92" s="476"/>
      <c r="F92" s="476"/>
      <c r="G92" s="476"/>
      <c r="H92" s="476"/>
      <c r="I92" s="476"/>
      <c r="J92" s="476"/>
      <c r="K92" s="475"/>
      <c r="L92" s="512"/>
    </row>
    <row r="93" spans="1:12" ht="15" customHeight="1">
      <c r="A93" s="512"/>
      <c r="B93" s="474"/>
      <c r="C93" s="593" t="s">
        <v>654</v>
      </c>
      <c r="D93" s="593"/>
      <c r="E93" s="593"/>
      <c r="F93" s="593"/>
      <c r="G93" s="593"/>
      <c r="H93" s="593"/>
      <c r="I93" s="593"/>
      <c r="J93" s="593"/>
      <c r="K93" s="473"/>
      <c r="L93" s="512"/>
    </row>
    <row r="94" spans="1:12" ht="15" customHeight="1">
      <c r="A94" s="512"/>
      <c r="B94" s="474" t="s">
        <v>675</v>
      </c>
      <c r="C94" s="906">
        <v>312000000</v>
      </c>
      <c r="D94" s="906"/>
      <c r="E94" s="595" t="s">
        <v>653</v>
      </c>
      <c r="F94" s="595">
        <v>1000</v>
      </c>
      <c r="G94" s="595" t="s">
        <v>652</v>
      </c>
      <c r="H94" s="596">
        <f>C94/F94</f>
        <v>312000</v>
      </c>
      <c r="I94" s="593" t="s">
        <v>676</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677</v>
      </c>
      <c r="D96" s="593"/>
      <c r="E96" s="595"/>
      <c r="F96" s="593" t="s">
        <v>676</v>
      </c>
      <c r="G96" s="593"/>
      <c r="H96" s="593"/>
      <c r="I96" s="593"/>
      <c r="J96" s="593"/>
      <c r="K96" s="473"/>
      <c r="L96" s="512"/>
    </row>
    <row r="97" spans="1:12" ht="15" customHeight="1">
      <c r="A97" s="512"/>
      <c r="B97" s="474" t="s">
        <v>678</v>
      </c>
      <c r="C97" s="906">
        <v>50000</v>
      </c>
      <c r="D97" s="906"/>
      <c r="E97" s="595" t="s">
        <v>653</v>
      </c>
      <c r="F97" s="596">
        <f>H94</f>
        <v>312000</v>
      </c>
      <c r="G97" s="595" t="s">
        <v>652</v>
      </c>
      <c r="H97" s="492">
        <f>C97/F97</f>
        <v>0.16025641025641027</v>
      </c>
      <c r="I97" s="593" t="s">
        <v>679</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689</v>
      </c>
      <c r="D99" s="471"/>
      <c r="E99" s="597"/>
      <c r="F99" s="471"/>
      <c r="G99" s="471"/>
      <c r="H99" s="471"/>
      <c r="I99" s="471"/>
      <c r="J99" s="471"/>
      <c r="K99" s="470"/>
      <c r="L99" s="512"/>
    </row>
    <row r="100" spans="1:12" ht="15" customHeight="1">
      <c r="A100" s="512"/>
      <c r="B100" s="474" t="s">
        <v>681</v>
      </c>
      <c r="C100" s="906">
        <v>2500000</v>
      </c>
      <c r="D100" s="906"/>
      <c r="E100" s="595" t="s">
        <v>292</v>
      </c>
      <c r="F100" s="469">
        <v>0.3</v>
      </c>
      <c r="G100" s="595" t="s">
        <v>652</v>
      </c>
      <c r="H100" s="596">
        <f>C100*F100</f>
        <v>750000</v>
      </c>
      <c r="I100" s="593" t="s">
        <v>682</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683</v>
      </c>
      <c r="D102" s="471"/>
      <c r="E102" s="597"/>
      <c r="F102" s="471" t="s">
        <v>679</v>
      </c>
      <c r="G102" s="471"/>
      <c r="H102" s="471"/>
      <c r="I102" s="471"/>
      <c r="J102" s="471" t="s">
        <v>684</v>
      </c>
      <c r="K102" s="470"/>
      <c r="L102" s="512"/>
    </row>
    <row r="103" spans="1:12" ht="15" customHeight="1">
      <c r="A103" s="512"/>
      <c r="B103" s="474" t="s">
        <v>685</v>
      </c>
      <c r="C103" s="907">
        <f>H100</f>
        <v>750000</v>
      </c>
      <c r="D103" s="907"/>
      <c r="E103" s="595" t="s">
        <v>292</v>
      </c>
      <c r="F103" s="492">
        <f>H97</f>
        <v>0.16025641025641027</v>
      </c>
      <c r="G103" s="595" t="s">
        <v>653</v>
      </c>
      <c r="H103" s="595">
        <v>1000</v>
      </c>
      <c r="I103" s="595" t="s">
        <v>652</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8" t="s">
        <v>644</v>
      </c>
      <c r="C105" s="909"/>
      <c r="D105" s="909"/>
      <c r="E105" s="909"/>
      <c r="F105" s="909"/>
      <c r="G105" s="909"/>
      <c r="H105" s="909"/>
      <c r="I105" s="909"/>
      <c r="J105" s="909"/>
      <c r="K105" s="909"/>
      <c r="L105" s="512"/>
    </row>
    <row r="106" spans="1:12" ht="15" customHeight="1">
      <c r="A106" s="512"/>
      <c r="B106" s="910" t="s">
        <v>690</v>
      </c>
      <c r="C106" s="911"/>
      <c r="D106" s="911"/>
      <c r="E106" s="911"/>
      <c r="F106" s="911"/>
      <c r="G106" s="911"/>
      <c r="H106" s="911"/>
      <c r="I106" s="911"/>
      <c r="J106" s="911"/>
      <c r="K106" s="911"/>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691</v>
      </c>
      <c r="C108" s="912"/>
      <c r="D108" s="912"/>
      <c r="E108" s="912"/>
      <c r="F108" s="912"/>
      <c r="G108" s="912"/>
      <c r="H108" s="912"/>
      <c r="I108" s="912"/>
      <c r="J108" s="912"/>
      <c r="K108" s="912"/>
      <c r="L108" s="512"/>
    </row>
    <row r="109" spans="1:12" ht="15" customHeight="1">
      <c r="A109" s="512"/>
      <c r="B109" s="593"/>
      <c r="C109" s="467"/>
      <c r="D109" s="467"/>
      <c r="E109" s="595"/>
      <c r="F109" s="492"/>
      <c r="G109" s="595"/>
      <c r="H109" s="595"/>
      <c r="I109" s="595"/>
      <c r="J109" s="598"/>
      <c r="K109" s="593"/>
      <c r="L109" s="512"/>
    </row>
    <row r="110" spans="1:12" ht="59.25" customHeight="1">
      <c r="A110" s="512"/>
      <c r="B110" s="913" t="s">
        <v>692</v>
      </c>
      <c r="C110" s="914"/>
      <c r="D110" s="914"/>
      <c r="E110" s="914"/>
      <c r="F110" s="914"/>
      <c r="G110" s="914"/>
      <c r="H110" s="914"/>
      <c r="I110" s="914"/>
      <c r="J110" s="914"/>
      <c r="K110" s="914"/>
      <c r="L110" s="512"/>
    </row>
    <row r="111" spans="1:12" ht="15" thickBot="1">
      <c r="A111" s="512"/>
      <c r="B111" s="590"/>
      <c r="C111" s="590"/>
      <c r="D111" s="590"/>
      <c r="E111" s="590"/>
      <c r="F111" s="590"/>
      <c r="G111" s="590"/>
      <c r="H111" s="590"/>
      <c r="I111" s="590"/>
      <c r="J111" s="590"/>
      <c r="K111" s="590"/>
      <c r="L111" s="466"/>
    </row>
    <row r="112" spans="1:12" ht="14.25">
      <c r="A112" s="512"/>
      <c r="B112" s="506" t="s">
        <v>648</v>
      </c>
      <c r="C112" s="505"/>
      <c r="D112" s="505"/>
      <c r="E112" s="505"/>
      <c r="F112" s="505"/>
      <c r="G112" s="505"/>
      <c r="H112" s="505"/>
      <c r="I112" s="505"/>
      <c r="J112" s="505"/>
      <c r="K112" s="504"/>
      <c r="L112" s="512"/>
    </row>
    <row r="113" spans="1:12" ht="14.25">
      <c r="A113" s="512"/>
      <c r="B113" s="494"/>
      <c r="C113" s="502" t="s">
        <v>654</v>
      </c>
      <c r="D113" s="502"/>
      <c r="E113" s="502"/>
      <c r="F113" s="502"/>
      <c r="G113" s="502"/>
      <c r="H113" s="502"/>
      <c r="I113" s="502"/>
      <c r="J113" s="502"/>
      <c r="K113" s="500"/>
      <c r="L113" s="512"/>
    </row>
    <row r="114" spans="1:12" ht="14.25">
      <c r="A114" s="512"/>
      <c r="B114" s="494" t="s">
        <v>675</v>
      </c>
      <c r="C114" s="906">
        <v>312000000</v>
      </c>
      <c r="D114" s="906"/>
      <c r="E114" s="595" t="s">
        <v>653</v>
      </c>
      <c r="F114" s="595">
        <v>1000</v>
      </c>
      <c r="G114" s="595" t="s">
        <v>652</v>
      </c>
      <c r="H114" s="596">
        <f>C114/F114</f>
        <v>312000</v>
      </c>
      <c r="I114" s="502" t="s">
        <v>676</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677</v>
      </c>
      <c r="D116" s="502"/>
      <c r="E116" s="595"/>
      <c r="F116" s="502" t="s">
        <v>676</v>
      </c>
      <c r="G116" s="502"/>
      <c r="H116" s="502"/>
      <c r="I116" s="502"/>
      <c r="J116" s="502"/>
      <c r="K116" s="500"/>
      <c r="L116" s="512"/>
    </row>
    <row r="117" spans="1:12" ht="14.25">
      <c r="A117" s="512"/>
      <c r="B117" s="494" t="s">
        <v>678</v>
      </c>
      <c r="C117" s="906">
        <v>50000</v>
      </c>
      <c r="D117" s="906"/>
      <c r="E117" s="595" t="s">
        <v>653</v>
      </c>
      <c r="F117" s="596">
        <f>H114</f>
        <v>312000</v>
      </c>
      <c r="G117" s="595" t="s">
        <v>652</v>
      </c>
      <c r="H117" s="492">
        <f>C117/F117</f>
        <v>0.16025641025641027</v>
      </c>
      <c r="I117" s="502" t="s">
        <v>679</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689</v>
      </c>
      <c r="D119" s="484"/>
      <c r="E119" s="597"/>
      <c r="F119" s="484"/>
      <c r="G119" s="484"/>
      <c r="H119" s="484"/>
      <c r="I119" s="484"/>
      <c r="J119" s="484"/>
      <c r="K119" s="483"/>
      <c r="L119" s="512"/>
    </row>
    <row r="120" spans="1:12" ht="14.25">
      <c r="A120" s="512"/>
      <c r="B120" s="494" t="s">
        <v>681</v>
      </c>
      <c r="C120" s="906">
        <v>2500000</v>
      </c>
      <c r="D120" s="906"/>
      <c r="E120" s="595" t="s">
        <v>292</v>
      </c>
      <c r="F120" s="469">
        <v>0.25</v>
      </c>
      <c r="G120" s="595" t="s">
        <v>652</v>
      </c>
      <c r="H120" s="596">
        <f>C120*F120</f>
        <v>625000</v>
      </c>
      <c r="I120" s="502" t="s">
        <v>682</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683</v>
      </c>
      <c r="D122" s="484"/>
      <c r="E122" s="597"/>
      <c r="F122" s="484" t="s">
        <v>679</v>
      </c>
      <c r="G122" s="484"/>
      <c r="H122" s="484"/>
      <c r="I122" s="484"/>
      <c r="J122" s="484" t="s">
        <v>684</v>
      </c>
      <c r="K122" s="483"/>
      <c r="L122" s="512"/>
    </row>
    <row r="123" spans="1:12" ht="14.25">
      <c r="A123" s="512"/>
      <c r="B123" s="494" t="s">
        <v>685</v>
      </c>
      <c r="C123" s="907">
        <f>H120</f>
        <v>625000</v>
      </c>
      <c r="D123" s="907"/>
      <c r="E123" s="595" t="s">
        <v>292</v>
      </c>
      <c r="F123" s="492">
        <f>H117</f>
        <v>0.16025641025641027</v>
      </c>
      <c r="G123" s="595" t="s">
        <v>653</v>
      </c>
      <c r="H123" s="595">
        <v>1000</v>
      </c>
      <c r="I123" s="595" t="s">
        <v>652</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8" t="s">
        <v>644</v>
      </c>
      <c r="C125" s="908"/>
      <c r="D125" s="908"/>
      <c r="E125" s="908"/>
      <c r="F125" s="908"/>
      <c r="G125" s="908"/>
      <c r="H125" s="908"/>
      <c r="I125" s="908"/>
      <c r="J125" s="908"/>
      <c r="K125" s="908"/>
      <c r="L125" s="466"/>
    </row>
    <row r="126" spans="1:12" ht="14.25">
      <c r="A126" s="512"/>
      <c r="B126" s="903" t="s">
        <v>693</v>
      </c>
      <c r="C126" s="903"/>
      <c r="D126" s="903"/>
      <c r="E126" s="903"/>
      <c r="F126" s="903"/>
      <c r="G126" s="903"/>
      <c r="H126" s="903"/>
      <c r="I126" s="903"/>
      <c r="J126" s="903"/>
      <c r="K126" s="903"/>
      <c r="L126" s="466"/>
    </row>
    <row r="127" spans="1:12" ht="14.25">
      <c r="A127" s="512"/>
      <c r="B127" s="590"/>
      <c r="C127" s="590"/>
      <c r="D127" s="590"/>
      <c r="E127" s="590"/>
      <c r="F127" s="590"/>
      <c r="G127" s="590"/>
      <c r="H127" s="590"/>
      <c r="I127" s="590"/>
      <c r="J127" s="590"/>
      <c r="K127" s="590"/>
      <c r="L127" s="466"/>
    </row>
    <row r="128" spans="1:12" ht="14.25">
      <c r="A128" s="512"/>
      <c r="B128" s="903" t="s">
        <v>694</v>
      </c>
      <c r="C128" s="903"/>
      <c r="D128" s="903"/>
      <c r="E128" s="903"/>
      <c r="F128" s="903"/>
      <c r="G128" s="903"/>
      <c r="H128" s="903"/>
      <c r="I128" s="903"/>
      <c r="J128" s="903"/>
      <c r="K128" s="903"/>
      <c r="L128" s="466"/>
    </row>
    <row r="129" spans="1:12" ht="14.25">
      <c r="A129" s="512"/>
      <c r="B129" s="589"/>
      <c r="C129" s="589"/>
      <c r="D129" s="589"/>
      <c r="E129" s="589"/>
      <c r="F129" s="589"/>
      <c r="G129" s="589"/>
      <c r="H129" s="589"/>
      <c r="I129" s="589"/>
      <c r="J129" s="589"/>
      <c r="K129" s="589"/>
      <c r="L129" s="466"/>
    </row>
    <row r="130" spans="1:12" ht="74.25" customHeight="1">
      <c r="A130" s="512"/>
      <c r="B130" s="904" t="s">
        <v>695</v>
      </c>
      <c r="C130" s="904"/>
      <c r="D130" s="904"/>
      <c r="E130" s="904"/>
      <c r="F130" s="904"/>
      <c r="G130" s="904"/>
      <c r="H130" s="904"/>
      <c r="I130" s="904"/>
      <c r="J130" s="904"/>
      <c r="K130" s="904"/>
      <c r="L130" s="466"/>
    </row>
    <row r="131" spans="1:12" ht="15" thickBot="1">
      <c r="A131" s="512"/>
      <c r="L131" s="512"/>
    </row>
    <row r="132" spans="1:12" ht="14.25">
      <c r="A132" s="512"/>
      <c r="B132" s="506" t="s">
        <v>648</v>
      </c>
      <c r="C132" s="505"/>
      <c r="D132" s="505"/>
      <c r="E132" s="505"/>
      <c r="F132" s="505"/>
      <c r="G132" s="505"/>
      <c r="H132" s="505"/>
      <c r="I132" s="505"/>
      <c r="J132" s="505"/>
      <c r="K132" s="504"/>
      <c r="L132" s="512"/>
    </row>
    <row r="133" spans="1:12" ht="14.25">
      <c r="A133" s="512"/>
      <c r="B133" s="494"/>
      <c r="C133" s="905" t="s">
        <v>696</v>
      </c>
      <c r="D133" s="905"/>
      <c r="E133" s="502"/>
      <c r="F133" s="595" t="s">
        <v>697</v>
      </c>
      <c r="G133" s="502"/>
      <c r="H133" s="905" t="s">
        <v>682</v>
      </c>
      <c r="I133" s="905"/>
      <c r="J133" s="502"/>
      <c r="K133" s="500"/>
      <c r="L133" s="512"/>
    </row>
    <row r="134" spans="1:12" ht="14.25">
      <c r="A134" s="512"/>
      <c r="B134" s="494" t="s">
        <v>675</v>
      </c>
      <c r="C134" s="906">
        <v>100000</v>
      </c>
      <c r="D134" s="906"/>
      <c r="E134" s="595" t="s">
        <v>292</v>
      </c>
      <c r="F134" s="595">
        <v>0.115</v>
      </c>
      <c r="G134" s="595" t="s">
        <v>652</v>
      </c>
      <c r="H134" s="895">
        <f>C134*F134</f>
        <v>11500</v>
      </c>
      <c r="I134" s="895"/>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4" t="s">
        <v>682</v>
      </c>
      <c r="D136" s="894"/>
      <c r="E136" s="484"/>
      <c r="F136" s="597" t="s">
        <v>698</v>
      </c>
      <c r="G136" s="597"/>
      <c r="H136" s="484"/>
      <c r="I136" s="484"/>
      <c r="J136" s="484" t="s">
        <v>699</v>
      </c>
      <c r="K136" s="483"/>
      <c r="L136" s="512"/>
    </row>
    <row r="137" spans="1:12" ht="14.25">
      <c r="A137" s="512"/>
      <c r="B137" s="494" t="s">
        <v>678</v>
      </c>
      <c r="C137" s="895">
        <f>H134</f>
        <v>11500</v>
      </c>
      <c r="D137" s="895"/>
      <c r="E137" s="595" t="s">
        <v>292</v>
      </c>
      <c r="F137" s="465">
        <v>52.869</v>
      </c>
      <c r="G137" s="595" t="s">
        <v>653</v>
      </c>
      <c r="H137" s="595">
        <v>1000</v>
      </c>
      <c r="I137" s="595" t="s">
        <v>652</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644</v>
      </c>
      <c r="C139" s="459"/>
      <c r="D139" s="459"/>
      <c r="E139" s="458"/>
      <c r="F139" s="457"/>
      <c r="G139" s="458"/>
      <c r="H139" s="458"/>
      <c r="I139" s="458"/>
      <c r="J139" s="456"/>
      <c r="K139" s="455"/>
      <c r="L139" s="512"/>
    </row>
    <row r="140" spans="1:12" ht="14.25">
      <c r="A140" s="512"/>
      <c r="B140" s="454" t="s">
        <v>700</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701</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6" t="s">
        <v>702</v>
      </c>
      <c r="C144" s="897"/>
      <c r="D144" s="897"/>
      <c r="E144" s="897"/>
      <c r="F144" s="897"/>
      <c r="G144" s="897"/>
      <c r="H144" s="897"/>
      <c r="I144" s="897"/>
      <c r="J144" s="897"/>
      <c r="K144" s="898"/>
      <c r="L144" s="512"/>
    </row>
    <row r="145" spans="1:12" ht="15" thickBot="1">
      <c r="A145" s="512"/>
      <c r="B145" s="494"/>
      <c r="C145" s="596"/>
      <c r="D145" s="596"/>
      <c r="E145" s="595"/>
      <c r="F145" s="448"/>
      <c r="G145" s="595"/>
      <c r="H145" s="595"/>
      <c r="I145" s="595"/>
      <c r="J145" s="464"/>
      <c r="K145" s="500"/>
      <c r="L145" s="512"/>
    </row>
    <row r="146" spans="1:12" ht="14.25">
      <c r="A146" s="512"/>
      <c r="B146" s="506" t="s">
        <v>648</v>
      </c>
      <c r="C146" s="447"/>
      <c r="D146" s="447"/>
      <c r="E146" s="446"/>
      <c r="F146" s="445"/>
      <c r="G146" s="446"/>
      <c r="H146" s="446"/>
      <c r="I146" s="446"/>
      <c r="J146" s="444"/>
      <c r="K146" s="504"/>
      <c r="L146" s="512"/>
    </row>
    <row r="147" spans="1:12" ht="14.25">
      <c r="A147" s="512"/>
      <c r="B147" s="494"/>
      <c r="C147" s="895" t="s">
        <v>703</v>
      </c>
      <c r="D147" s="895"/>
      <c r="E147" s="595"/>
      <c r="F147" s="448" t="s">
        <v>704</v>
      </c>
      <c r="G147" s="595"/>
      <c r="H147" s="595"/>
      <c r="I147" s="595"/>
      <c r="J147" s="899" t="s">
        <v>705</v>
      </c>
      <c r="K147" s="900"/>
      <c r="L147" s="512"/>
    </row>
    <row r="148" spans="1:12" ht="14.25">
      <c r="A148" s="512"/>
      <c r="B148" s="494"/>
      <c r="C148" s="901">
        <v>52.869</v>
      </c>
      <c r="D148" s="901"/>
      <c r="E148" s="595" t="s">
        <v>292</v>
      </c>
      <c r="F148" s="591">
        <v>312000000</v>
      </c>
      <c r="G148" s="443" t="s">
        <v>653</v>
      </c>
      <c r="H148" s="595">
        <v>1000</v>
      </c>
      <c r="I148" s="595" t="s">
        <v>652</v>
      </c>
      <c r="J148" s="899">
        <f>C148*(F148/1000)</f>
        <v>16495128</v>
      </c>
      <c r="K148" s="902"/>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622</v>
      </c>
    </row>
    <row r="3" ht="31.5">
      <c r="A3" s="515" t="s">
        <v>623</v>
      </c>
    </row>
    <row r="4" ht="15.75">
      <c r="A4" s="516" t="s">
        <v>624</v>
      </c>
    </row>
    <row r="7" ht="38.25" customHeight="1">
      <c r="A7" s="515" t="s">
        <v>625</v>
      </c>
    </row>
    <row r="8" ht="15.75">
      <c r="A8" s="516" t="s">
        <v>626</v>
      </c>
    </row>
    <row r="11" ht="15.75">
      <c r="A11" s="513" t="s">
        <v>627</v>
      </c>
    </row>
    <row r="12" ht="15.75">
      <c r="A12" s="516" t="s">
        <v>628</v>
      </c>
    </row>
    <row r="15" ht="15.75">
      <c r="A15" s="513" t="s">
        <v>629</v>
      </c>
    </row>
    <row r="16" ht="15.75">
      <c r="A16" s="516" t="s">
        <v>630</v>
      </c>
    </row>
    <row r="19" ht="15.75">
      <c r="A19" s="513" t="s">
        <v>631</v>
      </c>
    </row>
    <row r="20" ht="15.75">
      <c r="A20" s="516" t="s">
        <v>632</v>
      </c>
    </row>
    <row r="23" ht="15.75">
      <c r="A23" s="513" t="s">
        <v>633</v>
      </c>
    </row>
    <row r="24" ht="15.75">
      <c r="A24" s="516" t="s">
        <v>634</v>
      </c>
    </row>
    <row r="27" ht="15.75">
      <c r="A27" s="513" t="s">
        <v>635</v>
      </c>
    </row>
    <row r="28" ht="15.75">
      <c r="A28" s="516" t="s">
        <v>636</v>
      </c>
    </row>
    <row r="31" ht="15.75">
      <c r="A31" s="513" t="s">
        <v>637</v>
      </c>
    </row>
    <row r="32" ht="15.75">
      <c r="A32" s="516" t="s">
        <v>638</v>
      </c>
    </row>
    <row r="35" ht="15.75">
      <c r="A35" s="513" t="s">
        <v>639</v>
      </c>
    </row>
    <row r="36" ht="15.75">
      <c r="A36" s="516" t="s">
        <v>640</v>
      </c>
    </row>
    <row r="39" ht="15.75">
      <c r="A39" s="513" t="s">
        <v>641</v>
      </c>
    </row>
    <row r="40" ht="15.75">
      <c r="A40" s="516"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4"/>
  <sheetViews>
    <sheetView zoomScalePageLayoutView="0" workbookViewId="0" topLeftCell="A1">
      <selection activeCell="C11" sqref="C11"/>
    </sheetView>
  </sheetViews>
  <sheetFormatPr defaultColWidth="8.796875" defaultRowHeight="15.75"/>
  <cols>
    <col min="1" max="1" width="72.09765625" style="1" customWidth="1"/>
    <col min="2" max="16384" width="8.796875" style="1" customWidth="1"/>
  </cols>
  <sheetData>
    <row r="1" ht="15.75">
      <c r="A1" s="405" t="s">
        <v>926</v>
      </c>
    </row>
    <row r="2" ht="15.75">
      <c r="A2" s="781" t="s">
        <v>927</v>
      </c>
    </row>
    <row r="4" ht="15.75">
      <c r="A4" s="405" t="s">
        <v>922</v>
      </c>
    </row>
    <row r="5" ht="15.75">
      <c r="A5" s="778" t="s">
        <v>893</v>
      </c>
    </row>
    <row r="6" ht="15.75">
      <c r="A6" s="778" t="s">
        <v>894</v>
      </c>
    </row>
    <row r="7" ht="15.75">
      <c r="A7" s="778" t="s">
        <v>895</v>
      </c>
    </row>
    <row r="8" ht="15.75">
      <c r="A8" s="778" t="s">
        <v>896</v>
      </c>
    </row>
    <row r="9" ht="15.75">
      <c r="A9" s="778" t="s">
        <v>897</v>
      </c>
    </row>
    <row r="10" ht="15.75">
      <c r="A10" s="778" t="s">
        <v>898</v>
      </c>
    </row>
    <row r="11" ht="15.75">
      <c r="A11" s="778" t="s">
        <v>899</v>
      </c>
    </row>
    <row r="12" ht="15.75">
      <c r="A12" s="778" t="s">
        <v>900</v>
      </c>
    </row>
    <row r="13" ht="15.75">
      <c r="A13" s="778" t="s">
        <v>901</v>
      </c>
    </row>
    <row r="14" ht="15.75">
      <c r="A14" s="778" t="s">
        <v>902</v>
      </c>
    </row>
    <row r="15" ht="15.75">
      <c r="A15" s="778" t="s">
        <v>903</v>
      </c>
    </row>
    <row r="16" ht="15.75">
      <c r="A16" s="778" t="s">
        <v>904</v>
      </c>
    </row>
    <row r="17" ht="15.75">
      <c r="A17" s="778" t="s">
        <v>905</v>
      </c>
    </row>
    <row r="18" ht="15.75">
      <c r="A18" s="778" t="s">
        <v>906</v>
      </c>
    </row>
    <row r="19" ht="15.75">
      <c r="A19" s="778" t="s">
        <v>907</v>
      </c>
    </row>
    <row r="20" ht="15.75">
      <c r="A20" s="778" t="s">
        <v>908</v>
      </c>
    </row>
    <row r="21" ht="15.75">
      <c r="A21" s="778" t="s">
        <v>909</v>
      </c>
    </row>
    <row r="22" ht="15.75">
      <c r="A22" s="778" t="s">
        <v>910</v>
      </c>
    </row>
    <row r="23" ht="15.75">
      <c r="A23" s="778" t="s">
        <v>911</v>
      </c>
    </row>
    <row r="24" ht="15.75">
      <c r="A24" s="778" t="s">
        <v>912</v>
      </c>
    </row>
    <row r="25" ht="15.75">
      <c r="A25" s="778" t="s">
        <v>913</v>
      </c>
    </row>
    <row r="26" ht="15.75">
      <c r="A26" s="778" t="s">
        <v>914</v>
      </c>
    </row>
    <row r="27" ht="15.75">
      <c r="A27" s="778" t="s">
        <v>915</v>
      </c>
    </row>
    <row r="28" ht="15.75">
      <c r="A28" s="778" t="s">
        <v>916</v>
      </c>
    </row>
    <row r="29" ht="15.75">
      <c r="A29" s="778" t="s">
        <v>917</v>
      </c>
    </row>
    <row r="30" ht="15.75">
      <c r="A30" s="778" t="s">
        <v>918</v>
      </c>
    </row>
    <row r="31" ht="15.75">
      <c r="A31" s="778" t="s">
        <v>919</v>
      </c>
    </row>
    <row r="32" ht="15.75">
      <c r="A32" s="778" t="s">
        <v>920</v>
      </c>
    </row>
    <row r="33" ht="15.75">
      <c r="A33" s="778" t="s">
        <v>921</v>
      </c>
    </row>
    <row r="35" ht="15.75">
      <c r="A35" s="405" t="s">
        <v>752</v>
      </c>
    </row>
    <row r="36" ht="15.75">
      <c r="A36" s="1" t="s">
        <v>753</v>
      </c>
    </row>
    <row r="38" ht="15.75">
      <c r="A38" s="405" t="s">
        <v>749</v>
      </c>
    </row>
    <row r="39" ht="15.75">
      <c r="A39" s="582" t="s">
        <v>750</v>
      </c>
    </row>
    <row r="41" ht="15.75">
      <c r="A41" s="405" t="s">
        <v>747</v>
      </c>
    </row>
    <row r="42" ht="15.75">
      <c r="A42" s="1" t="s">
        <v>748</v>
      </c>
    </row>
    <row r="44" ht="15.75">
      <c r="A44" s="405" t="s">
        <v>743</v>
      </c>
    </row>
    <row r="45" ht="15.75">
      <c r="A45" s="582" t="s">
        <v>722</v>
      </c>
    </row>
    <row r="46" ht="15.75">
      <c r="A46" s="582" t="s">
        <v>723</v>
      </c>
    </row>
    <row r="47" ht="31.5">
      <c r="A47" s="581" t="s">
        <v>724</v>
      </c>
    </row>
    <row r="48" ht="15.75">
      <c r="A48" s="582" t="s">
        <v>725</v>
      </c>
    </row>
    <row r="49" ht="15.75">
      <c r="A49" s="582" t="s">
        <v>726</v>
      </c>
    </row>
    <row r="50" ht="15.75">
      <c r="A50" s="582" t="s">
        <v>727</v>
      </c>
    </row>
    <row r="51" ht="15.75">
      <c r="A51" s="582" t="s">
        <v>728</v>
      </c>
    </row>
    <row r="52" ht="15.75">
      <c r="A52" s="582" t="s">
        <v>729</v>
      </c>
    </row>
    <row r="53" ht="15.75">
      <c r="A53" s="582" t="s">
        <v>730</v>
      </c>
    </row>
    <row r="54" ht="15.75">
      <c r="A54" s="582" t="s">
        <v>731</v>
      </c>
    </row>
    <row r="55" ht="15.75">
      <c r="A55" s="582" t="s">
        <v>732</v>
      </c>
    </row>
    <row r="56" ht="15.75">
      <c r="A56" s="582" t="s">
        <v>733</v>
      </c>
    </row>
    <row r="57" ht="15.75">
      <c r="A57" s="582" t="s">
        <v>745</v>
      </c>
    </row>
    <row r="58" ht="15.75">
      <c r="A58" s="582" t="s">
        <v>734</v>
      </c>
    </row>
    <row r="59" ht="15.75">
      <c r="A59" s="582" t="s">
        <v>735</v>
      </c>
    </row>
    <row r="60" ht="15.75">
      <c r="A60" s="582" t="s">
        <v>736</v>
      </c>
    </row>
    <row r="61" ht="15.75">
      <c r="A61" s="582" t="s">
        <v>737</v>
      </c>
    </row>
    <row r="62" ht="15.75">
      <c r="A62" s="582" t="s">
        <v>738</v>
      </c>
    </row>
    <row r="63" ht="15.75">
      <c r="A63" s="582" t="s">
        <v>739</v>
      </c>
    </row>
    <row r="64" ht="15.75">
      <c r="A64" s="582" t="s">
        <v>740</v>
      </c>
    </row>
    <row r="65" ht="15.75">
      <c r="A65" s="582" t="s">
        <v>741</v>
      </c>
    </row>
    <row r="66" ht="15.75">
      <c r="A66" s="582" t="s">
        <v>742</v>
      </c>
    </row>
    <row r="67" ht="15.75">
      <c r="A67" s="582" t="s">
        <v>746</v>
      </c>
    </row>
    <row r="69" ht="15.75">
      <c r="A69" s="405" t="s">
        <v>620</v>
      </c>
    </row>
    <row r="70" ht="36.75" customHeight="1">
      <c r="A70" s="384" t="s">
        <v>621</v>
      </c>
    </row>
    <row r="72" ht="15.75">
      <c r="A72" s="405" t="s">
        <v>616</v>
      </c>
    </row>
    <row r="73" ht="15.75">
      <c r="A73" s="172" t="s">
        <v>617</v>
      </c>
    </row>
    <row r="74" ht="15.75">
      <c r="A74" s="172" t="s">
        <v>618</v>
      </c>
    </row>
    <row r="75" ht="15.75">
      <c r="A75" s="172" t="s">
        <v>619</v>
      </c>
    </row>
    <row r="77" ht="15.75">
      <c r="A77" s="422" t="s">
        <v>605</v>
      </c>
    </row>
    <row r="78" ht="15.75">
      <c r="A78" s="172" t="s">
        <v>615</v>
      </c>
    </row>
    <row r="80" ht="15.75">
      <c r="A80" s="405" t="s">
        <v>384</v>
      </c>
    </row>
    <row r="81" ht="15.75">
      <c r="A81" s="406" t="s">
        <v>385</v>
      </c>
    </row>
    <row r="82" ht="15.75">
      <c r="A82" s="406" t="s">
        <v>386</v>
      </c>
    </row>
    <row r="83" ht="15.75">
      <c r="A83" s="406" t="s">
        <v>387</v>
      </c>
    </row>
    <row r="84" ht="15.75">
      <c r="A84" s="407" t="s">
        <v>388</v>
      </c>
    </row>
    <row r="86" ht="15.75">
      <c r="A86" s="404" t="s">
        <v>320</v>
      </c>
    </row>
    <row r="87" ht="15.75">
      <c r="A87" s="1" t="s">
        <v>322</v>
      </c>
    </row>
    <row r="88" ht="15.75">
      <c r="A88" s="1" t="s">
        <v>323</v>
      </c>
    </row>
    <row r="89" ht="15.75">
      <c r="A89" s="1" t="s">
        <v>324</v>
      </c>
    </row>
    <row r="90" ht="15.75">
      <c r="A90" s="1" t="s">
        <v>325</v>
      </c>
    </row>
    <row r="91" ht="15.75">
      <c r="A91" s="1" t="s">
        <v>326</v>
      </c>
    </row>
    <row r="92" ht="15.75">
      <c r="A92" s="1" t="s">
        <v>327</v>
      </c>
    </row>
    <row r="93" ht="15.75">
      <c r="A93" s="1" t="s">
        <v>343</v>
      </c>
    </row>
    <row r="94" ht="15.75">
      <c r="A94" s="1" t="s">
        <v>344</v>
      </c>
    </row>
    <row r="95" ht="15.75">
      <c r="A95" s="1" t="s">
        <v>345</v>
      </c>
    </row>
    <row r="96" ht="15.75">
      <c r="A96" s="1" t="s">
        <v>346</v>
      </c>
    </row>
    <row r="97" ht="15.75">
      <c r="A97" s="1" t="s">
        <v>360</v>
      </c>
    </row>
    <row r="98" ht="15.75">
      <c r="A98" s="1" t="s">
        <v>368</v>
      </c>
    </row>
    <row r="99" ht="15.75">
      <c r="A99" s="392" t="s">
        <v>372</v>
      </c>
    </row>
    <row r="101" ht="15.75">
      <c r="A101" s="403" t="s">
        <v>315</v>
      </c>
    </row>
    <row r="102" ht="15.75">
      <c r="A102" s="1" t="s">
        <v>316</v>
      </c>
    </row>
    <row r="103" ht="15.75">
      <c r="A103" s="1" t="s">
        <v>317</v>
      </c>
    </row>
    <row r="105" ht="15.75">
      <c r="A105" s="403" t="s">
        <v>313</v>
      </c>
    </row>
    <row r="106" ht="15.75">
      <c r="A106" s="1" t="s">
        <v>314</v>
      </c>
    </row>
    <row r="108" ht="15.75">
      <c r="A108" s="403" t="s">
        <v>311</v>
      </c>
    </row>
    <row r="109" ht="15.75">
      <c r="A109" s="1" t="s">
        <v>312</v>
      </c>
    </row>
    <row r="111" ht="15.75">
      <c r="A111" s="403" t="s">
        <v>308</v>
      </c>
    </row>
    <row r="112" ht="15.75">
      <c r="A112" s="1" t="s">
        <v>309</v>
      </c>
    </row>
    <row r="113" ht="15.75">
      <c r="A113" s="1" t="s">
        <v>310</v>
      </c>
    </row>
    <row r="115" ht="15.75">
      <c r="A115" s="403" t="s">
        <v>304</v>
      </c>
    </row>
    <row r="116" ht="15.75">
      <c r="A116" s="1" t="s">
        <v>305</v>
      </c>
    </row>
    <row r="117" ht="15.75">
      <c r="A117" s="1" t="s">
        <v>306</v>
      </c>
    </row>
    <row r="118" ht="15.75">
      <c r="A118" s="1" t="s">
        <v>307</v>
      </c>
    </row>
    <row r="120" ht="15.75">
      <c r="A120" s="403" t="s">
        <v>300</v>
      </c>
    </row>
    <row r="121" ht="15.75">
      <c r="A121" s="1" t="s">
        <v>301</v>
      </c>
    </row>
    <row r="122" ht="15.75">
      <c r="A122" s="1" t="s">
        <v>302</v>
      </c>
    </row>
    <row r="124" ht="15.75">
      <c r="A124" s="403" t="s">
        <v>297</v>
      </c>
    </row>
    <row r="125" ht="34.5" customHeight="1">
      <c r="A125" s="1" t="s">
        <v>298</v>
      </c>
    </row>
    <row r="127" ht="15.75">
      <c r="A127" s="1" t="s">
        <v>252</v>
      </c>
    </row>
    <row r="128" ht="15.75">
      <c r="A128" s="1" t="s">
        <v>253</v>
      </c>
    </row>
    <row r="129" ht="31.5">
      <c r="A129" s="4" t="s">
        <v>269</v>
      </c>
    </row>
    <row r="130" ht="15.75">
      <c r="A130" s="1" t="s">
        <v>254</v>
      </c>
    </row>
    <row r="131" ht="15.75">
      <c r="A131" s="1" t="s">
        <v>255</v>
      </c>
    </row>
    <row r="132" ht="15.75">
      <c r="A132" s="1" t="s">
        <v>256</v>
      </c>
    </row>
    <row r="133" ht="15.75">
      <c r="A133" s="1" t="s">
        <v>257</v>
      </c>
    </row>
    <row r="134" ht="31.5">
      <c r="A134" s="4" t="s">
        <v>237</v>
      </c>
    </row>
    <row r="135" ht="31.5">
      <c r="A135" s="4" t="s">
        <v>265</v>
      </c>
    </row>
    <row r="136" ht="31.5">
      <c r="A136" s="4" t="s">
        <v>258</v>
      </c>
    </row>
    <row r="137" ht="15.75">
      <c r="A137" s="4" t="s">
        <v>259</v>
      </c>
    </row>
    <row r="138" ht="31.5">
      <c r="A138" s="4" t="s">
        <v>260</v>
      </c>
    </row>
    <row r="139" ht="33.75" customHeight="1">
      <c r="A139" s="1" t="s">
        <v>261</v>
      </c>
    </row>
    <row r="140" ht="26.25" customHeight="1">
      <c r="A140" s="1" t="s">
        <v>262</v>
      </c>
    </row>
    <row r="141" ht="33.75" customHeight="1">
      <c r="A141" s="1" t="s">
        <v>263</v>
      </c>
    </row>
    <row r="142" ht="30.75" customHeight="1">
      <c r="A142" s="1" t="s">
        <v>268</v>
      </c>
    </row>
    <row r="143" ht="33" customHeight="1">
      <c r="A143" s="4" t="s">
        <v>266</v>
      </c>
    </row>
    <row r="144" ht="38.25" customHeight="1">
      <c r="A144" s="4" t="s">
        <v>231</v>
      </c>
    </row>
    <row r="145" ht="33.75" customHeight="1">
      <c r="A145" s="4" t="s">
        <v>238</v>
      </c>
    </row>
    <row r="146" ht="33.75" customHeight="1">
      <c r="A146" s="4" t="s">
        <v>232</v>
      </c>
    </row>
    <row r="147" ht="33.75" customHeight="1">
      <c r="A147" s="4" t="s">
        <v>233</v>
      </c>
    </row>
    <row r="148" ht="33.75" customHeight="1">
      <c r="A148" s="4" t="s">
        <v>234</v>
      </c>
    </row>
    <row r="149" ht="31.5">
      <c r="A149" s="4" t="s">
        <v>235</v>
      </c>
    </row>
    <row r="150" ht="31.5">
      <c r="A150" s="4" t="s">
        <v>239</v>
      </c>
    </row>
    <row r="151" ht="31.5">
      <c r="A151" s="4" t="s">
        <v>236</v>
      </c>
    </row>
    <row r="152" ht="31.5">
      <c r="A152" s="4" t="s">
        <v>240</v>
      </c>
    </row>
    <row r="153" ht="15.75">
      <c r="A153" s="4" t="s">
        <v>246</v>
      </c>
    </row>
    <row r="155" ht="15.75">
      <c r="A155" s="403" t="s">
        <v>189</v>
      </c>
    </row>
    <row r="156" ht="47.25">
      <c r="A156" s="4" t="s">
        <v>241</v>
      </c>
    </row>
    <row r="157" ht="15.75">
      <c r="A157" s="1" t="s">
        <v>190</v>
      </c>
    </row>
    <row r="158" ht="15.75">
      <c r="A158" s="1" t="s">
        <v>194</v>
      </c>
    </row>
    <row r="159" ht="15.75">
      <c r="A159" s="1" t="s">
        <v>195</v>
      </c>
    </row>
    <row r="160" ht="15.75">
      <c r="A160" s="1" t="s">
        <v>191</v>
      </c>
    </row>
    <row r="161" ht="15.75">
      <c r="A161" s="1" t="s">
        <v>192</v>
      </c>
    </row>
    <row r="162" ht="15.75">
      <c r="A162" s="1" t="s">
        <v>193</v>
      </c>
    </row>
    <row r="163" ht="15.75">
      <c r="A163" s="4" t="s">
        <v>196</v>
      </c>
    </row>
    <row r="164" ht="15.75">
      <c r="A164" s="1" t="s">
        <v>197</v>
      </c>
    </row>
    <row r="165" ht="15.75">
      <c r="A165" s="1" t="s">
        <v>198</v>
      </c>
    </row>
    <row r="166" ht="15.75">
      <c r="A166" s="1" t="s">
        <v>242</v>
      </c>
    </row>
    <row r="167" ht="15.75">
      <c r="A167" s="1" t="s">
        <v>199</v>
      </c>
    </row>
    <row r="168" ht="15.75">
      <c r="A168" s="1" t="s">
        <v>243</v>
      </c>
    </row>
    <row r="169" ht="15.75">
      <c r="A169" s="1" t="s">
        <v>200</v>
      </c>
    </row>
    <row r="170" ht="15.75">
      <c r="A170" s="1" t="s">
        <v>244</v>
      </c>
    </row>
    <row r="171" ht="15.75">
      <c r="A171" s="1" t="s">
        <v>201</v>
      </c>
    </row>
    <row r="172" ht="15.75">
      <c r="A172" s="1" t="s">
        <v>205</v>
      </c>
    </row>
    <row r="173" ht="15.75">
      <c r="A173" s="1" t="s">
        <v>245</v>
      </c>
    </row>
    <row r="174" ht="15.75">
      <c r="A174" s="1" t="s">
        <v>221</v>
      </c>
    </row>
    <row r="175" ht="15.75">
      <c r="A175" s="1" t="s">
        <v>222</v>
      </c>
    </row>
    <row r="176" ht="15.75">
      <c r="A176" s="1" t="s">
        <v>223</v>
      </c>
    </row>
    <row r="177" ht="15.75">
      <c r="A177" s="1" t="s">
        <v>206</v>
      </c>
    </row>
    <row r="178" ht="15.75">
      <c r="A178" s="1" t="s">
        <v>207</v>
      </c>
    </row>
    <row r="179" ht="15.75">
      <c r="A179" s="1" t="s">
        <v>208</v>
      </c>
    </row>
    <row r="180" ht="15.75">
      <c r="A180" s="1" t="s">
        <v>218</v>
      </c>
    </row>
    <row r="181" ht="15.75">
      <c r="A181" s="1" t="s">
        <v>219</v>
      </c>
    </row>
    <row r="182" ht="15.75">
      <c r="A182" s="1" t="s">
        <v>220</v>
      </c>
    </row>
    <row r="183" ht="15.75">
      <c r="A183" s="1" t="s">
        <v>230</v>
      </c>
    </row>
    <row r="184" ht="15.75">
      <c r="A184"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J1" sqref="J1:J12"/>
    </sheetView>
  </sheetViews>
  <sheetFormatPr defaultColWidth="8.796875" defaultRowHeight="15.75"/>
  <cols>
    <col min="1" max="1" width="13.69921875" style="0" customWidth="1"/>
    <col min="2" max="2" width="16" style="0" customWidth="1"/>
  </cols>
  <sheetData>
    <row r="1" ht="15.75">
      <c r="J1" s="743" t="s">
        <v>837</v>
      </c>
    </row>
    <row r="2" spans="1:10" ht="54" customHeight="1">
      <c r="A2" s="797" t="s">
        <v>373</v>
      </c>
      <c r="B2" s="798"/>
      <c r="C2" s="798"/>
      <c r="D2" s="798"/>
      <c r="E2" s="798"/>
      <c r="F2" s="798"/>
      <c r="J2" s="743" t="s">
        <v>838</v>
      </c>
    </row>
    <row r="3" ht="15.75">
      <c r="J3" s="743" t="s">
        <v>839</v>
      </c>
    </row>
    <row r="4" spans="1:10" ht="15.75">
      <c r="A4" s="1" t="s">
        <v>835</v>
      </c>
      <c r="B4" s="396"/>
      <c r="J4" s="743" t="s">
        <v>840</v>
      </c>
    </row>
    <row r="5" spans="1:10" ht="15.75">
      <c r="A5" s="1"/>
      <c r="B5" s="742"/>
      <c r="J5" s="743" t="s">
        <v>841</v>
      </c>
    </row>
    <row r="6" spans="1:10" ht="15.75">
      <c r="A6" s="1" t="s">
        <v>836</v>
      </c>
      <c r="B6" s="396"/>
      <c r="J6" s="743" t="s">
        <v>842</v>
      </c>
    </row>
    <row r="7" spans="1:10" ht="15.75">
      <c r="A7" s="393"/>
      <c r="B7" s="393"/>
      <c r="C7" s="393"/>
      <c r="D7" s="394"/>
      <c r="E7" s="393"/>
      <c r="F7" s="393"/>
      <c r="J7" s="743" t="s">
        <v>843</v>
      </c>
    </row>
    <row r="8" spans="1:10" ht="15.75">
      <c r="A8" s="395" t="s">
        <v>374</v>
      </c>
      <c r="B8" s="396"/>
      <c r="C8" s="397"/>
      <c r="D8" s="395" t="s">
        <v>834</v>
      </c>
      <c r="E8" s="393"/>
      <c r="F8" s="393"/>
      <c r="J8" s="743" t="s">
        <v>844</v>
      </c>
    </row>
    <row r="9" spans="1:10" ht="15.75">
      <c r="A9" s="395"/>
      <c r="B9" s="398"/>
      <c r="C9" s="399"/>
      <c r="D9" s="395">
        <f>IF(B8="","",CONCATENATE("Latest date for notice to be published in your newspaper: ",G19," ",G23,", ",G24))</f>
      </c>
      <c r="E9" s="393"/>
      <c r="F9" s="393"/>
      <c r="J9" s="743" t="s">
        <v>845</v>
      </c>
    </row>
    <row r="10" spans="1:10" ht="15.75">
      <c r="A10" s="395" t="s">
        <v>375</v>
      </c>
      <c r="B10" s="396"/>
      <c r="C10" s="400"/>
      <c r="D10" s="395"/>
      <c r="E10" s="393"/>
      <c r="F10" s="393"/>
      <c r="J10" s="743" t="s">
        <v>846</v>
      </c>
    </row>
    <row r="11" spans="1:10" ht="15.75">
      <c r="A11" s="395"/>
      <c r="B11" s="395"/>
      <c r="C11" s="395"/>
      <c r="D11" s="395"/>
      <c r="E11" s="393"/>
      <c r="F11" s="393"/>
      <c r="J11" s="743" t="s">
        <v>847</v>
      </c>
    </row>
    <row r="12" spans="1:10" ht="15.75">
      <c r="A12" s="395" t="s">
        <v>376</v>
      </c>
      <c r="B12" s="401"/>
      <c r="C12" s="401"/>
      <c r="D12" s="401"/>
      <c r="E12" s="402"/>
      <c r="F12" s="393"/>
      <c r="J12" s="743" t="s">
        <v>848</v>
      </c>
    </row>
    <row r="13" spans="1:6" ht="15.75">
      <c r="A13" s="395"/>
      <c r="B13" s="395"/>
      <c r="C13" s="395"/>
      <c r="D13" s="395"/>
      <c r="E13" s="393"/>
      <c r="F13" s="393"/>
    </row>
    <row r="14" spans="1:6" ht="15.75">
      <c r="A14" s="395"/>
      <c r="B14" s="395"/>
      <c r="C14" s="395"/>
      <c r="D14" s="395"/>
      <c r="E14" s="393"/>
      <c r="F14" s="393"/>
    </row>
    <row r="15" spans="1:6" ht="15.75">
      <c r="A15" s="395" t="s">
        <v>377</v>
      </c>
      <c r="B15" s="401"/>
      <c r="C15" s="401"/>
      <c r="D15" s="401"/>
      <c r="E15" s="402"/>
      <c r="F15" s="393"/>
    </row>
    <row r="18" spans="1:6" ht="15.75">
      <c r="A18" s="799" t="s">
        <v>378</v>
      </c>
      <c r="B18" s="799"/>
      <c r="C18" s="395"/>
      <c r="D18" s="395"/>
      <c r="E18" s="395"/>
      <c r="F18" s="393"/>
    </row>
    <row r="19" spans="1:7" ht="15.75">
      <c r="A19" s="395"/>
      <c r="B19" s="395"/>
      <c r="C19" s="395"/>
      <c r="D19" s="395"/>
      <c r="E19" s="395"/>
      <c r="F19" s="393"/>
      <c r="G19" s="743">
        <f ca="1">IF(B8="","",INDIRECT(G20))</f>
      </c>
    </row>
    <row r="20" spans="1:7" ht="15.75">
      <c r="A20" s="395" t="s">
        <v>374</v>
      </c>
      <c r="B20" s="398" t="s">
        <v>379</v>
      </c>
      <c r="C20" s="395"/>
      <c r="D20" s="395"/>
      <c r="E20" s="395"/>
      <c r="G20" s="744">
        <f>IF(B8="","",CONCATENATE("J",G22))</f>
      </c>
    </row>
    <row r="21" spans="1:7" ht="15.75">
      <c r="A21" s="395"/>
      <c r="B21" s="395"/>
      <c r="C21" s="395"/>
      <c r="D21" s="395"/>
      <c r="E21" s="395"/>
      <c r="G21" s="745">
        <f>B8-10</f>
        <v>-10</v>
      </c>
    </row>
    <row r="22" spans="1:7" ht="15.75">
      <c r="A22" s="395" t="s">
        <v>375</v>
      </c>
      <c r="B22" s="395" t="s">
        <v>380</v>
      </c>
      <c r="C22" s="395"/>
      <c r="D22" s="395"/>
      <c r="E22" s="395"/>
      <c r="G22" s="746">
        <f>IF(B8="","",MONTH(G21))</f>
      </c>
    </row>
    <row r="23" spans="1:7" ht="15.75">
      <c r="A23" s="395"/>
      <c r="B23" s="395"/>
      <c r="C23" s="395"/>
      <c r="D23" s="395"/>
      <c r="E23" s="395"/>
      <c r="G23" s="747">
        <f>IF(B8="","",DAY(G21))</f>
      </c>
    </row>
    <row r="24" spans="1:7" ht="15.75">
      <c r="A24" s="395" t="s">
        <v>376</v>
      </c>
      <c r="B24" s="395" t="s">
        <v>381</v>
      </c>
      <c r="C24" s="395"/>
      <c r="D24" s="395"/>
      <c r="E24" s="395"/>
      <c r="G24" s="748">
        <f>IF(B8="","",YEAR(G21))</f>
      </c>
    </row>
    <row r="25" spans="1:5" ht="15.75">
      <c r="A25" s="395"/>
      <c r="B25" s="395"/>
      <c r="C25" s="395"/>
      <c r="D25" s="395"/>
      <c r="E25" s="395"/>
    </row>
    <row r="26" spans="1:5" ht="15.75">
      <c r="A26" s="395" t="s">
        <v>377</v>
      </c>
      <c r="B26" s="395" t="s">
        <v>382</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C19" sqref="C19"/>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00" t="s">
        <v>71</v>
      </c>
      <c r="B1" s="800"/>
      <c r="C1" s="800"/>
      <c r="D1" s="800"/>
      <c r="E1" s="800"/>
      <c r="F1" s="800"/>
      <c r="G1" s="125">
        <f>inputPrYr!D5</f>
        <v>2013</v>
      </c>
    </row>
    <row r="2" spans="2:6" s="125" customFormat="1" ht="15.75">
      <c r="B2" s="126"/>
      <c r="C2" s="126"/>
      <c r="D2" s="126"/>
      <c r="E2" s="126"/>
      <c r="F2" s="127"/>
    </row>
    <row r="3" spans="1:7" s="125" customFormat="1" ht="15.75">
      <c r="A3" s="809" t="str">
        <f>CONCATENATE("To the Clerk of ",inputPrYr!D3,", State of Kansas")</f>
        <v>To the Clerk of GREENWOOD COUNTY, State of Kansas</v>
      </c>
      <c r="B3" s="808"/>
      <c r="C3" s="808"/>
      <c r="D3" s="808"/>
      <c r="E3" s="808"/>
      <c r="F3" s="808"/>
      <c r="G3" s="808"/>
    </row>
    <row r="4" spans="1:6" s="125" customFormat="1" ht="15.75">
      <c r="A4" s="809" t="s">
        <v>154</v>
      </c>
      <c r="B4" s="819"/>
      <c r="C4" s="819"/>
      <c r="D4" s="819"/>
      <c r="E4" s="819"/>
      <c r="F4" s="819"/>
    </row>
    <row r="5" spans="1:6" s="125" customFormat="1" ht="15.75">
      <c r="A5" s="820" t="str">
        <f>inputPrYr!D2</f>
        <v>FALL RIVER TOWNSHIP</v>
      </c>
      <c r="B5" s="819"/>
      <c r="C5" s="819"/>
      <c r="D5" s="819"/>
      <c r="E5" s="819"/>
      <c r="F5" s="819"/>
    </row>
    <row r="6" spans="1:6" s="125" customFormat="1" ht="15.75">
      <c r="A6" s="807" t="s">
        <v>152</v>
      </c>
      <c r="B6" s="808"/>
      <c r="C6" s="808"/>
      <c r="D6" s="808"/>
      <c r="E6" s="808"/>
      <c r="F6" s="808"/>
    </row>
    <row r="7" spans="1:6" s="125" customFormat="1" ht="15.75" customHeight="1">
      <c r="A7" s="809" t="s">
        <v>153</v>
      </c>
      <c r="B7" s="810"/>
      <c r="C7" s="810"/>
      <c r="D7" s="810"/>
      <c r="E7" s="810"/>
      <c r="F7" s="810"/>
    </row>
    <row r="8" spans="1:6" s="125" customFormat="1" ht="15.75" customHeight="1">
      <c r="A8" s="809" t="str">
        <f>CONCATENATE("maximum expenditures for the various funds for the year ",G1,"; and (3) the")</f>
        <v>maximum expenditures for the various funds for the year 2013; and (3) the</v>
      </c>
      <c r="B8" s="819"/>
      <c r="C8" s="819"/>
      <c r="D8" s="819"/>
      <c r="E8" s="819"/>
      <c r="F8" s="819"/>
    </row>
    <row r="9" spans="1:6" s="125" customFormat="1" ht="15.75" customHeight="1">
      <c r="A9" s="809" t="str">
        <f>CONCATENATE("Amount(s) of ",G1-1," Ad Valorem Tax are within statutory limitations for the ",G1," Budget.")</f>
        <v>Amount(s) of 2012 Ad Valorem Tax are within statutory limitations for the 2013 Budget.</v>
      </c>
      <c r="B9" s="819"/>
      <c r="C9" s="819"/>
      <c r="D9" s="819"/>
      <c r="E9" s="819"/>
      <c r="F9" s="819"/>
    </row>
    <row r="10" spans="4:6" s="125" customFormat="1" ht="15.75" customHeight="1">
      <c r="D10" s="129"/>
      <c r="E10" s="129"/>
      <c r="F10" s="129"/>
    </row>
    <row r="11" spans="3:6" s="125" customFormat="1" ht="16.5">
      <c r="C11" s="130"/>
      <c r="D11" s="804" t="str">
        <f>CONCATENATE("",G1," Adopted Budget")</f>
        <v>2013 Adopted Budget</v>
      </c>
      <c r="E11" s="805"/>
      <c r="F11" s="806"/>
    </row>
    <row r="12" spans="1:6" s="125" customFormat="1" ht="15.75">
      <c r="A12" s="131"/>
      <c r="C12" s="129"/>
      <c r="D12" s="132" t="s">
        <v>280</v>
      </c>
      <c r="E12" s="801" t="str">
        <f>CONCATENATE("Amount of ",G1-1," Ad Valorem Tax")</f>
        <v>Amount of 2012 Ad Valorem Tax</v>
      </c>
      <c r="F12" s="133" t="s">
        <v>281</v>
      </c>
    </row>
    <row r="13" spans="3:6" s="125" customFormat="1" ht="15.75">
      <c r="C13" s="133" t="s">
        <v>282</v>
      </c>
      <c r="D13" s="578" t="s">
        <v>210</v>
      </c>
      <c r="E13" s="802"/>
      <c r="F13" s="134" t="s">
        <v>283</v>
      </c>
    </row>
    <row r="14" spans="1:6" s="125" customFormat="1" ht="15.75">
      <c r="A14" s="741" t="s">
        <v>284</v>
      </c>
      <c r="B14" s="136"/>
      <c r="C14" s="137" t="s">
        <v>285</v>
      </c>
      <c r="D14" s="579" t="s">
        <v>721</v>
      </c>
      <c r="E14" s="803"/>
      <c r="F14" s="137" t="s">
        <v>287</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765</v>
      </c>
      <c r="B16" s="139"/>
      <c r="C16" s="141">
        <v>3</v>
      </c>
      <c r="D16" s="130"/>
      <c r="E16" s="130"/>
      <c r="F16" s="142"/>
    </row>
    <row r="17" spans="1:6" s="125" customFormat="1" ht="15.75">
      <c r="A17" s="143" t="s">
        <v>171</v>
      </c>
      <c r="B17" s="139"/>
      <c r="C17" s="141">
        <v>4</v>
      </c>
      <c r="D17" s="130"/>
      <c r="E17" s="130"/>
      <c r="F17" s="142"/>
    </row>
    <row r="18" spans="1:6" s="125" customFormat="1" ht="15.75">
      <c r="A18" s="143" t="s">
        <v>143</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288</v>
      </c>
      <c r="B20" s="145" t="s">
        <v>289</v>
      </c>
      <c r="C20" s="146"/>
      <c r="F20" s="147"/>
    </row>
    <row r="21" spans="1:6" s="125" customFormat="1" ht="15.75">
      <c r="A21" s="148" t="str">
        <f>inputPrYr!B16</f>
        <v>General</v>
      </c>
      <c r="B21" s="149" t="str">
        <f>inputPrYr!C16</f>
        <v>79-1962</v>
      </c>
      <c r="C21" s="150" t="str">
        <f>IF(gen!C61&gt;0,gen!C61,"  ")</f>
        <v>  </v>
      </c>
      <c r="D21" s="737" t="str">
        <f>IF(gen!$E$50&lt;&gt;0,gen!$E$50,"  ")</f>
        <v>  </v>
      </c>
      <c r="E21" s="737">
        <f>IF(gen!$E$57&lt;&gt;0,gen!$E$57,0)</f>
        <v>0</v>
      </c>
      <c r="F21" s="738" t="str">
        <f>IF(AND(gen!E57=0,$B$44&gt;=0)," ",IF(AND(E21&gt;0,$B$44=0)," ",IF(AND(E21&gt;0,$B$44&gt;0),ROUND(E21/$B$44*1000,3))))</f>
        <v> </v>
      </c>
    </row>
    <row r="22" spans="1:6" s="125" customFormat="1" ht="15.75">
      <c r="A22" s="148" t="s">
        <v>303</v>
      </c>
      <c r="B22" s="149" t="str">
        <f>inputPrYr!C17</f>
        <v>10-113</v>
      </c>
      <c r="C22" s="150" t="str">
        <f>IF('DebtSvs-Library'!C83&gt;0,'DebtSvs-Library'!C83,"  ")</f>
        <v>  </v>
      </c>
      <c r="D22" s="737" t="str">
        <f>IF('DebtSvs-Library'!E33&lt;&gt;0,'DebtSvs-Library'!E33,"  ")</f>
        <v>  </v>
      </c>
      <c r="E22" s="737" t="str">
        <f>IF('DebtSvs-Library'!E40&lt;&gt;0,'DebtSvs-Library'!E40,"  ")</f>
        <v>  </v>
      </c>
      <c r="F22" s="738"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7" t="str">
        <f>IF('DebtSvs-Library'!E73&lt;&gt;0,'DebtSvs-Library'!E73,"  ")</f>
        <v>  </v>
      </c>
      <c r="E23" s="737" t="str">
        <f>IF('DebtSvs-Library'!E80&lt;&gt;0,'DebtSvs-Library'!E80,"  ")</f>
        <v>  </v>
      </c>
      <c r="F23" s="738"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7" t="str">
        <f>IF(road!$E$43&lt;&gt;0,road!$E$43,"  ")</f>
        <v>  </v>
      </c>
      <c r="E24" s="737" t="str">
        <f>IF(road!$E$50&lt;&gt;0,road!$E$50,"  ")</f>
        <v>  </v>
      </c>
      <c r="F24" s="738"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7" t="str">
        <f>IF(levypage9!$E$33&lt;&gt;0,levypage9!$E$33,"  ")</f>
        <v>  </v>
      </c>
      <c r="E25" s="737" t="str">
        <f>IF(levypage9!$E$40&lt;&gt;0,levypage9!$E$40,"  ")</f>
        <v>  </v>
      </c>
      <c r="F25" s="738"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7" t="str">
        <f>IF(levypage9!$E$73&lt;&gt;0,levypage9!$E$73,"  ")</f>
        <v>  </v>
      </c>
      <c r="E26" s="737" t="str">
        <f>IF(levypage9!$E$80&lt;&gt;0,levypage9!$E$80,"  ")</f>
        <v>  </v>
      </c>
      <c r="F26" s="738"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7" t="str">
        <f>IF(levypage10!$E$33&lt;&gt;0,levypage10!$E$33,"  ")</f>
        <v>  </v>
      </c>
      <c r="E27" s="737" t="str">
        <f>IF(levypage10!$E$40&lt;&gt;0,levypage10!$E$40,"  ")</f>
        <v>  </v>
      </c>
      <c r="F27" s="738"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7" t="str">
        <f>IF(levypage10!$E$73&lt;&gt;0,levypage10!$E$73,"  ")</f>
        <v>  </v>
      </c>
      <c r="E28" s="737" t="str">
        <f>IF(levypage10!$E$80&lt;&gt;0,levypage10!$E$80,"  ")</f>
        <v>  </v>
      </c>
      <c r="F28" s="738"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7" t="str">
        <f>IF(levypage11!$E$33&lt;&gt;0,levypage11!$E$33,"  ")</f>
        <v>  </v>
      </c>
      <c r="E29" s="737" t="str">
        <f>IF(levypage11!$E$40&lt;&gt;0,levypage11!$E$40,"  ")</f>
        <v>  </v>
      </c>
      <c r="F29" s="738"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7" t="str">
        <f>IF(levypage11!$E$73&lt;&gt;0,levypage11!$E$73,"  ")</f>
        <v>  </v>
      </c>
      <c r="E30" s="737" t="str">
        <f>IF(levypage11!$E$80&lt;&gt;0,levypage11!$E$80,"  ")</f>
        <v>  </v>
      </c>
      <c r="F30" s="738"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7" t="str">
        <f>IF(levypage12!$E$33&lt;&gt;0,levypage12!$E$33,"  ")</f>
        <v>  </v>
      </c>
      <c r="E31" s="737" t="str">
        <f>IF(levypage12!$E$40&lt;&gt;0,levypage12!$E$40,"  ")</f>
        <v>  </v>
      </c>
      <c r="F31" s="738"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7" t="str">
        <f>IF(levypage12!$E$73&lt;&gt;0,levypage12!$E$73,"  ")</f>
        <v>  </v>
      </c>
      <c r="E32" s="737" t="str">
        <f>IF(levypage12!$E$80&lt;&gt;0,levypage12!$E$80,"  ")</f>
        <v>  </v>
      </c>
      <c r="F32" s="738" t="str">
        <f>IF(AND(levypage12!$E$80=0,$B$44&gt;=0)," ",IF(AND(E32&gt;0,$B$44=0)," ",IF(AND(E32&gt;0,$B$44&gt;0),ROUND(E32/$B$44*1000,3))))</f>
        <v> </v>
      </c>
    </row>
    <row r="33" spans="1:6" s="125" customFormat="1" ht="15.75">
      <c r="A33" s="151" t="str">
        <f>IF(inputPrYr!$B31&gt;"  ",inputPrYr!$B31,"  ")</f>
        <v>  </v>
      </c>
      <c r="B33" s="152"/>
      <c r="C33" s="153" t="str">
        <f>IF(nolevypage13!$C$65&gt;0,nolevypage13!$C$65,"  ")</f>
        <v>  </v>
      </c>
      <c r="D33" s="737" t="str">
        <f>IF(nolevypage13!$E$28&lt;&gt;0,nolevypage13!$E$28,"  ")</f>
        <v>  </v>
      </c>
      <c r="E33" s="737"/>
      <c r="F33" s="738"/>
    </row>
    <row r="34" spans="1:6" s="125" customFormat="1" ht="15.75">
      <c r="A34" s="154" t="str">
        <f>IF(inputPrYr!$B32&gt;"  ",inputPrYr!$B32,"  ")</f>
        <v>  </v>
      </c>
      <c r="B34" s="155"/>
      <c r="C34" s="153" t="str">
        <f>IF(nolevypage13!$C$65&gt;0,nolevypage13!$C$65,"  ")</f>
        <v>  </v>
      </c>
      <c r="D34" s="737" t="str">
        <f>IF(nolevypage13!$E$59&lt;&gt;0,nolevypage13!$E$59,"  ")</f>
        <v>  </v>
      </c>
      <c r="E34" s="737"/>
      <c r="F34" s="738"/>
    </row>
    <row r="35" spans="1:6" s="125" customFormat="1" ht="15.75">
      <c r="A35" s="151" t="str">
        <f>IF(inputPrYr!$B33&gt;"  ",inputPrYr!$B33,"  ")</f>
        <v>  </v>
      </c>
      <c r="B35" s="155"/>
      <c r="C35" s="153" t="str">
        <f>IF(nolevypage14!$C$65&gt;0,nolevypage14!$C$65,"  ")</f>
        <v>  </v>
      </c>
      <c r="D35" s="737" t="str">
        <f>IF(nolevypage14!$E$28&lt;&gt;0,nolevypage14!$E$28,"  ")</f>
        <v>  </v>
      </c>
      <c r="E35" s="737"/>
      <c r="F35" s="738"/>
    </row>
    <row r="36" spans="1:6" s="125" customFormat="1" ht="15.75">
      <c r="A36" s="154" t="str">
        <f>IF(inputPrYr!$B34&gt;"  ",inputPrYr!$B34,"  ")</f>
        <v>  </v>
      </c>
      <c r="B36" s="155"/>
      <c r="C36" s="153" t="str">
        <f>IF(nolevypage14!$C$65&gt;0,nolevypage14!$C$65,"  ")</f>
        <v>  </v>
      </c>
      <c r="D36" s="737" t="str">
        <f>IF(nolevypage14!$E$59&lt;&gt;0,nolevypage14!$E$59,"  ")</f>
        <v>  </v>
      </c>
      <c r="E36" s="737"/>
      <c r="F36" s="738"/>
    </row>
    <row r="37" spans="1:6" s="125" customFormat="1" ht="15.75">
      <c r="A37" s="151" t="str">
        <f>IF((inputPrYr!$B38&gt;"  "),(nonbud!$A3),"  ")</f>
        <v>  </v>
      </c>
      <c r="B37" s="155"/>
      <c r="C37" s="153" t="str">
        <f>IF(nonbud!$F$33&gt;0,nonbud!$F$33,"  ")</f>
        <v>  </v>
      </c>
      <c r="D37" s="737"/>
      <c r="E37" s="737"/>
      <c r="F37" s="738"/>
    </row>
    <row r="38" spans="1:6" s="125" customFormat="1" ht="15.75">
      <c r="A38" s="138" t="s">
        <v>290</v>
      </c>
      <c r="B38" s="152"/>
      <c r="C38" s="153" t="str">
        <f>IF(road!C67&gt;0,road!C67,"  ")</f>
        <v>  </v>
      </c>
      <c r="D38" s="207"/>
      <c r="E38" s="207"/>
      <c r="F38" s="738"/>
    </row>
    <row r="39" spans="1:6" s="125" customFormat="1" ht="16.5" thickBot="1">
      <c r="A39" s="156" t="s">
        <v>291</v>
      </c>
      <c r="B39" s="157"/>
      <c r="C39" s="158" t="s">
        <v>292</v>
      </c>
      <c r="D39" s="739">
        <f>SUM(D21:D32)</f>
        <v>0</v>
      </c>
      <c r="E39" s="739">
        <f>SUM(E21:E32)</f>
        <v>0</v>
      </c>
      <c r="F39" s="740">
        <f>IF(SUM(F21:F32)&gt;0,SUM(F21:F32),"")</f>
      </c>
    </row>
    <row r="40" spans="1:3" s="125" customFormat="1" ht="16.5" thickTop="1">
      <c r="A40" s="138" t="s">
        <v>170</v>
      </c>
      <c r="B40" s="147"/>
      <c r="C40" s="153">
        <f>summ!D53</f>
        <v>0</v>
      </c>
    </row>
    <row r="41" spans="1:5" s="125" customFormat="1" ht="15.75">
      <c r="A41" s="138" t="s">
        <v>217</v>
      </c>
      <c r="B41" s="139"/>
      <c r="C41" s="153">
        <f>IF(nhood!C41&gt;0,nhood!C41,"")</f>
      </c>
      <c r="D41" s="159" t="s">
        <v>159</v>
      </c>
      <c r="E41" s="160" t="str">
        <f>IF(E39&gt;computation!J34,"Yes","No")</f>
        <v>No</v>
      </c>
    </row>
    <row r="42" spans="1:5" s="125" customFormat="1" ht="15.75">
      <c r="A42" s="138" t="s">
        <v>158</v>
      </c>
      <c r="B42" s="139"/>
      <c r="C42" s="153">
        <f>IF(Resolution!D50&gt;0,Resolution!D50,"")</f>
      </c>
      <c r="D42" s="161"/>
      <c r="E42" s="162"/>
    </row>
    <row r="43" spans="1:6" s="125" customFormat="1" ht="15.75">
      <c r="A43" s="143" t="s">
        <v>99</v>
      </c>
      <c r="B43" s="811" t="s">
        <v>127</v>
      </c>
      <c r="C43" s="812"/>
      <c r="D43" s="163"/>
      <c r="F43" s="131" t="s">
        <v>293</v>
      </c>
    </row>
    <row r="44" spans="1:6" s="125" customFormat="1" ht="15.75">
      <c r="A44" s="138" t="s">
        <v>100</v>
      </c>
      <c r="B44" s="813"/>
      <c r="C44" s="814"/>
      <c r="D44" s="165"/>
      <c r="F44" s="131"/>
    </row>
    <row r="45" spans="1:6" s="125" customFormat="1" ht="15.75">
      <c r="A45" s="166"/>
      <c r="B45" s="815" t="s">
        <v>126</v>
      </c>
      <c r="C45" s="816"/>
      <c r="D45" s="163"/>
      <c r="F45" s="131"/>
    </row>
    <row r="46" spans="1:6" s="125" customFormat="1" ht="15.75">
      <c r="A46" s="166" t="s">
        <v>294</v>
      </c>
      <c r="D46" s="130"/>
      <c r="F46" s="131"/>
    </row>
    <row r="47" spans="1:6" s="125" customFormat="1" ht="15.75">
      <c r="A47" s="169"/>
      <c r="D47" s="163"/>
      <c r="E47" s="130"/>
      <c r="F47" s="130"/>
    </row>
    <row r="48" spans="1:2" s="125" customFormat="1" ht="15.75">
      <c r="A48" s="170"/>
      <c r="B48" s="129"/>
    </row>
    <row r="49" spans="1:6" s="125" customFormat="1" ht="15.75">
      <c r="A49" s="166" t="s">
        <v>147</v>
      </c>
      <c r="C49" s="130" t="s">
        <v>833</v>
      </c>
      <c r="D49" s="130"/>
      <c r="E49" s="130"/>
      <c r="F49" s="130"/>
    </row>
    <row r="50" spans="1:3" s="125" customFormat="1" ht="15.75">
      <c r="A50" s="169"/>
      <c r="C50" s="131"/>
    </row>
    <row r="51" spans="1:6" s="125" customFormat="1" ht="15.75">
      <c r="A51" s="170"/>
      <c r="B51" s="131"/>
      <c r="C51" s="130" t="s">
        <v>833</v>
      </c>
      <c r="D51" s="130"/>
      <c r="E51" s="129"/>
      <c r="F51" s="129"/>
    </row>
    <row r="52" spans="1:7" ht="15.75">
      <c r="A52" s="166" t="s">
        <v>832</v>
      </c>
      <c r="B52" s="129"/>
      <c r="C52" s="125"/>
      <c r="D52" s="125"/>
      <c r="E52" s="125"/>
      <c r="F52" s="125"/>
      <c r="G52" s="171"/>
    </row>
    <row r="53" spans="1:7" ht="15.75">
      <c r="A53" s="170"/>
      <c r="B53" s="129"/>
      <c r="C53" s="130" t="s">
        <v>833</v>
      </c>
      <c r="D53" s="130"/>
      <c r="E53" s="129"/>
      <c r="F53" s="129"/>
      <c r="G53" s="171"/>
    </row>
    <row r="54" spans="1:7" ht="15.75">
      <c r="A54" s="129"/>
      <c r="B54" s="125"/>
      <c r="C54" s="125"/>
      <c r="D54" s="125"/>
      <c r="E54" s="125"/>
      <c r="F54" s="125"/>
      <c r="G54" s="171"/>
    </row>
    <row r="55" spans="1:7" ht="15.75">
      <c r="A55" s="131" t="s">
        <v>151</v>
      </c>
      <c r="B55" s="175">
        <f>G1-1</f>
        <v>2012</v>
      </c>
      <c r="C55" s="130" t="s">
        <v>833</v>
      </c>
      <c r="D55" s="130"/>
      <c r="E55" s="129"/>
      <c r="F55" s="129"/>
      <c r="G55" s="171"/>
    </row>
    <row r="56" spans="1:7" ht="15.75">
      <c r="A56" s="125"/>
      <c r="B56" s="125"/>
      <c r="C56" s="125"/>
      <c r="D56" s="125"/>
      <c r="E56" s="131"/>
      <c r="F56" s="125"/>
      <c r="G56" s="171"/>
    </row>
    <row r="57" spans="1:7" ht="15.75">
      <c r="A57" s="168"/>
      <c r="B57" s="125"/>
      <c r="C57" s="130" t="s">
        <v>833</v>
      </c>
      <c r="D57" s="130"/>
      <c r="E57" s="130"/>
      <c r="F57" s="130"/>
      <c r="G57" s="171"/>
    </row>
    <row r="58" spans="1:6" ht="15.75">
      <c r="A58" s="128" t="s">
        <v>296</v>
      </c>
      <c r="B58" s="125"/>
      <c r="C58" s="817" t="s">
        <v>295</v>
      </c>
      <c r="D58" s="818"/>
      <c r="E58" s="818"/>
      <c r="F58" s="818"/>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FALL RIVER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2" t="str">
        <f>CONCATENATE("Computation to Determine Limit for ",J1,"")</f>
        <v>Computation to Determine Limit for 2013</v>
      </c>
      <c r="B3" s="800"/>
      <c r="C3" s="800"/>
      <c r="D3" s="800"/>
      <c r="E3" s="800"/>
      <c r="F3" s="800"/>
      <c r="G3" s="800"/>
      <c r="H3" s="800"/>
      <c r="I3" s="800"/>
      <c r="J3" s="800"/>
    </row>
    <row r="4" spans="1:10" ht="15.75">
      <c r="A4" s="125"/>
      <c r="B4" s="125"/>
      <c r="C4" s="125"/>
      <c r="D4" s="125"/>
      <c r="E4" s="800"/>
      <c r="F4" s="800"/>
      <c r="G4" s="800"/>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0</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0</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27240</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22053</v>
      </c>
      <c r="F14" s="181"/>
      <c r="G14" s="180"/>
      <c r="H14" s="180"/>
      <c r="I14" s="186"/>
      <c r="J14" s="180"/>
    </row>
    <row r="15" spans="1:10" ht="15.75">
      <c r="A15" s="179"/>
      <c r="B15" s="125" t="s">
        <v>89</v>
      </c>
      <c r="C15" s="125" t="str">
        <f>CONCATENATE("Personal Property ",J1-2,"")</f>
        <v>Personal Property 2011</v>
      </c>
      <c r="D15" s="179" t="s">
        <v>84</v>
      </c>
      <c r="E15" s="185">
        <f>inputOth!E11</f>
        <v>20004</v>
      </c>
      <c r="F15" s="181"/>
      <c r="G15" s="186"/>
      <c r="H15" s="186"/>
      <c r="I15" s="180"/>
      <c r="J15" s="180"/>
    </row>
    <row r="16" spans="1:10" ht="15.75">
      <c r="A16" s="179"/>
      <c r="B16" s="125" t="s">
        <v>90</v>
      </c>
      <c r="C16" s="125" t="s">
        <v>110</v>
      </c>
      <c r="D16" s="125"/>
      <c r="E16" s="180"/>
      <c r="F16" s="180" t="s">
        <v>15</v>
      </c>
      <c r="G16" s="182">
        <f>IF(E14&gt;E15,E14-E15,0)</f>
        <v>2049</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10216</v>
      </c>
      <c r="H18" s="180"/>
      <c r="I18" s="180"/>
      <c r="J18" s="180"/>
    </row>
    <row r="19" spans="1:10" ht="15.75">
      <c r="A19" s="125" t="s">
        <v>280</v>
      </c>
      <c r="B19" s="125"/>
      <c r="C19" s="125"/>
      <c r="D19" s="179"/>
      <c r="E19" s="186"/>
      <c r="F19" s="186"/>
      <c r="G19" s="186"/>
      <c r="H19" s="180"/>
      <c r="I19" s="180"/>
      <c r="J19" s="180"/>
    </row>
    <row r="20" spans="1:10" ht="15.75">
      <c r="A20" s="179" t="s">
        <v>92</v>
      </c>
      <c r="B20" s="184" t="s">
        <v>111</v>
      </c>
      <c r="C20" s="125"/>
      <c r="D20" s="125"/>
      <c r="E20" s="180"/>
      <c r="F20" s="180"/>
      <c r="G20" s="182">
        <f>G11+G16+G18</f>
        <v>39505</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1443637</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1404132</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0.028134819233519355</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0</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0</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0</v>
      </c>
    </row>
    <row r="35" spans="1:10" ht="16.5" thickTop="1">
      <c r="A35" s="125"/>
      <c r="B35" s="125"/>
      <c r="C35" s="125"/>
      <c r="D35" s="125"/>
      <c r="E35" s="125"/>
      <c r="F35" s="125"/>
      <c r="G35" s="125"/>
      <c r="H35" s="125"/>
      <c r="I35" s="125"/>
      <c r="J35" s="125"/>
    </row>
    <row r="36" spans="1:10" s="191" customFormat="1" ht="18.75">
      <c r="A36" s="821" t="str">
        <f>CONCATENATE("If the ",J1," budget includes tax levies exceeding the total on line 14, you must")</f>
        <v>If the 2013 budget includes tax levies exceeding the total on line 14, you must</v>
      </c>
      <c r="B36" s="821"/>
      <c r="C36" s="821"/>
      <c r="D36" s="821"/>
      <c r="E36" s="821"/>
      <c r="F36" s="821"/>
      <c r="G36" s="821"/>
      <c r="H36" s="821"/>
      <c r="I36" s="821"/>
      <c r="J36" s="821"/>
    </row>
    <row r="37" spans="1:10" s="191" customFormat="1" ht="18.75">
      <c r="A37" s="821" t="s">
        <v>115</v>
      </c>
      <c r="B37" s="821"/>
      <c r="C37" s="821"/>
      <c r="D37" s="821"/>
      <c r="E37" s="821"/>
      <c r="F37" s="821"/>
      <c r="G37" s="821"/>
      <c r="H37" s="821"/>
      <c r="I37" s="821"/>
      <c r="J37" s="82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FALL RIVER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7" t="s">
        <v>827</v>
      </c>
      <c r="C6" s="818"/>
      <c r="D6" s="818"/>
      <c r="E6" s="818"/>
      <c r="F6" s="818"/>
      <c r="G6" s="818"/>
      <c r="H6" s="818"/>
      <c r="I6" s="818"/>
      <c r="J6" s="818"/>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825</v>
      </c>
      <c r="C9" s="199"/>
      <c r="D9" s="729" t="s">
        <v>826</v>
      </c>
      <c r="E9" s="823" t="str">
        <f>CONCATENATE("Budget Tax Levy Rate for ",J1-1,"")</f>
        <v>Budget Tax Levy Rate for 2012</v>
      </c>
      <c r="F9" s="200"/>
      <c r="G9" s="804" t="str">
        <f>CONCATENATE("Allocation for Year ",J1,"")</f>
        <v>Allocation for Year 2013</v>
      </c>
      <c r="H9" s="825"/>
      <c r="I9" s="825"/>
      <c r="J9" s="826"/>
      <c r="K9" s="193"/>
      <c r="L9" s="193"/>
    </row>
    <row r="10" spans="2:12" ht="15.75">
      <c r="B10" s="730" t="str">
        <f>CONCATENATE("for ",J1-1,"")</f>
        <v>for 2012</v>
      </c>
      <c r="C10" s="201"/>
      <c r="D10" s="323" t="str">
        <f>CONCATENATE("Amount for ",J1,"")</f>
        <v>Amount for 2013</v>
      </c>
      <c r="E10" s="824"/>
      <c r="F10" s="155"/>
      <c r="G10" s="137" t="s">
        <v>79</v>
      </c>
      <c r="H10" s="137"/>
      <c r="I10" s="137" t="s">
        <v>80</v>
      </c>
      <c r="J10" s="141" t="s">
        <v>123</v>
      </c>
      <c r="K10" s="193"/>
      <c r="L10" s="193"/>
    </row>
    <row r="11" spans="2:12" ht="15.75">
      <c r="B11" s="148" t="str">
        <f>inputPrYr!B16</f>
        <v>General</v>
      </c>
      <c r="C11" s="203"/>
      <c r="D11" s="148" t="str">
        <f>IF(inputPrYr!E16&gt;0,inputPrYr!E16,"  ")</f>
        <v>  </v>
      </c>
      <c r="E11" s="204">
        <f>IF(inputOth!D17&gt;0,inputOth!D17,"  ")</f>
        <v>2.343</v>
      </c>
      <c r="F11" s="205"/>
      <c r="G11" s="148">
        <f>IF(inputPrYr!E16=0,0,G25-SUM(G12:G22))</f>
        <v>0</v>
      </c>
      <c r="H11" s="206"/>
      <c r="I11" s="148">
        <f>IF(inputPrYr!E16=0,0,I27-SUM(I12:I22))</f>
        <v>0</v>
      </c>
      <c r="J11" s="148">
        <f>IF(inputPrYr!E16=0,0,J29-SUM(J12:J22))</f>
        <v>0</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0</v>
      </c>
      <c r="E14" s="204">
        <f>IF(inputOth!D20&gt;0,inputOth!D20,"  ")</f>
        <v>18.111</v>
      </c>
      <c r="F14" s="205"/>
      <c r="G14" s="148">
        <f>IF(inputPrYr!E19=0,0,ROUND(D14*$G$31,0))</f>
        <v>0</v>
      </c>
      <c r="H14" s="206"/>
      <c r="I14" s="148">
        <f>IF(inputPrYr!$E$19=0,0,ROUND($D$14*$I$33,0))</f>
        <v>0</v>
      </c>
      <c r="J14" s="148">
        <f>IF(inputPrYr!E19=0,0,ROUND($D14*$J$35,0))</f>
        <v>0</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278</v>
      </c>
      <c r="C23" s="208"/>
      <c r="D23" s="209">
        <f aca="true" t="shared" si="0" ref="D23:J23">SUM(D11:D22)</f>
        <v>0</v>
      </c>
      <c r="E23" s="210">
        <f>SUM(E11:E22)</f>
        <v>20.454</v>
      </c>
      <c r="F23" s="211"/>
      <c r="G23" s="209">
        <f t="shared" si="0"/>
        <v>0</v>
      </c>
      <c r="H23" s="209"/>
      <c r="I23" s="209">
        <f t="shared" si="0"/>
        <v>0</v>
      </c>
      <c r="J23" s="209">
        <f t="shared" si="0"/>
        <v>0</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3258</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37</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479</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FALL RIVER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00" t="s">
        <v>171</v>
      </c>
      <c r="B5" s="800"/>
      <c r="C5" s="800"/>
      <c r="D5" s="800"/>
      <c r="E5" s="800"/>
      <c r="F5" s="800"/>
    </row>
    <row r="6" spans="1:6" ht="14.25" customHeight="1">
      <c r="A6" s="124"/>
      <c r="B6" s="223"/>
      <c r="C6" s="223"/>
      <c r="D6" s="223"/>
      <c r="E6" s="223"/>
      <c r="F6" s="223"/>
    </row>
    <row r="7" spans="1:6" ht="15" customHeight="1">
      <c r="A7" s="224" t="s">
        <v>286</v>
      </c>
      <c r="B7" s="224" t="s">
        <v>611</v>
      </c>
      <c r="C7" s="225" t="s">
        <v>32</v>
      </c>
      <c r="D7" s="225" t="s">
        <v>172</v>
      </c>
      <c r="E7" s="224" t="s">
        <v>173</v>
      </c>
      <c r="F7" s="224" t="s">
        <v>174</v>
      </c>
    </row>
    <row r="8" spans="1:6" ht="15" customHeight="1">
      <c r="A8" s="226" t="s">
        <v>612</v>
      </c>
      <c r="B8" s="226" t="s">
        <v>613</v>
      </c>
      <c r="C8" s="227" t="s">
        <v>175</v>
      </c>
      <c r="D8" s="227" t="s">
        <v>175</v>
      </c>
      <c r="E8" s="227" t="s">
        <v>175</v>
      </c>
      <c r="F8" s="227" t="s">
        <v>176</v>
      </c>
    </row>
    <row r="9" spans="1:6" s="230" customFormat="1" ht="15" customHeight="1" thickBot="1">
      <c r="A9" s="228" t="s">
        <v>177</v>
      </c>
      <c r="B9" s="229" t="s">
        <v>178</v>
      </c>
      <c r="C9" s="229">
        <f>F1-2</f>
        <v>2011</v>
      </c>
      <c r="D9" s="229">
        <f>F1-1</f>
        <v>2012</v>
      </c>
      <c r="E9" s="229">
        <f>F1</f>
        <v>2013</v>
      </c>
      <c r="F9" s="229" t="s">
        <v>273</v>
      </c>
    </row>
    <row r="10" spans="1:6" ht="15" customHeight="1" thickTop="1">
      <c r="A10" s="231"/>
      <c r="B10" s="231"/>
      <c r="C10" s="232"/>
      <c r="D10" s="232"/>
      <c r="E10" s="232"/>
      <c r="F10" s="231"/>
    </row>
    <row r="11" spans="1:6" ht="15" customHeight="1">
      <c r="A11" s="233" t="s">
        <v>251</v>
      </c>
      <c r="B11" s="233" t="s">
        <v>290</v>
      </c>
      <c r="C11" s="234">
        <f>gen!$C$43</f>
        <v>0</v>
      </c>
      <c r="D11" s="234">
        <f>gen!$D$43</f>
        <v>0</v>
      </c>
      <c r="E11" s="234">
        <f>gen!$E$43</f>
        <v>0</v>
      </c>
      <c r="F11" s="233">
        <f>IF(C11+D11+E11&gt;0,"80-1406b","")</f>
      </c>
    </row>
    <row r="12" spans="1:6" ht="15" customHeight="1">
      <c r="A12" s="233" t="s">
        <v>251</v>
      </c>
      <c r="B12" s="233" t="s">
        <v>290</v>
      </c>
      <c r="C12" s="234">
        <f>gen!$C$45</f>
        <v>0</v>
      </c>
      <c r="D12" s="234">
        <f>gen!$D$45</f>
        <v>0</v>
      </c>
      <c r="E12" s="234">
        <f>gen!$E$45</f>
        <v>0</v>
      </c>
      <c r="F12" s="233">
        <f>IF(C12+D12+E12&gt;0,"80-122","")</f>
      </c>
    </row>
    <row r="13" spans="1:6" ht="15" customHeight="1">
      <c r="A13" s="233" t="s">
        <v>277</v>
      </c>
      <c r="B13" s="233" t="s">
        <v>290</v>
      </c>
      <c r="C13" s="234">
        <f>road!$C$38</f>
        <v>0</v>
      </c>
      <c r="D13" s="234">
        <f>road!$D$38</f>
        <v>0</v>
      </c>
      <c r="E13" s="234">
        <f>road!$E$38</f>
        <v>0</v>
      </c>
      <c r="F13" s="233">
        <f>IF(C13+D13+E13&gt;0,"68-141g","")</f>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278</v>
      </c>
      <c r="C27" s="240">
        <f>SUM(C10:C26)</f>
        <v>0</v>
      </c>
      <c r="D27" s="240">
        <f>SUM(D10:D26)</f>
        <v>0</v>
      </c>
      <c r="E27" s="240">
        <f>SUM(E10:E26)</f>
        <v>0</v>
      </c>
      <c r="F27" s="238"/>
    </row>
    <row r="28" spans="1:6" ht="15.75">
      <c r="A28" s="238"/>
      <c r="B28" s="239" t="s">
        <v>610</v>
      </c>
      <c r="C28" s="238"/>
      <c r="D28" s="235"/>
      <c r="E28" s="235"/>
      <c r="F28" s="238"/>
    </row>
    <row r="29" spans="1:6" ht="15.75">
      <c r="A29" s="238"/>
      <c r="B29" s="146" t="s">
        <v>179</v>
      </c>
      <c r="C29" s="241">
        <f>C27</f>
        <v>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614</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321</v>
      </c>
    </row>
    <row r="2" ht="15.75">
      <c r="A2" s="172"/>
    </row>
    <row r="3" ht="51" customHeight="1">
      <c r="A3" s="436" t="s">
        <v>707</v>
      </c>
    </row>
    <row r="4" ht="17.25" customHeight="1">
      <c r="A4" s="436"/>
    </row>
    <row r="5" ht="15.75">
      <c r="A5" s="172"/>
    </row>
    <row r="6" ht="52.5" customHeight="1">
      <c r="A6" s="385" t="s">
        <v>361</v>
      </c>
    </row>
    <row r="7" ht="15.75">
      <c r="A7" s="172"/>
    </row>
    <row r="8" ht="15.75">
      <c r="A8" s="172"/>
    </row>
    <row r="9" ht="70.5" customHeight="1">
      <c r="A9" s="385" t="s">
        <v>362</v>
      </c>
    </row>
    <row r="10" ht="15.75">
      <c r="A10" s="386"/>
    </row>
    <row r="11" ht="15.75">
      <c r="A11" s="386"/>
    </row>
    <row r="12" ht="63">
      <c r="A12" s="440" t="s">
        <v>708</v>
      </c>
    </row>
    <row r="13" ht="15.75">
      <c r="A13" s="386"/>
    </row>
    <row r="14" ht="15.75">
      <c r="A14" s="386"/>
    </row>
    <row r="15" ht="63">
      <c r="A15" s="440" t="s">
        <v>709</v>
      </c>
    </row>
    <row r="16" ht="15.75">
      <c r="A16" s="386"/>
    </row>
    <row r="17" ht="15.75">
      <c r="A17" s="172"/>
    </row>
    <row r="18" ht="56.25" customHeight="1">
      <c r="A18" s="385" t="s">
        <v>363</v>
      </c>
    </row>
    <row r="19" ht="15.75">
      <c r="A19" s="386"/>
    </row>
    <row r="20" ht="15.75">
      <c r="A20" s="386"/>
    </row>
    <row r="21" ht="87.75" customHeight="1">
      <c r="A21" s="385" t="s">
        <v>364</v>
      </c>
    </row>
    <row r="22" ht="15.75">
      <c r="A22" s="386"/>
    </row>
    <row r="23" ht="15.75">
      <c r="A23" s="172"/>
    </row>
    <row r="24" ht="54.75" customHeight="1">
      <c r="A24" s="385" t="s">
        <v>365</v>
      </c>
    </row>
    <row r="25" ht="15.75">
      <c r="A25" s="172"/>
    </row>
    <row r="26" ht="15.75" customHeight="1">
      <c r="A26" s="172"/>
    </row>
    <row r="27" ht="69" customHeight="1">
      <c r="A27" s="385" t="s">
        <v>366</v>
      </c>
    </row>
    <row r="28" ht="15.75" customHeight="1">
      <c r="A28" s="385"/>
    </row>
    <row r="29" ht="15.75" customHeight="1">
      <c r="A29" s="385"/>
    </row>
    <row r="30" ht="87" customHeight="1">
      <c r="A30" s="385" t="s">
        <v>850</v>
      </c>
    </row>
    <row r="31" ht="15.75">
      <c r="A31" s="172"/>
    </row>
    <row r="32" ht="15.75">
      <c r="A32" s="387"/>
    </row>
    <row r="33" ht="47.25" customHeight="1">
      <c r="A33" s="388" t="s">
        <v>367</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2012-02-06T13:30:38Z</cp:lastPrinted>
  <dcterms:created xsi:type="dcterms:W3CDTF">1998-08-26T16:30:41Z</dcterms:created>
  <dcterms:modified xsi:type="dcterms:W3CDTF">2012-07-18T17:02:52Z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