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<sst xmlns="http://schemas.openxmlformats.org/spreadsheetml/2006/main" count="1558" uniqueCount="942">
  <si>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</si>
  <si>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</si>
  <si>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</si>
  <si>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</si>
  <si>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</si>
  <si>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</si>
  <si>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</si>
  <si>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</si>
  <si>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</si>
  <si>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</si>
  <si>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</si>
  <si>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</si>
  <si>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</si>
  <si>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</si>
  <si>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</si>
  <si>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</si>
  <si>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</si>
  <si>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</si>
  <si>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</si>
  <si>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</si>
  <si>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</si>
  <si>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</si>
  <si>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</si>
  <si>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</si>
  <si>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</si>
  <si>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</si>
  <si>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</si>
  <si>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</si>
  <si>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</si>
  <si>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</si>
  <si>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</si>
  <si>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</si>
  <si>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</si>
  <si>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</si>
  <si>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</si>
  <si>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</si>
  <si>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</si>
  <si>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</si>
  <si>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</si>
  <si>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</si>
  <si>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</si>
  <si>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</si>
  <si>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</si>
  <si>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</si>
  <si>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</si>
  <si>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</si>
  <si>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</si>
  <si>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</si>
  <si>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</si>
  <si>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</si>
  <si>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</si>
  <si>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</si>
  <si>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</si>
  <si>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</si>
  <si>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</si>
  <si>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</si>
  <si>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</si>
  <si>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</si>
  <si>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</si>
  <si>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</si>
  <si>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</si>
  <si>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</si>
  <si>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</si>
  <si>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</si>
  <si>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</si>
  <si>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</si>
  <si>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</si>
  <si>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</si>
  <si>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</si>
  <si>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</si>
  <si>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</si>
  <si>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</si>
  <si>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</si>
  <si>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</si>
  <si>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</si>
  <si>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</si>
  <si>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</si>
  <si>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</si>
  <si>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</si>
  <si>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</si>
  <si>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</si>
  <si>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</si>
  <si>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</si>
  <si>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</si>
  <si>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</si>
  <si>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</si>
  <si>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</si>
  <si>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</si>
  <si>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</si>
  <si>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</si>
  <si>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</si>
  <si>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</si>
  <si>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</si>
  <si>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</si>
  <si>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</si>
  <si>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</si>
  <si>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</si>
  <si>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</si>
  <si>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</si>
  <si>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</si>
  <si>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</si>
  <si>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</si>
  <si>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</si>
  <si>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</si>
  <si>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</si>
  <si>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</si>
  <si>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</si>
  <si>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</si>
  <si>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</si>
  <si>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</si>
  <si>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</si>
  <si>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</si>
  <si>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</si>
  <si>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</si>
  <si>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</si>
  <si>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</si>
  <si>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</si>
  <si>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</si>
  <si>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</si>
  <si>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</si>
  <si>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</si>
  <si>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</si>
  <si>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</si>
  <si>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</si>
  <si>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</si>
  <si>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</si>
  <si>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</si>
  <si>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</si>
  <si>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</si>
  <si>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</si>
  <si>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</si>
  <si>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</si>
  <si>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</si>
  <si>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</si>
  <si>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</si>
  <si>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</si>
  <si>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</si>
  <si>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</si>
  <si>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</si>
  <si>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</si>
  <si>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</si>
  <si>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</si>
  <si>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</si>
  <si>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</si>
  <si>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</si>
  <si>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</si>
  <si>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</si>
  <si>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</si>
  <si>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</si>
  <si>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</si>
  <si>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</si>
  <si>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</si>
  <si>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</si>
  <si>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</si>
  <si>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</si>
  <si>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</si>
  <si>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</si>
  <si>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</si>
  <si>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</si>
  <si>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</si>
  <si>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</si>
  <si>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</si>
  <si>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</si>
  <si>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</si>
  <si>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</si>
  <si>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</si>
  <si>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</si>
  <si>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</si>
  <si>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</si>
  <si>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</si>
  <si>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</si>
  <si>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</si>
  <si>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</si>
  <si>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</si>
  <si>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</si>
  <si>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</si>
  <si>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</si>
  <si>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</si>
  <si>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</si>
  <si>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</si>
  <si>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</si>
  <si>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</si>
  <si>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</si>
  <si>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</si>
  <si>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</si>
  <si>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</si>
  <si>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</si>
  <si>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</si>
  <si>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</si>
  <si>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</si>
  <si>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</si>
  <si>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</si>
  <si>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</si>
  <si>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</si>
  <si>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</si>
  <si>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</si>
  <si>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</si>
  <si>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</si>
  <si>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</si>
  <si>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</si>
  <si>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</si>
  <si>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</si>
  <si>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</si>
  <si>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</si>
  <si>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</si>
  <si>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</si>
  <si>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</si>
  <si>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</si>
  <si>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</si>
  <si>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</si>
  <si>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</si>
  <si>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</si>
  <si>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</si>
  <si>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</si>
  <si>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</si>
  <si>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</si>
  <si>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</si>
  <si>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</si>
  <si>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</si>
  <si>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</si>
  <si>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</si>
  <si>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</si>
  <si>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</si>
  <si>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</si>
  <si>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</si>
  <si>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</si>
  <si>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</si>
  <si>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</si>
  <si>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</si>
  <si>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</si>
  <si>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</si>
  <si>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</si>
  <si>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</si>
  <si>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</si>
  <si>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</si>
  <si>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</si>
  <si>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</si>
  <si>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</si>
  <si>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</si>
  <si>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</si>
  <si>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</si>
  <si>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</si>
  <si>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</si>
  <si>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</si>
  <si>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</si>
  <si>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</si>
  <si>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</si>
  <si>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</si>
  <si>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</si>
  <si>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</si>
  <si>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</si>
  <si>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</si>
  <si>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</si>
  <si>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</si>
  <si>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</si>
  <si>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</si>
  <si>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</si>
  <si>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</si>
  <si>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</si>
  <si>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</si>
  <si>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</si>
  <si>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</si>
  <si>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</si>
  <si>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</si>
  <si>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</si>
  <si>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</si>
  <si>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</si>
  <si>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</si>
  <si>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</si>
  <si>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</si>
  <si>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</si>
  <si>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</si>
  <si>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</si>
  <si>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</si>
  <si>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</si>
  <si>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</si>
  <si>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</si>
  <si>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</si>
  <si>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</si>
  <si>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</si>
  <si>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</si>
  <si>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</si>
  <si>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</si>
  <si>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</si>
  <si>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</si>
  <si>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</si>
  <si>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</si>
  <si>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</si>
  <si>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</si>
  <si>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</si>
  <si>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</si>
  <si>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</si>
  <si>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</si>
  <si>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</si>
  <si>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</si>
  <si>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</si>
  <si>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</si>
  <si>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</si>
  <si>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</si>
  <si>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</si>
  <si>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</si>
  <si>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</si>
  <si>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</si>
  <si>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</si>
  <si>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</si>
  <si>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</si>
  <si>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</si>
  <si>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</si>
  <si>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</si>
  <si>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</si>
  <si>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</si>
  <si>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</si>
  <si>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</si>
  <si>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</si>
  <si>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</si>
  <si>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</si>
  <si>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</si>
  <si>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</si>
  <si>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</si>
  <si>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</si>
  <si>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</si>
  <si>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</si>
  <si>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</si>
  <si>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</si>
  <si>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</si>
  <si>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</si>
  <si>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</si>
  <si>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</si>
  <si>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</si>
  <si>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</si>
  <si>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</si>
  <si>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</si>
  <si>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</si>
  <si>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</si>
  <si>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</si>
  <si>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</si>
  <si>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</si>
  <si>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</si>
  <si>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</si>
  <si>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</si>
  <si>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</si>
  <si>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</si>
  <si>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</si>
  <si>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</si>
  <si>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</si>
  <si>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</si>
  <si>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</si>
  <si>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</si>
  <si>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</si>
  <si>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</si>
  <si>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</si>
  <si>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</si>
  <si>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</si>
  <si>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</si>
  <si>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</si>
  <si>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</si>
  <si>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</si>
  <si>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</si>
  <si>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</si>
  <si>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</si>
  <si>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</si>
  <si>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</si>
  <si>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</si>
  <si>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</si>
  <si>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</si>
  <si>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</si>
  <si>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</si>
  <si>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</si>
  <si>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</si>
  <si>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</si>
  <si>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</si>
  <si>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</si>
  <si>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</si>
  <si>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</si>
  <si>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</si>
  <si>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</si>
  <si>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</si>
  <si>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</si>
  <si>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</si>
  <si>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</si>
  <si>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</si>
  <si>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</si>
  <si>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</si>
  <si>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</si>
  <si>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</si>
  <si>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</si>
  <si>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</si>
  <si>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</si>
  <si>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</si>
  <si>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</si>
  <si>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</si>
  <si>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</si>
  <si>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</si>
  <si>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</si>
  <si>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</si>
  <si>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</si>
  <si>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</si>
  <si>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</si>
  <si>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</si>
  <si>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</si>
  <si>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</si>
  <si>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</si>
  <si>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</si>
  <si>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</si>
  <si>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</si>
  <si>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</si>
  <si>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</si>
  <si>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</si>
  <si>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</si>
  <si>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</si>
  <si>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</si>
  <si>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</si>
  <si>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</si>
  <si>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</si>
  <si>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</si>
  <si>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</si>
  <si>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</si>
  <si>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</si>
  <si>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</si>
  <si>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</si>
  <si>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</si>
  <si>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</si>
  <si>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</si>
  <si>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</si>
  <si>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</si>
  <si>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</si>
  <si>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</si>
  <si>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</si>
  <si>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</si>
  <si>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</si>
  <si>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</si>
  <si>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</si>
  <si>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</si>
  <si>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</si>
  <si>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</si>
  <si>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</si>
  <si>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</si>
  <si>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</si>
  <si>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</si>
  <si>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</si>
  <si>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</si>
  <si>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</si>
  <si>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</si>
  <si>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</si>
  <si>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</si>
  <si>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</si>
  <si>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</si>
  <si>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</si>
  <si>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</si>
  <si>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</si>
  <si>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</si>
  <si>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</si>
  <si>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</si>
  <si>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</si>
  <si>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</si>
  <si>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</si>
  <si>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</si>
  <si>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</si>
  <si>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</si>
  <si>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</si>
  <si>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</si>
  <si>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</si>
  <si>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</si>
  <si>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</si>
  <si>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</si>
  <si>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</si>
  <si>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</si>
  <si>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</si>
  <si>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</si>
  <si>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</si>
  <si>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</si>
  <si>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</si>
  <si>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</si>
  <si>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</si>
  <si>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</si>
  <si>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</si>
  <si>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</si>
  <si>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</si>
  <si>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</si>
  <si>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</si>
  <si>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</si>
  <si>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</si>
  <si>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</si>
  <si>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</si>
  <si>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</si>
  <si>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</si>
  <si>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</si>
  <si>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</si>
  <si>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</si>
  <si>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</si>
  <si>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</si>
  <si>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</si>
  <si>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</si>
  <si>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</si>
  <si>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</si>
  <si>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</si>
  <si>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</si>
  <si>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</si>
  <si>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</si>
  <si>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</si>
  <si>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</si>
  <si>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</si>
  <si>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</si>
  <si>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</si>
  <si>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</si>
  <si>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</si>
  <si>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</si>
  <si>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</si>
  <si>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</si>
  <si>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</si>
  <si>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</si>
  <si>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</si>
  <si>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</si>
  <si>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</si>
  <si>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</si>
  <si>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</si>
  <si>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</si>
  <si>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</si>
  <si>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</si>
  <si>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</si>
  <si>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</si>
  <si>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</si>
  <si>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</si>
  <si>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</si>
  <si>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</si>
  <si>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</si>
  <si>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</si>
  <si>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</si>
  <si>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</si>
  <si>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</si>
  <si>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</si>
  <si>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</si>
  <si>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</si>
  <si>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</si>
  <si>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</si>
  <si>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</si>
  <si>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</si>
  <si>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</si>
  <si>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</si>
  <si>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</si>
  <si>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</si>
  <si>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</si>
  <si>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</si>
  <si>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</si>
  <si>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</si>
  <si>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</si>
  <si>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</si>
  <si>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</si>
  <si>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</si>
  <si>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</si>
  <si>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</si>
  <si>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</si>
  <si>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</si>
  <si>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</si>
  <si>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</si>
  <si>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</si>
  <si>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</si>
  <si>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</si>
  <si>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</si>
  <si>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</si>
  <si>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</si>
  <si>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</si>
  <si>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</si>
  <si>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</si>
  <si>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</si>
  <si>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</si>
  <si>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</si>
  <si>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</si>
  <si>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</si>
  <si>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</si>
  <si>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</si>
  <si>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</si>
  <si>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</si>
  <si>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</si>
  <si>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</si>
  <si>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</si>
  <si>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</si>
  <si>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</si>
  <si>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</si>
  <si>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</si>
  <si>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</si>
  <si>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</si>
  <si>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</si>
  <si>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</si>
  <si>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</si>
  <si>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</si>
  <si>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</si>
  <si>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</si>
  <si>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</si>
  <si>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</si>
  <si>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</si>
  <si>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</si>
  <si>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</si>
  <si>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</si>
  <si>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</si>
  <si>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</si>
  <si>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</si>
  <si>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</si>
  <si>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</si>
  <si>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</si>
  <si>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</si>
  <si>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</si>
  <si>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</si>
  <si>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</si>
  <si>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</si>
  <si>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</si>
  <si>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</si>
  <si>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</si>
  <si>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</si>
  <si>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</si>
  <si>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</si>
  <si>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</si>
  <si>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</si>
  <si>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</si>
  <si>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</si>
  <si>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</si>
  <si>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</si>
  <si>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</si>
  <si>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</si>
  <si>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</si>
  <si>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</si>
  <si>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</si>
  <si>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</si>
  <si>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</si>
  <si>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</si>
  <si>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</si>
  <si>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</si>
  <si>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</si>
  <si>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</si>
  <si>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</si>
  <si>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</si>
  <si>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</si>
  <si>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</si>
  <si>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</si>
  <si>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</si>
  <si>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</si>
  <si>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</si>
  <si>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</si>
  <si>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</si>
  <si>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</si>
  <si>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</si>
  <si>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</si>
  <si>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</si>
  <si>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</si>
  <si>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</si>
  <si>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</si>
  <si>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</si>
  <si>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</si>
  <si>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</si>
  <si>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</si>
  <si>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</si>
  <si>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</si>
  <si>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</si>
  <si>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</si>
  <si>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</si>
  <si>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</si>
  <si>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</si>
  <si>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</si>
  <si>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</si>
  <si>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</si>
  <si>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</si>
  <si>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</si>
  <si>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</si>
  <si>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</si>
  <si>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</si>
  <si>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</si>
  <si>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</si>
  <si>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</si>
  <si>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</si>
  <si>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</si>
  <si>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</si>
  <si>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</si>
  <si>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</si>
  <si>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</si>
  <si>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</si>
  <si>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</si>
  <si>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</si>
  <si>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</si>
  <si>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</si>
  <si>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</si>
  <si>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</si>
  <si>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</si>
  <si>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</si>
  <si>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</si>
  <si>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</si>
  <si>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</si>
  <si>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</si>
  <si>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</si>
  <si>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</si>
  <si>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</si>
  <si>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</si>
  <si>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</si>
  <si>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</si>
  <si>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</si>
  <si>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</si>
  <si>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</si>
  <si>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</si>
  <si>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</si>
  <si>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</si>
  <si>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</si>
  <si>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</si>
  <si>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</si>
  <si>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</si>
  <si>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</si>
  <si>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</si>
  <si>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</si>
  <si>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</si>
  <si>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</si>
  <si>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</si>
  <si>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</si>
  <si>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</si>
  <si>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</si>
  <si>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</si>
  <si>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</si>
  <si>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</si>
  <si>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</si>
  <si>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</si>
  <si>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</si>
  <si>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</si>
  <si>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</si>
  <si>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</si>
  <si>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</si>
  <si>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</si>
  <si>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</si>
  <si>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</si>
  <si>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</si>
  <si>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</si>
  <si>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</si>
  <si>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</si>
  <si>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</si>
  <si>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</si>
  <si>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</si>
  <si>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</si>
  <si>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</si>
  <si>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</si>
  <si>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</si>
  <si>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</si>
  <si>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</si>
  <si>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</si>
  <si>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</si>
  <si>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</si>
  <si>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</si>
  <si>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</si>
  <si>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</si>
  <si>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</si>
  <si>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</si>
  <si>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</si>
  <si>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</si>
  <si>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</si>
  <si>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</si>
  <si>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</si>
  <si>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</si>
  <si>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</si>
  <si>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</si>
  <si>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</si>
  <si>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</si>
  <si>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</si>
  <si>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</si>
  <si>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</si>
  <si>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</si>
  <si>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</si>
  <si>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</si>
  <si>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</si>
  <si>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</si>
  <si>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</si>
  <si>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</si>
  <si>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</si>
  <si>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</si>
  <si>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</si>
  <si>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</si>
  <si>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</si>
  <si>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</si>
  <si>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</si>
  <si>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</si>
  <si>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</si>
  <si>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</si>
  <si>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</si>
  <si>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</si>
  <si>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</si>
  <si>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</si>
  <si>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</si>
  <si>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</si>
  <si>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</si>
  <si>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</si>
  <si>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</si>
  <si>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</si>
  <si>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</si>
  <si>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</si>
  <si>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</si>
  <si>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</si>
  <si>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</si>
  <si>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</si>
  <si>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</si>
  <si>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</si>
  <si>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</si>
  <si>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</si>
  <si>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</si>
  <si>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</si>
  <si>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</si>
  <si>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</si>
  <si>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</si>
  <si>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</si>
  <si>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</si>
  <si>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</si>
  <si>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</si>
  <si>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</si>
  <si>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</si>
  <si>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</si>
  <si>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</si>
  <si>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</si>
  <si>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</si>
  <si>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</si>
  <si>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</si>
  <si>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</si>
  <si>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</si>
  <si>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</si>
  <si>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</si>
  <si>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</si>
  <si>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</si>
  <si>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</si>
  <si>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</si>
  <si>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</si>
  <si>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</si>
  <si>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</si>
  <si>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</si>
  <si>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</si>
  <si>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</si>
  <si>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</si>
  <si>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</si>
  <si>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</si>
  <si>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</si>
  <si>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</si>
  <si>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</si>
  <si>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</si>
  <si>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</si>
  <si>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</si>
  <si>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</si>
  <si>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</si>
  <si>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</si>
  <si>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</si>
  <si>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</si>
  <si>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</si>
  <si>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</si>
  <si>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</si>
  <si>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</si>
  <si>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</si>
  <si>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</si>
  <si>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</si>
  <si>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</si>
  <si>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</si>
  <si>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</si>
  <si>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</si>
  <si>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</si>
  <si>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</si>
  <si>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</si>
  <si>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</si>
  <si>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</si>
  <si>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</si>
  <si>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</si>
  <si>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</si>
  <si>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</si>
  <si>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</si>
  <si>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</si>
  <si>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</si>
  <si>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</si>
  <si>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</si>
  <si>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</si>
  <si>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</si>
  <si>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</si>
  <si>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</si>
  <si>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</si>
  <si>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</si>
  <si>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</si>
  <si>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</si>
  <si>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</si>
  <si>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</si>
  <si>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</si>
  <si>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</si>
  <si>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</si>
  <si>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</si>
  <si>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</si>
  <si>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</si>
  <si>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</si>
  <si>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</si>
  <si>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</si>
  <si>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</si>
  <si>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</si>
  <si>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</si>
  <si>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</si>
  <si>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</si>
  <si>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</si>
  <si>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</si>
  <si>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</si>
  <si>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</si>
  <si>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</si>
  <si>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</si>
  <si>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</si>
  <si>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</si>
  <si>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</si>
  <si>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</si>
  <si>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</si>
  <si>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</si>
  <si>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</si>
  <si>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</si>
  <si>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</si>
  <si>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</si>
  <si>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</si>
  <si>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</si>
  <si>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</si>
  <si>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</si>
  <si>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</si>
  <si>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</si>
  <si>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</si>
  <si>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</si>
  <si>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</si>
  <si>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</si>
  <si>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</si>
  <si>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</si>
  <si>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</si>
  <si>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</si>
  <si>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</si>
  <si>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</si>
  <si>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</si>
  <si>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</si>
  <si>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</si>
  <si>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</si>
  <si>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</si>
  <si>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</si>
  <si>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</si>
  <si>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</si>
  <si>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Sherman Township</t>
  </si>
  <si>
    <t>Ellsworth County</t>
  </si>
  <si>
    <t>Special Highway</t>
  </si>
  <si>
    <t>In Lieu</t>
  </si>
  <si>
    <t>Mowing</t>
  </si>
  <si>
    <t>Road Fund</t>
  </si>
  <si>
    <t>Wayne Bohl</t>
  </si>
  <si>
    <t>Trustee</t>
  </si>
  <si>
    <t>August 21, 2012</t>
  </si>
  <si>
    <t>7:00 p.m.</t>
  </si>
  <si>
    <t>Wayne Bohl Residence</t>
  </si>
  <si>
    <t>Ellsworth 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</si>
</sst>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Sherman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85"/>
      <c r="D18" s="785"/>
      <c r="E18" s="785"/>
      <c r="F18" s="785"/>
      <c r="G18" s="785"/>
      <c r="H18" s="785"/>
      <c r="I18" s="78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Sherman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1221723</v>
      </c>
      <c r="F27" s="565"/>
      <c r="G27" s="570">
        <f>summ!G37</f>
        <v>1267010</v>
      </c>
      <c r="H27" s="565"/>
      <c r="I27" s="565"/>
    </row>
    <row r="28" spans="2:9" ht="15">
      <c r="B28" s="565" t="s">
        <v>780</v>
      </c>
      <c r="C28" s="565"/>
      <c r="D28" s="565"/>
      <c r="E28" s="575" t="str">
        <f>IF(G27-E27&gt;0,"No","Yes")</f>
        <v>No</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5">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Sherman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3104</v>
      </c>
      <c r="D6" s="390">
        <f>C51</f>
        <v>3352</v>
      </c>
      <c r="E6" s="32">
        <f>D51</f>
        <v>3352</v>
      </c>
    </row>
    <row r="7" spans="2:5" ht="15">
      <c r="B7" s="27" t="s">
        <v>120</v>
      </c>
      <c r="C7" s="390"/>
      <c r="D7" s="390"/>
      <c r="E7" s="33"/>
    </row>
    <row r="8" spans="2:5" ht="15">
      <c r="B8" s="27" t="s">
        <v>16</v>
      </c>
      <c r="C8" s="29">
        <v>17330</v>
      </c>
      <c r="D8" s="390">
        <f>IF(inputPrYr!H15&gt;0,inputPrYr!G16,inputPrYr!E16)</f>
        <v>17486</v>
      </c>
      <c r="E8" s="33" t="s">
        <v>290</v>
      </c>
    </row>
    <row r="9" spans="2:5" ht="15">
      <c r="B9" s="27" t="s">
        <v>17</v>
      </c>
      <c r="C9" s="29"/>
      <c r="D9" s="29"/>
      <c r="E9" s="34"/>
    </row>
    <row r="10" spans="2:5" ht="15">
      <c r="B10" s="27" t="s">
        <v>18</v>
      </c>
      <c r="C10" s="29">
        <v>1544</v>
      </c>
      <c r="D10" s="29">
        <v>1433</v>
      </c>
      <c r="E10" s="32">
        <f>mvalloc!G11</f>
        <v>1468</v>
      </c>
    </row>
    <row r="11" spans="2:5" ht="15">
      <c r="B11" s="27" t="s">
        <v>19</v>
      </c>
      <c r="C11" s="29">
        <v>4</v>
      </c>
      <c r="D11" s="29">
        <v>16</v>
      </c>
      <c r="E11" s="32">
        <f>mvalloc!I11</f>
        <v>7</v>
      </c>
    </row>
    <row r="12" spans="2:5" ht="15">
      <c r="B12" s="35" t="s">
        <v>69</v>
      </c>
      <c r="C12" s="29">
        <v>556</v>
      </c>
      <c r="D12" s="29">
        <v>475</v>
      </c>
      <c r="E12" s="32">
        <f>mvalloc!J11</f>
        <v>515</v>
      </c>
    </row>
    <row r="13" spans="2:5" ht="15">
      <c r="B13" s="35" t="s">
        <v>161</v>
      </c>
      <c r="C13" s="29"/>
      <c r="D13" s="29"/>
      <c r="E13" s="32">
        <f>inputOth!E35</f>
        <v>0</v>
      </c>
    </row>
    <row r="14" spans="2:5" ht="15">
      <c r="B14" s="27" t="s">
        <v>20</v>
      </c>
      <c r="C14" s="29"/>
      <c r="D14" s="29"/>
      <c r="E14" s="32">
        <f>inputOth!E12</f>
        <v>0</v>
      </c>
    </row>
    <row r="15" spans="2:5" ht="15">
      <c r="B15" s="37" t="s">
        <v>932</v>
      </c>
      <c r="C15" s="29">
        <v>2685</v>
      </c>
      <c r="D15" s="29">
        <v>2629</v>
      </c>
      <c r="E15" s="36">
        <v>2601</v>
      </c>
    </row>
    <row r="16" spans="2:5" ht="15">
      <c r="B16" s="37" t="s">
        <v>933</v>
      </c>
      <c r="C16" s="29">
        <v>11929</v>
      </c>
      <c r="D16" s="29">
        <v>11766</v>
      </c>
      <c r="E16" s="34">
        <v>11500</v>
      </c>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34048</v>
      </c>
      <c r="D26" s="392">
        <f>SUM(D8:D24)</f>
        <v>33805</v>
      </c>
      <c r="E26" s="42">
        <f>SUM(E8:E24)</f>
        <v>16091</v>
      </c>
    </row>
    <row r="27" spans="2:5" ht="15">
      <c r="B27" s="43" t="s">
        <v>24</v>
      </c>
      <c r="C27" s="392">
        <f>C26+C6</f>
        <v>37152</v>
      </c>
      <c r="D27" s="392">
        <f>D26+D6</f>
        <v>37157</v>
      </c>
      <c r="E27" s="42">
        <f>E26+E6</f>
        <v>19443</v>
      </c>
    </row>
    <row r="28" spans="2:5" ht="15">
      <c r="B28" s="27" t="s">
        <v>25</v>
      </c>
      <c r="C28" s="390"/>
      <c r="D28" s="390"/>
      <c r="E28" s="32"/>
    </row>
    <row r="29" spans="2:5" ht="15">
      <c r="B29" s="37"/>
      <c r="C29" s="29"/>
      <c r="D29" s="29"/>
      <c r="E29" s="34"/>
    </row>
    <row r="30" spans="2:5" ht="15">
      <c r="B30" s="38" t="s">
        <v>101</v>
      </c>
      <c r="C30" s="29">
        <v>1456</v>
      </c>
      <c r="D30" s="29">
        <v>1700</v>
      </c>
      <c r="E30" s="34">
        <v>1700</v>
      </c>
    </row>
    <row r="31" spans="2:5" ht="15">
      <c r="B31" s="38" t="s">
        <v>125</v>
      </c>
      <c r="C31" s="29">
        <v>5000</v>
      </c>
      <c r="D31" s="29"/>
      <c r="E31" s="34"/>
    </row>
    <row r="32" spans="2:5" ht="15">
      <c r="B32" s="38" t="s">
        <v>102</v>
      </c>
      <c r="C32" s="29">
        <v>1466</v>
      </c>
      <c r="D32" s="29"/>
      <c r="E32" s="34"/>
    </row>
    <row r="33" spans="2:5" ht="15">
      <c r="B33" s="38" t="s">
        <v>36</v>
      </c>
      <c r="C33" s="29">
        <v>462</v>
      </c>
      <c r="D33" s="29">
        <v>500</v>
      </c>
      <c r="E33" s="34"/>
    </row>
    <row r="34" spans="2:5" ht="15">
      <c r="B34" s="37" t="s">
        <v>103</v>
      </c>
      <c r="C34" s="29"/>
      <c r="D34" s="29"/>
      <c r="E34" s="34"/>
    </row>
    <row r="35" spans="2:5" ht="15">
      <c r="B35" s="37" t="s">
        <v>126</v>
      </c>
      <c r="C35" s="29"/>
      <c r="D35" s="29"/>
      <c r="E35" s="34"/>
    </row>
    <row r="36" spans="2:5" ht="15">
      <c r="B36" s="38" t="s">
        <v>128</v>
      </c>
      <c r="C36" s="29">
        <v>1978</v>
      </c>
      <c r="D36" s="29">
        <v>4200</v>
      </c>
      <c r="E36" s="34">
        <v>2000</v>
      </c>
    </row>
    <row r="37" spans="2:5" ht="15">
      <c r="B37" s="38" t="s">
        <v>934</v>
      </c>
      <c r="C37" s="29">
        <v>816</v>
      </c>
      <c r="D37" s="29">
        <v>2300</v>
      </c>
      <c r="E37" s="34">
        <v>1000</v>
      </c>
    </row>
    <row r="38" spans="2:5" ht="15">
      <c r="B38" s="37"/>
      <c r="C38" s="29"/>
      <c r="D38" s="29"/>
      <c r="E38" s="34"/>
    </row>
    <row r="39" spans="2:5" ht="15">
      <c r="B39" s="38" t="s">
        <v>935</v>
      </c>
      <c r="C39" s="29">
        <v>20969</v>
      </c>
      <c r="D39" s="29">
        <v>25105</v>
      </c>
      <c r="E39" s="34">
        <v>33592</v>
      </c>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v>1653</v>
      </c>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33800</v>
      </c>
      <c r="D50" s="384">
        <f>SUM(D29:D48)</f>
        <v>33805</v>
      </c>
      <c r="E50" s="47">
        <f>SUM(E29:E43,E45,E47:E48)</f>
        <v>38292</v>
      </c>
      <c r="G50" s="490">
        <f>D51</f>
        <v>3352</v>
      </c>
      <c r="H50" s="491" t="str">
        <f>CONCATENATE("",E1-1," Ending Cash Balance (est.)")</f>
        <v>2012 Ending Cash Balance (est.)</v>
      </c>
      <c r="I50" s="492"/>
      <c r="J50" s="489"/>
    </row>
    <row r="51" spans="2:10" ht="15">
      <c r="B51" s="27" t="s">
        <v>119</v>
      </c>
      <c r="C51" s="385">
        <f>C27-C50</f>
        <v>3352</v>
      </c>
      <c r="D51" s="385">
        <f>SUM(D27-D50)</f>
        <v>3352</v>
      </c>
      <c r="E51" s="33" t="s">
        <v>290</v>
      </c>
      <c r="G51" s="490">
        <f>E26</f>
        <v>16091</v>
      </c>
      <c r="H51" s="493" t="str">
        <f>CONCATENATE("",E1," Non-AV Receipts (est.)")</f>
        <v>2013 Non-AV Receipts (est.)</v>
      </c>
      <c r="I51" s="492"/>
      <c r="J51" s="489"/>
    </row>
    <row r="52" spans="2:11" ht="15">
      <c r="B52" s="48" t="str">
        <f>CONCATENATE("",E1-2,"/",E1-1," Budget Authority Amount:")</f>
        <v>2011/2012 Budget Authority Amount:</v>
      </c>
      <c r="C52" s="132">
        <f>inputOth!B46</f>
        <v>37188</v>
      </c>
      <c r="D52" s="161">
        <f>inputPrYr!D16</f>
        <v>33805</v>
      </c>
      <c r="E52" s="33" t="s">
        <v>290</v>
      </c>
      <c r="F52" s="50"/>
      <c r="G52" s="494">
        <f>IF(D56&gt;0,E55,E57)</f>
        <v>18849</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38292</v>
      </c>
      <c r="H53" s="493" t="str">
        <f>CONCATENATE("Total ",E1," Resources Available")</f>
        <v>Total 2013 Resources Available</v>
      </c>
      <c r="I53" s="492"/>
      <c r="J53" s="489"/>
    </row>
    <row r="54" spans="2:10" ht="15">
      <c r="B54" s="399" t="str">
        <f>CONCATENATE(C72,"     ",D72)</f>
        <v>     </v>
      </c>
      <c r="C54" s="805" t="s">
        <v>624</v>
      </c>
      <c r="D54" s="806"/>
      <c r="E54" s="32">
        <f>E50+E53</f>
        <v>38292</v>
      </c>
      <c r="G54" s="495"/>
      <c r="H54" s="493"/>
      <c r="I54" s="493"/>
      <c r="J54" s="489"/>
    </row>
    <row r="55" spans="2:10" ht="15">
      <c r="B55" s="399" t="str">
        <f>CONCATENATE(C73,"     ",D73)</f>
        <v>     </v>
      </c>
      <c r="C55" s="60"/>
      <c r="D55" s="52" t="s">
        <v>28</v>
      </c>
      <c r="E55" s="46">
        <f>IF(E54-E27&gt;0,E54-E27,0)</f>
        <v>18849</v>
      </c>
      <c r="G55" s="494">
        <f>ROUND(C50*0.05+C50,0)</f>
        <v>35490</v>
      </c>
      <c r="H55" s="493" t="str">
        <f>CONCATENATE("Less ",E1-2," Expenditures + 5%")</f>
        <v>Less 2011 Expenditures + 5%</v>
      </c>
      <c r="I55" s="492"/>
      <c r="J55" s="489"/>
    </row>
    <row r="56" spans="2:10" ht="15">
      <c r="B56" s="52"/>
      <c r="C56" s="403" t="s">
        <v>625</v>
      </c>
      <c r="D56" s="699">
        <f>inputOth!$E$40</f>
        <v>0</v>
      </c>
      <c r="E56" s="32">
        <f>ROUND(IF(D56&gt;0,(E55*D56),0),0)</f>
        <v>0</v>
      </c>
      <c r="G56" s="496">
        <f>G53-G55</f>
        <v>2802</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18849</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14.877</v>
      </c>
      <c r="H60" s="491" t="str">
        <f>CONCATENATE("",E1," Fund Mill Rate")</f>
        <v>2013 Fund Mill Rate</v>
      </c>
      <c r="I60" s="701"/>
      <c r="J60" s="714"/>
      <c r="K60" s="16"/>
    </row>
    <row r="61" spans="2:10" ht="15">
      <c r="B61" s="52" t="s">
        <v>9</v>
      </c>
      <c r="C61" s="405">
        <f>IF(inputPrYr!D18&gt;0,7,6)</f>
        <v>6</v>
      </c>
      <c r="D61" s="14"/>
      <c r="E61" s="55"/>
      <c r="G61" s="716">
        <f>summ!F18</f>
        <v>14.313</v>
      </c>
      <c r="H61" s="491" t="str">
        <f>CONCATENATE("",E1-1," Fund Mill Rate")</f>
        <v>2012 Fund Mill Rate</v>
      </c>
      <c r="I61" s="701"/>
      <c r="J61" s="714"/>
    </row>
    <row r="62" spans="7:10" ht="15">
      <c r="G62" s="717">
        <f>summ!I32</f>
        <v>14.877</v>
      </c>
      <c r="H62" s="491" t="str">
        <f>CONCATENATE("Total ",E1," Mill Rate")</f>
        <v>Total 2013 Mill Rate</v>
      </c>
      <c r="I62" s="701"/>
      <c r="J62" s="714"/>
    </row>
    <row r="63" spans="2:10" ht="15">
      <c r="B63" s="12"/>
      <c r="G63" s="716">
        <f>summ!F32</f>
        <v>14.313</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Sherman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14.877</v>
      </c>
      <c r="H45" s="642" t="str">
        <f>CONCATENATE("Total ",E1," Mill Rate")</f>
        <v>Total 2013 Mill Rate</v>
      </c>
      <c r="I45" s="666"/>
      <c r="J45" s="667"/>
    </row>
    <row r="46" spans="2:10" ht="15">
      <c r="B46" s="604" t="s">
        <v>144</v>
      </c>
      <c r="C46" s="609">
        <v>0</v>
      </c>
      <c r="D46" s="606">
        <f>C74</f>
        <v>0</v>
      </c>
      <c r="E46" s="607">
        <f>D74</f>
        <v>0</v>
      </c>
      <c r="F46" s="645"/>
      <c r="G46" s="669">
        <f>summ!F32</f>
        <v>14.313</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14.877</v>
      </c>
      <c r="H85" s="642" t="str">
        <f>CONCATENATE("Total ",E1," Mill Rate")</f>
        <v>Total 2013 Mill Rate</v>
      </c>
      <c r="I85" s="666"/>
      <c r="J85" s="667"/>
    </row>
    <row r="86" spans="7:10" ht="15">
      <c r="G86" s="669">
        <f>summ!F32</f>
        <v>14.313</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39666</v>
      </c>
      <c r="D55" s="14"/>
      <c r="E55" s="14"/>
      <c r="G55" s="717">
        <f>summ!I32</f>
        <v>14.877</v>
      </c>
      <c r="H55" s="491" t="str">
        <f>CONCATENATE("Total ",E1," Mill Rate")</f>
        <v>Total 2013 Mill Rate</v>
      </c>
      <c r="I55" s="701"/>
      <c r="J55" s="714"/>
    </row>
    <row r="56" spans="2:10" ht="15">
      <c r="B56" s="72" t="s">
        <v>33</v>
      </c>
      <c r="C56" s="132"/>
      <c r="D56" s="14"/>
      <c r="E56" s="14"/>
      <c r="G56" s="716">
        <f>summ!F32</f>
        <v>14.313</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1653</v>
      </c>
      <c r="D59" s="826"/>
      <c r="E59" s="825"/>
    </row>
    <row r="60" spans="2:5" ht="15">
      <c r="B60" s="76"/>
      <c r="C60" s="538"/>
      <c r="D60" s="14"/>
      <c r="E60" s="14"/>
    </row>
    <row r="61" spans="2:5" ht="15">
      <c r="B61" s="76" t="s">
        <v>22</v>
      </c>
      <c r="C61" s="538">
        <v>413</v>
      </c>
      <c r="D61" s="14"/>
      <c r="E61" s="14"/>
    </row>
    <row r="62" spans="2:5" ht="15">
      <c r="B62" s="76" t="s">
        <v>21</v>
      </c>
      <c r="C62" s="538"/>
      <c r="D62" s="14"/>
      <c r="E62" s="14"/>
    </row>
    <row r="63" spans="2:5" ht="15">
      <c r="B63" s="77" t="s">
        <v>24</v>
      </c>
      <c r="C63" s="132">
        <f>SUM(C55:C62)</f>
        <v>41732</v>
      </c>
      <c r="D63" s="14"/>
      <c r="E63" s="14"/>
    </row>
    <row r="64" spans="2:5" ht="15">
      <c r="B64" s="77" t="s">
        <v>26</v>
      </c>
      <c r="C64" s="538"/>
      <c r="D64" s="14"/>
      <c r="E64" s="14"/>
    </row>
    <row r="65" spans="2:5" ht="15">
      <c r="B65" s="77" t="s">
        <v>27</v>
      </c>
      <c r="C65" s="401">
        <f>SUM(C63-C64)</f>
        <v>41732</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14.877</v>
      </c>
      <c r="H45" s="642" t="str">
        <f>CONCATENATE("Total ",E1," Mill Rate")</f>
        <v>Total 2013 Mill Rate</v>
      </c>
      <c r="I45" s="666"/>
      <c r="J45" s="667"/>
      <c r="K45" s="592"/>
    </row>
    <row r="46" spans="2:11" ht="15">
      <c r="B46" s="27" t="s">
        <v>118</v>
      </c>
      <c r="C46" s="29"/>
      <c r="D46" s="390">
        <f>C74</f>
        <v>0</v>
      </c>
      <c r="E46" s="32">
        <f>D74</f>
        <v>0</v>
      </c>
      <c r="G46" s="669">
        <f>summ!F32</f>
        <v>14.313</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14.877</v>
      </c>
      <c r="H85" s="642" t="str">
        <f>CONCATENATE("Total ",E1," Mill Rate")</f>
        <v>Total 2013 Mill Rate</v>
      </c>
      <c r="I85" s="666"/>
      <c r="J85" s="667"/>
      <c r="K85" s="592"/>
    </row>
    <row r="86" spans="7:11" ht="15">
      <c r="G86" s="669">
        <f>summ!F32</f>
        <v>14.313</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14.877</v>
      </c>
      <c r="H45" s="642" t="str">
        <f>CONCATENATE("Total ",E1," Mill Rate")</f>
        <v>Total 2013 Mill Rate</v>
      </c>
      <c r="I45" s="666"/>
      <c r="J45" s="667"/>
      <c r="K45" s="592"/>
    </row>
    <row r="46" spans="2:11" ht="15">
      <c r="B46" s="27" t="s">
        <v>118</v>
      </c>
      <c r="C46" s="29"/>
      <c r="D46" s="390">
        <f>C74</f>
        <v>0</v>
      </c>
      <c r="E46" s="32">
        <f>D74</f>
        <v>0</v>
      </c>
      <c r="G46" s="669">
        <f>summ!F32</f>
        <v>14.313</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14.877</v>
      </c>
      <c r="H85" s="642" t="str">
        <f>CONCATENATE("Total ",E1," Mill Rate")</f>
        <v>Total 2013 Mill Rate</v>
      </c>
      <c r="I85" s="666"/>
      <c r="J85" s="667"/>
      <c r="K85" s="592"/>
    </row>
    <row r="86" spans="7:11" ht="15">
      <c r="G86" s="669">
        <f>summ!F32</f>
        <v>14.313</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Sherman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14.877</v>
      </c>
      <c r="H45" s="642" t="str">
        <f>CONCATENATE("Total ",E1," Mill Rate")</f>
        <v>Total 2013 Mill Rate</v>
      </c>
      <c r="I45" s="666"/>
      <c r="J45" s="667"/>
      <c r="K45" s="592"/>
    </row>
    <row r="46" spans="2:11" ht="15">
      <c r="B46" s="27" t="s">
        <v>118</v>
      </c>
      <c r="C46" s="29"/>
      <c r="D46" s="390">
        <f>C74</f>
        <v>0</v>
      </c>
      <c r="E46" s="32">
        <f>D74</f>
        <v>0</v>
      </c>
      <c r="G46" s="669">
        <f>summ!F32</f>
        <v>14.313</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14.877</v>
      </c>
      <c r="H85" s="642" t="str">
        <f>CONCATENATE("Total ",E1," Mill Rate")</f>
        <v>Total 2013 Mill Rate</v>
      </c>
      <c r="I85" s="666"/>
      <c r="J85" s="667"/>
      <c r="K85" s="592"/>
    </row>
    <row r="86" spans="7:11" ht="15">
      <c r="G86" s="669">
        <f>summ!F32</f>
        <v>14.313</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Sherman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Sherman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67" sqref="E6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33805</v>
      </c>
      <c r="E16" s="187">
        <v>17486</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17486</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33805</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14.601</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14.601</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17406</v>
      </c>
    </row>
    <row r="55" spans="1:5" ht="15">
      <c r="A55" s="327" t="str">
        <f>CONCATENATE("Assessed Valuation (",D5-2," budget column)")</f>
        <v>Assessed Valuation (2011 budget column)</v>
      </c>
      <c r="B55" s="328"/>
      <c r="C55" s="267"/>
      <c r="D55" s="28"/>
      <c r="E55" s="187">
        <v>1192145</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6">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67"/>
      <c r="D2" s="767"/>
      <c r="E2" s="767"/>
      <c r="F2" s="767"/>
      <c r="G2" s="767"/>
      <c r="H2" s="767"/>
      <c r="I2" s="767"/>
    </row>
    <row r="3" spans="2:9" ht="15">
      <c r="B3" s="14"/>
      <c r="C3" s="14"/>
      <c r="D3" s="14"/>
      <c r="E3" s="14"/>
      <c r="F3" s="14"/>
      <c r="G3" s="22" t="s">
        <v>37</v>
      </c>
      <c r="H3" s="22" t="s">
        <v>38</v>
      </c>
      <c r="I3" s="14"/>
    </row>
    <row r="4" spans="2:9" ht="15">
      <c r="B4" s="777" t="s">
        <v>39</v>
      </c>
      <c r="C4" s="777"/>
      <c r="D4" s="777"/>
      <c r="E4" s="777"/>
      <c r="F4" s="777"/>
      <c r="G4" s="777"/>
      <c r="H4" s="777"/>
      <c r="I4" s="777"/>
    </row>
    <row r="5" spans="2:9" ht="15">
      <c r="B5" s="786" t="str">
        <f>inputPrYr!D2</f>
        <v>Sherman Township</v>
      </c>
      <c r="C5" s="786"/>
      <c r="D5" s="786"/>
      <c r="E5" s="786"/>
      <c r="F5" s="786"/>
      <c r="G5" s="786"/>
      <c r="H5" s="786"/>
      <c r="I5" s="786"/>
    </row>
    <row r="6" spans="2:9" ht="15">
      <c r="B6" s="786" t="str">
        <f>inputPrYr!D3</f>
        <v>Ellsworth County</v>
      </c>
      <c r="C6" s="786"/>
      <c r="D6" s="786"/>
      <c r="E6" s="786"/>
      <c r="F6" s="786"/>
      <c r="G6" s="786"/>
      <c r="H6" s="786"/>
      <c r="I6" s="786"/>
    </row>
    <row r="7" spans="2:9" ht="15">
      <c r="B7" s="842" t="str">
        <f>CONCATENATE("will meet on ",inputBudSum!B8," at ",inputBudSum!B10," at ",inputBudSum!B12," for the purpose of hearing and")</f>
        <v>will meet on August 21, 2012 at 7:00 p.m. at Wayne Bohl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Ellsworth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33800</v>
      </c>
      <c r="D18" s="530">
        <f>IF(inputPrYr!D42&gt;0,inputPrYr!D42,"  ")</f>
        <v>14.601</v>
      </c>
      <c r="E18" s="32">
        <f>IF(gen!$D$50&lt;&gt;0,gen!$D$50,"  ")</f>
        <v>33805</v>
      </c>
      <c r="F18" s="235">
        <f>IF(inputOth!D17&gt;0,inputOth!D17,"  ")</f>
        <v>14.313</v>
      </c>
      <c r="G18" s="32">
        <f>IF(gen!$E$50&lt;&gt;0,gen!$E$50,"  ")</f>
        <v>38292</v>
      </c>
      <c r="H18" s="32">
        <f>IF(gen!$E$57&lt;&gt;0,gen!$E$57," ")</f>
        <v>18849</v>
      </c>
      <c r="I18" s="532">
        <f>IF(gen!E57&gt;0,ROUND(H18/$G$37*1000,3)," ")</f>
        <v>14.877</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1267</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14.313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-714</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33800</v>
      </c>
      <c r="D32" s="482">
        <f t="shared" si="0"/>
        <v>14.601</v>
      </c>
      <c r="E32" s="533">
        <f t="shared" si="0"/>
        <v>33805</v>
      </c>
      <c r="F32" s="482">
        <f t="shared" si="0"/>
        <v>14.313</v>
      </c>
      <c r="G32" s="533">
        <f t="shared" si="0"/>
        <v>38292</v>
      </c>
      <c r="H32" s="533">
        <f t="shared" si="0"/>
        <v>18849</v>
      </c>
      <c r="I32" s="536">
        <f t="shared" si="0"/>
        <v>14.877</v>
      </c>
      <c r="K32" s="833" t="str">
        <f>CONCATENATE("Impact On Keeping The Same Mill Rate As For ",I1-1,"")</f>
        <v>Impact On Keeping The Same Mill Rate As For 2012</v>
      </c>
      <c r="L32" s="834"/>
      <c r="M32" s="834"/>
      <c r="N32" s="835"/>
    </row>
    <row r="33" spans="2:14" ht="15">
      <c r="B33" s="274" t="s">
        <v>44</v>
      </c>
      <c r="C33" s="32">
        <f>transfer!C29</f>
        <v>1653</v>
      </c>
      <c r="D33" s="14"/>
      <c r="E33" s="32">
        <f>transfer!D29</f>
        <v>0</v>
      </c>
      <c r="F33" s="61"/>
      <c r="G33" s="32">
        <f>transfer!E29</f>
        <v>0</v>
      </c>
      <c r="H33" s="14"/>
      <c r="I33" s="14"/>
      <c r="K33" s="513"/>
      <c r="L33" s="507"/>
      <c r="M33" s="507"/>
      <c r="N33" s="514"/>
    </row>
    <row r="34" spans="2:14" ht="15.75" thickBot="1">
      <c r="B34" s="274" t="s">
        <v>45</v>
      </c>
      <c r="C34" s="534">
        <f>C32-C33</f>
        <v>32147</v>
      </c>
      <c r="D34" s="14"/>
      <c r="E34" s="534">
        <f>E32-E33</f>
        <v>33805</v>
      </c>
      <c r="F34" s="14"/>
      <c r="G34" s="534">
        <f>G32-G33</f>
        <v>38292</v>
      </c>
      <c r="H34" s="14"/>
      <c r="I34" s="14"/>
      <c r="K34" s="513" t="str">
        <f>CONCATENATE("",I1," Ad Valorem Tax Revenue:")</f>
        <v>2013 Ad Valorem Tax Revenue:</v>
      </c>
      <c r="L34" s="507"/>
      <c r="M34" s="507"/>
      <c r="N34" s="508">
        <f>H32</f>
        <v>18849</v>
      </c>
    </row>
    <row r="35" spans="2:14" ht="15.75" thickTop="1">
      <c r="B35" s="274" t="s">
        <v>46</v>
      </c>
      <c r="C35" s="535">
        <f>inputPrYr!E54</f>
        <v>17406</v>
      </c>
      <c r="D35" s="61"/>
      <c r="E35" s="535">
        <f>inputPrYr!E26</f>
        <v>17486</v>
      </c>
      <c r="F35" s="14"/>
      <c r="G35" s="526" t="s">
        <v>290</v>
      </c>
      <c r="H35" s="14"/>
      <c r="I35" s="14"/>
      <c r="K35" s="513" t="str">
        <f>CONCATENATE("",I1-1," Ad Valorem Tax Revenue:")</f>
        <v>2012 Ad Valorem Tax Revenue:</v>
      </c>
      <c r="L35" s="507"/>
      <c r="M35" s="507"/>
      <c r="N35" s="521">
        <f>ROUND(G37*N27/1000,0)</f>
        <v>18135</v>
      </c>
    </row>
    <row r="36" spans="2:14" ht="15">
      <c r="B36" s="274" t="s">
        <v>47</v>
      </c>
      <c r="C36" s="55"/>
      <c r="D36" s="61"/>
      <c r="E36" s="55"/>
      <c r="F36" s="61"/>
      <c r="G36" s="14"/>
      <c r="H36" s="14"/>
      <c r="I36" s="14"/>
      <c r="K36" s="518" t="s">
        <v>718</v>
      </c>
      <c r="L36" s="519"/>
      <c r="M36" s="519"/>
      <c r="N36" s="511">
        <f>N34-N35</f>
        <v>714</v>
      </c>
    </row>
    <row r="37" spans="2:14" ht="15">
      <c r="B37" s="274" t="s">
        <v>48</v>
      </c>
      <c r="C37" s="32">
        <f>inputPrYr!E55</f>
        <v>1192145</v>
      </c>
      <c r="D37" s="14"/>
      <c r="E37" s="32">
        <f>inputOth!E29</f>
        <v>1221723</v>
      </c>
      <c r="F37" s="14"/>
      <c r="G37" s="32">
        <f>inputOth!E7</f>
        <v>1267010</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14.877</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Wayne Bohl</v>
      </c>
      <c r="C46" s="832"/>
      <c r="D46" s="14"/>
      <c r="E46" s="14"/>
      <c r="F46" s="14"/>
      <c r="G46" s="14"/>
      <c r="H46" s="14"/>
      <c r="I46" s="14"/>
    </row>
    <row r="47" spans="2:9" ht="15">
      <c r="B47" s="830" t="str">
        <f>inputBudSum!B6</f>
        <v>Trustee</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Sherman Township</v>
      </c>
      <c r="B1" s="14"/>
      <c r="C1" s="14"/>
      <c r="D1" s="14"/>
      <c r="E1" s="14"/>
      <c r="F1" s="14">
        <f>inputPrYr!D5</f>
        <v>2013</v>
      </c>
    </row>
    <row r="2" spans="1:6" ht="15">
      <c r="A2" s="14"/>
      <c r="B2" s="14"/>
      <c r="C2" s="14"/>
      <c r="D2" s="14"/>
      <c r="E2" s="14"/>
      <c r="F2" s="14"/>
    </row>
    <row r="3" spans="1:6" ht="15">
      <c r="A3" s="14"/>
      <c r="B3" s="768" t="str">
        <f>CONCATENATE("",F1," Neighborhood Revitalization Rebate")</f>
        <v>2013 Neighborhood Revitalization Rebate</v>
      </c>
      <c r="C3" s="776"/>
      <c r="D3" s="776"/>
      <c r="E3" s="776"/>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1267010</v>
      </c>
      <c r="E19" s="14"/>
      <c r="F19" s="129"/>
    </row>
    <row r="20" spans="1:6" ht="15">
      <c r="A20" s="14"/>
      <c r="B20" s="14"/>
      <c r="C20" s="14"/>
      <c r="D20" s="14"/>
      <c r="E20" s="14"/>
      <c r="F20" s="129"/>
    </row>
    <row r="21" spans="1:6" ht="15">
      <c r="A21" s="14"/>
      <c r="B21" s="845" t="s">
        <v>366</v>
      </c>
      <c r="C21" s="845"/>
      <c r="D21" s="137">
        <f>IF(D19&gt;0,(D19*0.001),"")</f>
        <v>1267.01</v>
      </c>
      <c r="E21" s="14"/>
      <c r="F21" s="129"/>
    </row>
    <row r="22" spans="1:6" ht="15">
      <c r="A22" s="14"/>
      <c r="B22" s="48"/>
      <c r="C22" s="48"/>
      <c r="D22" s="138"/>
      <c r="E22" s="14"/>
      <c r="F22" s="129"/>
    </row>
    <row r="23" spans="1:6" ht="15">
      <c r="A23" s="843" t="s">
        <v>368</v>
      </c>
      <c r="B23" s="767"/>
      <c r="C23" s="76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Sherman Township </v>
      </c>
      <c r="I6">
        <f>CONCATENATE(I7)</f>
      </c>
    </row>
    <row r="7" spans="1:7" ht="15">
      <c r="A7" s="851" t="str">
        <f>CONCATENATE("   with respect to financing the ",inputPrYr!D5," annual budget for ",(inputPrYr!D2)," , ",(inputPrYr!D3)," , Kansas.")</f>
        <v>   with respect to financing the 2013 annual budget for Sherman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Sherman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Sherman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Sherman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Sherman Township of Ellsworth County, Kansas that is our desire to notify the public of increased property taxes to finance the 2013 Sherman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Sherman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Sherman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3" sqref="E1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Sherman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1267010</v>
      </c>
    </row>
    <row r="8" spans="1:5" ht="15">
      <c r="A8" s="22" t="str">
        <f>CONCATENATE("New Improvements for ",E1-1,"")</f>
        <v>New Improvements for 2012</v>
      </c>
      <c r="B8" s="19"/>
      <c r="C8" s="19"/>
      <c r="D8" s="19"/>
      <c r="E8" s="283">
        <v>2249</v>
      </c>
    </row>
    <row r="9" spans="1:5" ht="15">
      <c r="A9" s="22" t="str">
        <f>CONCATENATE("Personal Property excluding oil, gas, and mobile homes - ",E1-1,"")</f>
        <v>Personal Property excluding oil, gas, and mobile homes - 2012</v>
      </c>
      <c r="B9" s="19"/>
      <c r="C9" s="19"/>
      <c r="D9" s="19"/>
      <c r="E9" s="283">
        <v>125481</v>
      </c>
    </row>
    <row r="10" spans="1:5" ht="15">
      <c r="A10" s="22" t="str">
        <f>CONCATENATE("Property that has changed in use for ",E1-1,"")</f>
        <v>Property that has changed in use for 2012</v>
      </c>
      <c r="B10" s="19"/>
      <c r="C10" s="19"/>
      <c r="D10" s="19"/>
      <c r="E10" s="283">
        <v>4829</v>
      </c>
    </row>
    <row r="11" spans="1:5" ht="15">
      <c r="A11" s="22" t="str">
        <f>CONCATENATE("Personal Property excluding oil, gas, and mobile homes- ",E1-2,"")</f>
        <v>Personal Property excluding oil, gas, and mobile homes- 2011</v>
      </c>
      <c r="B11" s="19"/>
      <c r="C11" s="19"/>
      <c r="D11" s="19"/>
      <c r="E11" s="283">
        <v>63857</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14.313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14.313</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1221723</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1468</v>
      </c>
    </row>
    <row r="33" spans="1:5" ht="15">
      <c r="A33" s="296" t="s">
        <v>277</v>
      </c>
      <c r="B33" s="267"/>
      <c r="C33" s="267"/>
      <c r="D33" s="31"/>
      <c r="E33" s="34">
        <v>7</v>
      </c>
    </row>
    <row r="34" spans="1:5" ht="15">
      <c r="A34" s="296" t="s">
        <v>160</v>
      </c>
      <c r="B34" s="267"/>
      <c r="C34" s="267"/>
      <c r="D34" s="31"/>
      <c r="E34" s="34">
        <v>515</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37188</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E18" sqref="E18"/>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936</v>
      </c>
      <c r="C4" s="721"/>
      <c r="J4" s="722" t="s">
        <v>845</v>
      </c>
    </row>
    <row r="5" spans="1:10" ht="15">
      <c r="A5" s="478"/>
      <c r="B5" s="721"/>
      <c r="J5" s="722" t="s">
        <v>846</v>
      </c>
    </row>
    <row r="6" spans="1:10" ht="15">
      <c r="A6" s="478" t="s">
        <v>841</v>
      </c>
      <c r="B6" s="359" t="s">
        <v>937</v>
      </c>
      <c r="J6" s="722" t="s">
        <v>847</v>
      </c>
    </row>
    <row r="7" spans="1:10" ht="15">
      <c r="A7" s="356"/>
      <c r="B7" s="356"/>
      <c r="C7" s="356"/>
      <c r="D7" s="358"/>
      <c r="E7" s="356"/>
      <c r="F7" s="356"/>
      <c r="J7" s="722" t="s">
        <v>848</v>
      </c>
    </row>
    <row r="8" spans="1:10" ht="15">
      <c r="A8" s="357" t="s">
        <v>373</v>
      </c>
      <c r="B8" s="359" t="s">
        <v>938</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August 11, 2012</v>
      </c>
      <c r="E9" s="356"/>
      <c r="F9" s="356"/>
      <c r="J9" s="722" t="s">
        <v>850</v>
      </c>
    </row>
    <row r="10" spans="1:10" ht="15">
      <c r="A10" s="357" t="s">
        <v>374</v>
      </c>
      <c r="B10" s="359" t="s">
        <v>939</v>
      </c>
      <c r="C10" s="363"/>
      <c r="D10" s="357"/>
      <c r="E10" s="356"/>
      <c r="F10" s="356"/>
      <c r="J10" s="722" t="s">
        <v>851</v>
      </c>
    </row>
    <row r="11" spans="1:10" ht="15">
      <c r="A11" s="357"/>
      <c r="B11" s="357"/>
      <c r="C11" s="357"/>
      <c r="D11" s="357"/>
      <c r="E11" s="356"/>
      <c r="F11" s="356"/>
      <c r="J11" s="722" t="s">
        <v>852</v>
      </c>
    </row>
    <row r="12" spans="1:10" ht="15">
      <c r="A12" s="357" t="s">
        <v>375</v>
      </c>
      <c r="B12" s="364" t="s">
        <v>940</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941</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August</v>
      </c>
    </row>
    <row r="20" spans="1:7" ht="15">
      <c r="A20" s="357" t="s">
        <v>373</v>
      </c>
      <c r="B20" s="361" t="s">
        <v>378</v>
      </c>
      <c r="C20" s="357"/>
      <c r="D20" s="357"/>
      <c r="E20" s="357"/>
      <c r="G20" s="723" t="str">
        <f>IF(B8="","",CONCATENATE("J",G22))</f>
        <v>J8</v>
      </c>
    </row>
    <row r="21" spans="1:7" ht="15">
      <c r="A21" s="357"/>
      <c r="B21" s="357"/>
      <c r="C21" s="357"/>
      <c r="D21" s="357"/>
      <c r="E21" s="357"/>
      <c r="G21" s="724">
        <f>B8-10</f>
        <v>41132</v>
      </c>
    </row>
    <row r="22" spans="1:7" ht="15">
      <c r="A22" s="357" t="s">
        <v>374</v>
      </c>
      <c r="B22" s="357" t="s">
        <v>379</v>
      </c>
      <c r="C22" s="357"/>
      <c r="D22" s="357"/>
      <c r="E22" s="357"/>
      <c r="G22" s="725">
        <f>IF(B8="","",MONTH(G21))</f>
        <v>8</v>
      </c>
    </row>
    <row r="23" spans="1:7" ht="15">
      <c r="A23" s="357"/>
      <c r="B23" s="357"/>
      <c r="C23" s="357"/>
      <c r="D23" s="357"/>
      <c r="E23" s="357"/>
      <c r="G23" s="726">
        <f>IF(B8="","",DAY(G21))</f>
        <v>11</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8" t="s">
        <v>70</v>
      </c>
      <c r="C1" s="768"/>
      <c r="D1" s="768"/>
      <c r="E1" s="768"/>
      <c r="F1" s="768"/>
      <c r="G1" s="768"/>
      <c r="H1" s="14">
        <f>inputPrYr!D5</f>
        <v>2013</v>
      </c>
    </row>
    <row r="2" spans="3:7" s="14" customFormat="1" ht="15">
      <c r="C2" s="145"/>
      <c r="D2" s="145"/>
      <c r="E2" s="145"/>
      <c r="F2" s="145"/>
      <c r="G2" s="62"/>
    </row>
    <row r="3" spans="2:8" s="14" customFormat="1" ht="15">
      <c r="B3" s="777" t="str">
        <f>CONCATENATE("To the Clerk of ",inputPrYr!D3,", State of Kansas")</f>
        <v>To the Clerk of Ellsworth County, State of Kansas</v>
      </c>
      <c r="C3" s="776"/>
      <c r="D3" s="776"/>
      <c r="E3" s="776"/>
      <c r="F3" s="776"/>
      <c r="G3" s="776"/>
      <c r="H3" s="776"/>
    </row>
    <row r="4" spans="2:7" s="14" customFormat="1" ht="15">
      <c r="B4" s="777" t="s">
        <v>152</v>
      </c>
      <c r="C4" s="785"/>
      <c r="D4" s="785"/>
      <c r="E4" s="785"/>
      <c r="F4" s="785"/>
      <c r="G4" s="785"/>
    </row>
    <row r="5" spans="2:7" s="14" customFormat="1" ht="15">
      <c r="B5" s="786" t="str">
        <f>inputPrYr!D2</f>
        <v>Sherman Township</v>
      </c>
      <c r="C5" s="785"/>
      <c r="D5" s="785"/>
      <c r="E5" s="785"/>
      <c r="F5" s="785"/>
      <c r="G5" s="785"/>
    </row>
    <row r="6" spans="2:7" s="14" customFormat="1" ht="1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
      <c r="D11" s="19"/>
      <c r="E11" s="772" t="str">
        <f>CONCATENATE("",H1," Adopted Budget")</f>
        <v>2013 Adopted Budget</v>
      </c>
      <c r="F11" s="773"/>
      <c r="G11" s="774"/>
    </row>
    <row r="12" spans="2:7" s="14" customFormat="1" ht="15">
      <c r="B12" s="22"/>
      <c r="D12" s="66"/>
      <c r="E12" s="255" t="s">
        <v>278</v>
      </c>
      <c r="F12" s="769" t="str">
        <f>CONCATENATE("Amount of ",H1-1," Ad Valorem Tax")</f>
        <v>Amount of 2012 Ad Valorem Tax</v>
      </c>
      <c r="G12" s="23" t="s">
        <v>279</v>
      </c>
    </row>
    <row r="13" spans="4:7" s="14" customFormat="1" ht="15">
      <c r="D13" s="23" t="s">
        <v>280</v>
      </c>
      <c r="E13" s="528" t="s">
        <v>209</v>
      </c>
      <c r="F13" s="770"/>
      <c r="G13" s="156" t="s">
        <v>281</v>
      </c>
    </row>
    <row r="14" spans="2:7" s="14" customFormat="1" ht="15">
      <c r="B14" s="71" t="s">
        <v>282</v>
      </c>
      <c r="C14" s="20"/>
      <c r="D14" s="26" t="s">
        <v>283</v>
      </c>
      <c r="E14" s="529" t="s">
        <v>720</v>
      </c>
      <c r="F14" s="77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38292</v>
      </c>
      <c r="F21" s="733">
        <f>IF(gen!$E$57&lt;&gt;0,gen!$E$57,0)</f>
        <v>18849</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38292</v>
      </c>
      <c r="F35" s="735">
        <f>SUM(F21:F30)</f>
        <v>18849</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Yes</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291</v>
      </c>
    </row>
    <row r="40" spans="2:7" s="14" customFormat="1" ht="15">
      <c r="B40" s="27" t="s">
        <v>98</v>
      </c>
      <c r="C40" s="781"/>
      <c r="D40" s="782"/>
      <c r="E40" s="273"/>
      <c r="G40" s="22"/>
    </row>
    <row r="41" spans="2:7" s="14" customFormat="1" ht="15">
      <c r="B41" s="274"/>
      <c r="C41" s="783" t="str">
        <f>CONCATENATE("Nov. 1, ",H1-1," Valuation")</f>
        <v>Nov. 1, 2012 Valuation</v>
      </c>
      <c r="D41" s="784"/>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6" t="s">
        <v>293</v>
      </c>
      <c r="F54" s="767"/>
      <c r="G54" s="76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Sherman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68"/>
      <c r="C3" s="768"/>
      <c r="D3" s="768"/>
      <c r="E3" s="768"/>
      <c r="F3" s="768"/>
      <c r="G3" s="768"/>
      <c r="H3" s="768"/>
      <c r="I3" s="768"/>
      <c r="J3" s="768"/>
    </row>
    <row r="4" spans="1:10" ht="15">
      <c r="A4" s="14"/>
      <c r="B4" s="14"/>
      <c r="C4" s="14"/>
      <c r="D4" s="14"/>
      <c r="E4" s="768"/>
      <c r="F4" s="768"/>
      <c r="G4" s="76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17486</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17486</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2249</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125481</v>
      </c>
      <c r="F14" s="246"/>
      <c r="G14" s="55"/>
      <c r="H14" s="55"/>
      <c r="I14" s="53"/>
      <c r="J14" s="55"/>
    </row>
    <row r="15" spans="1:10" ht="15">
      <c r="A15" s="245"/>
      <c r="B15" s="14" t="s">
        <v>87</v>
      </c>
      <c r="C15" s="14" t="str">
        <f>CONCATENATE("Personal Property ",J1-2,"")</f>
        <v>Personal Property 2011</v>
      </c>
      <c r="D15" s="245" t="s">
        <v>82</v>
      </c>
      <c r="E15" s="249">
        <f>inputOth!E11</f>
        <v>63857</v>
      </c>
      <c r="F15" s="246"/>
      <c r="G15" s="53"/>
      <c r="H15" s="53"/>
      <c r="I15" s="55"/>
      <c r="J15" s="55"/>
    </row>
    <row r="16" spans="1:10" ht="15">
      <c r="A16" s="245"/>
      <c r="B16" s="14" t="s">
        <v>88</v>
      </c>
      <c r="C16" s="14" t="s">
        <v>108</v>
      </c>
      <c r="D16" s="14"/>
      <c r="E16" s="55"/>
      <c r="F16" s="55" t="s">
        <v>15</v>
      </c>
      <c r="G16" s="247">
        <f>IF(E14&gt;E15,E14-E15,0)</f>
        <v>61624</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4829</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68702</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1267010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1198308</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0.05733250549942085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1003</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18489</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18489</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Sherman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67"/>
      <c r="D6" s="767"/>
      <c r="E6" s="767"/>
      <c r="F6" s="767"/>
      <c r="G6" s="767"/>
      <c r="H6" s="767"/>
      <c r="I6" s="767"/>
      <c r="J6" s="76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17486</v>
      </c>
      <c r="E11" s="131">
        <f>IF(inputOth!D17&gt;0,inputOth!D17,"  ")</f>
        <v>14.313</v>
      </c>
      <c r="F11" s="728"/>
      <c r="G11" s="161">
        <f>IF(inputPrYr!E16=0,0,G23-SUM(G12:G20))</f>
        <v>1468</v>
      </c>
      <c r="H11" s="729"/>
      <c r="I11" s="161">
        <f>IF(inputPrYr!E16=0,0,I25-SUM(I12:I20))</f>
        <v>7</v>
      </c>
      <c r="J11" s="161">
        <f>IF(inputPrYr!E16=0,0,J27-SUM(J12:J20))</f>
        <v>515</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17486</v>
      </c>
      <c r="E21" s="731">
        <f>SUM(E11:E20)</f>
        <v>14.313</v>
      </c>
      <c r="F21" s="732"/>
      <c r="G21" s="730">
        <f>SUM(G11:G20)</f>
        <v>1468</v>
      </c>
      <c r="H21" s="730"/>
      <c r="I21" s="730">
        <f>SUM(I11:I20)</f>
        <v>7</v>
      </c>
      <c r="J21" s="730">
        <f>SUM(J11:J20)</f>
        <v>515</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1468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7</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515</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0.08395287658698387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0.00040032025620496394</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0.02945213313507949</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Sherman Township</v>
      </c>
      <c r="B2" s="88"/>
      <c r="C2" s="14"/>
      <c r="D2" s="14"/>
      <c r="E2" s="52"/>
      <c r="F2" s="14"/>
    </row>
    <row r="3" spans="1:6" ht="15">
      <c r="A3" s="13"/>
      <c r="B3" s="88"/>
      <c r="C3" s="14"/>
      <c r="D3" s="14"/>
      <c r="E3" s="52"/>
      <c r="F3" s="14"/>
    </row>
    <row r="4" spans="1:6" ht="1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1653</v>
      </c>
      <c r="D12" s="223">
        <f>gen!$D$45</f>
        <v>0</v>
      </c>
      <c r="E12" s="223">
        <f>gen!$E$45</f>
        <v>0</v>
      </c>
      <c r="F12" s="73" t="str">
        <f>IF(C12+D12+E12&gt;0,"80-122","")</f>
        <v>80-122</v>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1653</v>
      </c>
      <c r="D27" s="228">
        <f>SUM(D10:D26)</f>
        <v>0</v>
      </c>
      <c r="E27" s="228">
        <f>SUM(E10:E26)</f>
        <v>0</v>
      </c>
      <c r="F27" s="129"/>
    </row>
    <row r="28" spans="1:6" ht="15">
      <c r="A28" s="129"/>
      <c r="B28" s="227" t="s">
        <v>610</v>
      </c>
      <c r="C28" s="129"/>
      <c r="D28" s="224"/>
      <c r="E28" s="224"/>
      <c r="F28" s="129"/>
    </row>
    <row r="29" spans="1:6" ht="15">
      <c r="A29" s="129"/>
      <c r="B29" s="179" t="s">
        <v>177</v>
      </c>
      <c r="C29" s="229">
        <f>C27</f>
        <v>1653</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2012-08-02T16:10:48Z</cp:lastPrinted>
  <dcterms:created xsi:type="dcterms:W3CDTF">1998-08-26T16:30:41Z</dcterms:created>
  <dcterms:modified xsi:type="dcterms:W3CDTF">2012-08-03T23:53:23Z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