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<sst xmlns="http://schemas.openxmlformats.org/spreadsheetml/2006/main" count="1563" uniqueCount="944">
  <si>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</si>
  <si>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</si>
  <si>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</si>
  <si>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</si>
  <si>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</si>
  <si>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</si>
  <si>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</si>
  <si>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</si>
  <si>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</si>
  <si>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</si>
  <si>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</si>
  <si>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</si>
  <si>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</si>
  <si>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</si>
  <si>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</si>
  <si>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</si>
  <si>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</si>
  <si>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</si>
  <si>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</si>
  <si>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</si>
  <si>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</si>
  <si>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</si>
  <si>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</si>
  <si>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</si>
  <si>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</si>
  <si>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</si>
  <si>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</si>
  <si>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</si>
  <si>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</si>
  <si>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</si>
  <si>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</si>
  <si>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</si>
  <si>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</si>
  <si>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</si>
  <si>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</si>
  <si>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</si>
  <si>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</si>
  <si>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</si>
  <si>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</si>
  <si>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</si>
  <si>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</si>
  <si>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</si>
  <si>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</si>
  <si>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</si>
  <si>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</si>
  <si>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</si>
  <si>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</si>
  <si>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</si>
  <si>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</si>
  <si>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</si>
  <si>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</si>
  <si>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</si>
  <si>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</si>
  <si>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</si>
  <si>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</si>
  <si>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</si>
  <si>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</si>
  <si>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</si>
  <si>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</si>
  <si>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</si>
  <si>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</si>
  <si>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</si>
  <si>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</si>
  <si>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</si>
  <si>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</si>
  <si>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</si>
  <si>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</si>
  <si>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</si>
  <si>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</si>
  <si>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</si>
  <si>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</si>
  <si>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</si>
  <si>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</si>
  <si>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</si>
  <si>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</si>
  <si>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</si>
  <si>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</si>
  <si>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</si>
  <si>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</si>
  <si>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</si>
  <si>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</si>
  <si>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</si>
  <si>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</si>
  <si>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</si>
  <si>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</si>
  <si>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</si>
  <si>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</si>
  <si>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</si>
  <si>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</si>
  <si>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</si>
  <si>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</si>
  <si>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</si>
  <si>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</si>
  <si>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</si>
  <si>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</si>
  <si>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</si>
  <si>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</si>
  <si>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</si>
  <si>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</si>
  <si>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</si>
  <si>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</si>
  <si>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</si>
  <si>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</si>
  <si>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</si>
  <si>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</si>
  <si>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</si>
  <si>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</si>
  <si>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</si>
  <si>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</si>
  <si>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</si>
  <si>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</si>
  <si>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</si>
  <si>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</si>
  <si>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</si>
  <si>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</si>
  <si>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</si>
  <si>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</si>
  <si>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</si>
  <si>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</si>
  <si>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</si>
  <si>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</si>
  <si>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</si>
  <si>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</si>
  <si>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</si>
  <si>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</si>
  <si>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</si>
  <si>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</si>
  <si>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</si>
  <si>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</si>
  <si>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</si>
  <si>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</si>
  <si>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</si>
  <si>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</si>
  <si>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</si>
  <si>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</si>
  <si>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</si>
  <si>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</si>
  <si>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</si>
  <si>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</si>
  <si>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</si>
  <si>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</si>
  <si>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</si>
  <si>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</si>
  <si>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</si>
  <si>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</si>
  <si>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</si>
  <si>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</si>
  <si>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</si>
  <si>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</si>
  <si>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</si>
  <si>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</si>
  <si>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</si>
  <si>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</si>
  <si>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</si>
  <si>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</si>
  <si>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</si>
  <si>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</si>
  <si>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</si>
  <si>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</si>
  <si>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</si>
  <si>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</si>
  <si>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</si>
  <si>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</si>
  <si>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</si>
  <si>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</si>
  <si>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</si>
  <si>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</si>
  <si>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</si>
  <si>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</si>
  <si>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</si>
  <si>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</si>
  <si>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</si>
  <si>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</si>
  <si>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</si>
  <si>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</si>
  <si>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</si>
  <si>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</si>
  <si>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</si>
  <si>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</si>
  <si>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</si>
  <si>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</si>
  <si>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</si>
  <si>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</si>
  <si>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</si>
  <si>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</si>
  <si>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</si>
  <si>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</si>
  <si>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</si>
  <si>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</si>
  <si>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</si>
  <si>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</si>
  <si>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</si>
  <si>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</si>
  <si>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</si>
  <si>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</si>
  <si>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</si>
  <si>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</si>
  <si>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</si>
  <si>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</si>
  <si>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</si>
  <si>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</si>
  <si>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</si>
  <si>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</si>
  <si>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</si>
  <si>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</si>
  <si>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</si>
  <si>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</si>
  <si>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</si>
  <si>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</si>
  <si>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</si>
  <si>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</si>
  <si>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</si>
  <si>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</si>
  <si>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</si>
  <si>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</si>
  <si>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</si>
  <si>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</si>
  <si>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</si>
  <si>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</si>
  <si>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</si>
  <si>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</si>
  <si>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</si>
  <si>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</si>
  <si>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</si>
  <si>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</si>
  <si>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</si>
  <si>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</si>
  <si>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</si>
  <si>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</si>
  <si>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</si>
  <si>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</si>
  <si>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</si>
  <si>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</si>
  <si>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</si>
  <si>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</si>
  <si>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</si>
  <si>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</si>
  <si>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</si>
  <si>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</si>
  <si>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</si>
  <si>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</si>
  <si>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</si>
  <si>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</si>
  <si>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</si>
  <si>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</si>
  <si>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</si>
  <si>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</si>
  <si>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</si>
  <si>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</si>
  <si>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</si>
  <si>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</si>
  <si>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</si>
  <si>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</si>
  <si>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</si>
  <si>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</si>
  <si>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</si>
  <si>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</si>
  <si>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</si>
  <si>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</si>
  <si>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</si>
  <si>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</si>
  <si>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</si>
  <si>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</si>
  <si>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</si>
  <si>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</si>
  <si>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</si>
  <si>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</si>
  <si>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</si>
  <si>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</si>
  <si>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</si>
  <si>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</si>
  <si>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</si>
  <si>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</si>
  <si>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</si>
  <si>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</si>
  <si>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</si>
  <si>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</si>
  <si>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</si>
  <si>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</si>
  <si>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</si>
  <si>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</si>
  <si>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</si>
  <si>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</si>
  <si>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</si>
  <si>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</si>
  <si>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</si>
  <si>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</si>
  <si>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</si>
  <si>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</si>
  <si>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</si>
  <si>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</si>
  <si>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</si>
  <si>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</si>
  <si>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</si>
  <si>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</si>
  <si>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</si>
  <si>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</si>
  <si>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</si>
  <si>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</si>
  <si>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</si>
  <si>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</si>
  <si>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</si>
  <si>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</si>
  <si>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</si>
  <si>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</si>
  <si>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</si>
  <si>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</si>
  <si>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</si>
  <si>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</si>
  <si>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</si>
  <si>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</si>
  <si>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</si>
  <si>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</si>
  <si>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</si>
  <si>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</si>
  <si>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</si>
  <si>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</si>
  <si>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</si>
  <si>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</si>
  <si>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</si>
  <si>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</si>
  <si>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</si>
  <si>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</si>
  <si>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</si>
  <si>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</si>
  <si>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</si>
  <si>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</si>
  <si>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</si>
  <si>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</si>
  <si>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</si>
  <si>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</si>
  <si>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</si>
  <si>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</si>
  <si>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</si>
  <si>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</si>
  <si>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</si>
  <si>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</si>
  <si>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</si>
  <si>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</si>
  <si>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</si>
  <si>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</si>
  <si>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</si>
  <si>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</si>
  <si>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</si>
  <si>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</si>
  <si>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</si>
  <si>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</si>
  <si>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</si>
  <si>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</si>
  <si>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</si>
  <si>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</si>
  <si>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</si>
  <si>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</si>
  <si>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</si>
  <si>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</si>
  <si>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</si>
  <si>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</si>
  <si>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</si>
  <si>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</si>
  <si>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</si>
  <si>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</si>
  <si>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</si>
  <si>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</si>
  <si>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</si>
  <si>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</si>
  <si>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</si>
  <si>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</si>
  <si>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</si>
  <si>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</si>
  <si>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</si>
  <si>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</si>
  <si>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</si>
  <si>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</si>
  <si>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</si>
  <si>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</si>
  <si>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</si>
  <si>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</si>
  <si>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</si>
  <si>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</si>
  <si>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</si>
  <si>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</si>
  <si>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</si>
  <si>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</si>
  <si>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</si>
  <si>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</si>
  <si>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</si>
  <si>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</si>
  <si>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</si>
  <si>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</si>
  <si>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</si>
  <si>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</si>
  <si>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</si>
  <si>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</si>
  <si>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</si>
  <si>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</si>
  <si>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</si>
  <si>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</si>
  <si>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</si>
  <si>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</si>
  <si>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</si>
  <si>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</si>
  <si>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</si>
  <si>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</si>
  <si>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</si>
  <si>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</si>
  <si>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</si>
  <si>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</si>
  <si>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</si>
  <si>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</si>
  <si>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</si>
  <si>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</si>
  <si>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</si>
  <si>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</si>
  <si>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</si>
  <si>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</si>
  <si>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</si>
  <si>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</si>
  <si>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</si>
  <si>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</si>
  <si>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</si>
  <si>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</si>
  <si>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</si>
  <si>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</si>
  <si>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</si>
  <si>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</si>
  <si>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</si>
  <si>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</si>
  <si>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</si>
  <si>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</si>
  <si>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</si>
  <si>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</si>
  <si>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</si>
  <si>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</si>
  <si>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</si>
  <si>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</si>
  <si>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</si>
  <si>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</si>
  <si>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</si>
  <si>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</si>
  <si>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</si>
  <si>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</si>
  <si>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</si>
  <si>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</si>
  <si>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</si>
  <si>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</si>
  <si>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</si>
  <si>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</si>
  <si>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</si>
  <si>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</si>
  <si>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</si>
  <si>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</si>
  <si>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</si>
  <si>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</si>
  <si>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</si>
  <si>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</si>
  <si>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</si>
  <si>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</si>
  <si>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</si>
  <si>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</si>
  <si>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</si>
  <si>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</si>
  <si>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</si>
  <si>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</si>
  <si>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</si>
  <si>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</si>
  <si>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</si>
  <si>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</si>
  <si>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</si>
  <si>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</si>
  <si>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</si>
  <si>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</si>
  <si>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</si>
  <si>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</si>
  <si>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</si>
  <si>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</si>
  <si>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</si>
  <si>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</si>
  <si>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</si>
  <si>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</si>
  <si>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</si>
  <si>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</si>
  <si>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</si>
  <si>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</si>
  <si>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</si>
  <si>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</si>
  <si>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</si>
  <si>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</si>
  <si>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</si>
  <si>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</si>
  <si>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</si>
  <si>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</si>
  <si>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</si>
  <si>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</si>
  <si>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</si>
  <si>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</si>
  <si>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</si>
  <si>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</si>
  <si>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</si>
  <si>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</si>
  <si>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</si>
  <si>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</si>
  <si>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</si>
  <si>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</si>
  <si>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</si>
  <si>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</si>
  <si>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</si>
  <si>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</si>
  <si>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</si>
  <si>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</si>
  <si>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</si>
  <si>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</si>
  <si>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</si>
  <si>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</si>
  <si>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</si>
  <si>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</si>
  <si>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</si>
  <si>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</si>
  <si>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</si>
  <si>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</si>
  <si>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</si>
  <si>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</si>
  <si>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</si>
  <si>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</si>
  <si>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</si>
  <si>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</si>
  <si>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</si>
  <si>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</si>
  <si>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</si>
  <si>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</si>
  <si>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</si>
  <si>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</si>
  <si>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</si>
  <si>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</si>
  <si>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</si>
  <si>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</si>
  <si>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</si>
  <si>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</si>
  <si>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</si>
  <si>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</si>
  <si>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</si>
  <si>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</si>
  <si>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</si>
  <si>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</si>
  <si>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</si>
  <si>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</si>
  <si>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</si>
  <si>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</si>
  <si>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</si>
  <si>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</si>
  <si>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</si>
  <si>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</si>
  <si>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</si>
  <si>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</si>
  <si>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</si>
  <si>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</si>
  <si>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</si>
  <si>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</si>
  <si>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</si>
  <si>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</si>
  <si>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</si>
  <si>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</si>
  <si>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</si>
  <si>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</si>
  <si>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</si>
  <si>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</si>
  <si>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</si>
  <si>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</si>
  <si>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</si>
  <si>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</si>
  <si>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</si>
  <si>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</si>
  <si>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</si>
  <si>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</si>
  <si>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</si>
  <si>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</si>
  <si>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</si>
  <si>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</si>
  <si>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</si>
  <si>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</si>
  <si>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</si>
  <si>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</si>
  <si>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</si>
  <si>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</si>
  <si>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</si>
  <si>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</si>
  <si>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</si>
  <si>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</si>
  <si>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</si>
  <si>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</si>
  <si>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</si>
  <si>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</si>
  <si>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</si>
  <si>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</si>
  <si>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</si>
  <si>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</si>
  <si>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</si>
  <si>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</si>
  <si>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</si>
  <si>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</si>
  <si>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</si>
  <si>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</si>
  <si>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</si>
  <si>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</si>
  <si>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</si>
  <si>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</si>
  <si>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</si>
  <si>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</si>
  <si>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</si>
  <si>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</si>
  <si>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</si>
  <si>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</si>
  <si>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</si>
  <si>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</si>
  <si>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</si>
  <si>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</si>
  <si>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</si>
  <si>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</si>
  <si>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</si>
  <si>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</si>
  <si>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</si>
  <si>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</si>
  <si>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</si>
  <si>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</si>
  <si>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</si>
  <si>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</si>
  <si>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</si>
  <si>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</si>
  <si>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</si>
  <si>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</si>
  <si>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</si>
  <si>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</si>
  <si>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</si>
  <si>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</si>
  <si>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</si>
  <si>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</si>
  <si>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</si>
  <si>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</si>
  <si>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</si>
  <si>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</si>
  <si>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</si>
  <si>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</si>
  <si>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</si>
  <si>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</si>
  <si>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</si>
  <si>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</si>
  <si>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</si>
  <si>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</si>
  <si>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</si>
  <si>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</si>
  <si>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</si>
  <si>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</si>
  <si>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</si>
  <si>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</si>
  <si>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</si>
  <si>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</si>
  <si>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</si>
  <si>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</si>
  <si>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</si>
  <si>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</si>
  <si>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</si>
  <si>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</si>
  <si>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</si>
  <si>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</si>
  <si>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</si>
  <si>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</si>
  <si>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</si>
  <si>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</si>
  <si>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</si>
  <si>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</si>
  <si>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</si>
  <si>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</si>
  <si>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</si>
  <si>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</si>
  <si>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</si>
  <si>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</si>
  <si>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</si>
  <si>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</si>
  <si>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</si>
  <si>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</si>
  <si>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</si>
  <si>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</si>
  <si>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</si>
  <si>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</si>
  <si>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</si>
  <si>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</si>
  <si>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</si>
  <si>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</si>
  <si>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</si>
  <si>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</si>
  <si>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</si>
  <si>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</si>
  <si>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</si>
  <si>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</si>
  <si>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</si>
  <si>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</si>
  <si>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</si>
  <si>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</si>
  <si>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</si>
  <si>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</si>
  <si>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</si>
  <si>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</si>
  <si>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</si>
  <si>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</si>
  <si>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</si>
  <si>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</si>
  <si>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</si>
  <si>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</si>
  <si>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</si>
  <si>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</si>
  <si>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</si>
  <si>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</si>
  <si>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</si>
  <si>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</si>
  <si>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</si>
  <si>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</si>
  <si>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</si>
  <si>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</si>
  <si>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</si>
  <si>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</si>
  <si>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</si>
  <si>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</si>
  <si>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</si>
  <si>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</si>
  <si>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</si>
  <si>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</si>
  <si>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</si>
  <si>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</si>
  <si>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</si>
  <si>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</si>
  <si>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</si>
  <si>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</si>
  <si>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</si>
  <si>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</si>
  <si>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</si>
  <si>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</si>
  <si>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</si>
  <si>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</si>
  <si>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</si>
  <si>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</si>
  <si>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</si>
  <si>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</si>
  <si>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</si>
  <si>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</si>
  <si>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</si>
  <si>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</si>
  <si>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</si>
  <si>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</si>
  <si>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</si>
  <si>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</si>
  <si>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</si>
  <si>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</si>
  <si>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</si>
  <si>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</si>
  <si>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</si>
  <si>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</si>
  <si>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</si>
  <si>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</si>
  <si>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</si>
  <si>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</si>
  <si>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</si>
  <si>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</si>
  <si>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</si>
  <si>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</si>
  <si>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</si>
  <si>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</si>
  <si>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</si>
  <si>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</si>
  <si>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</si>
  <si>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</si>
  <si>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</si>
  <si>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</si>
  <si>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</si>
  <si>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</si>
  <si>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</si>
  <si>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</si>
  <si>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</si>
  <si>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</si>
  <si>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</si>
  <si>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</si>
  <si>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</si>
  <si>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</si>
  <si>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</si>
  <si>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</si>
  <si>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</si>
  <si>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</si>
  <si>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</si>
  <si>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</si>
  <si>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</si>
  <si>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</si>
  <si>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</si>
  <si>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</si>
  <si>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</si>
  <si>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</si>
  <si>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</si>
  <si>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</si>
  <si>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</si>
  <si>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</si>
  <si>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</si>
  <si>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</si>
  <si>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</si>
  <si>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</si>
  <si>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</si>
  <si>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</si>
  <si>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</si>
  <si>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</si>
  <si>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</si>
  <si>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</si>
  <si>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</si>
  <si>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</si>
  <si>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</si>
  <si>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</si>
  <si>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</si>
  <si>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</si>
  <si>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</si>
  <si>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</si>
  <si>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</si>
  <si>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</si>
  <si>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</si>
  <si>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</si>
  <si>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</si>
  <si>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</si>
  <si>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</si>
  <si>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</si>
  <si>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</si>
  <si>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</si>
  <si>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</si>
  <si>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</si>
  <si>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</si>
  <si>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</si>
  <si>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</si>
  <si>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</si>
  <si>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</si>
  <si>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</si>
  <si>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</si>
  <si>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</si>
  <si>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</si>
  <si>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</si>
  <si>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</si>
  <si>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</si>
  <si>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</si>
  <si>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</si>
  <si>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</si>
  <si>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</si>
  <si>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</si>
  <si>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</si>
  <si>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</si>
  <si>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</si>
  <si>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</si>
  <si>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</si>
  <si>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</si>
  <si>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</si>
  <si>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</si>
  <si>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</si>
  <si>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</si>
  <si>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</si>
  <si>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</si>
  <si>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</si>
  <si>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</si>
  <si>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</si>
  <si>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</si>
  <si>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</si>
  <si>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</si>
  <si>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</si>
  <si>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</si>
  <si>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</si>
  <si>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</si>
  <si>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</si>
  <si>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</si>
  <si>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</si>
  <si>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</si>
  <si>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</si>
  <si>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</si>
  <si>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</si>
  <si>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</si>
  <si>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</si>
  <si>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</si>
  <si>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</si>
  <si>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</si>
  <si>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</si>
  <si>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</si>
  <si>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</si>
  <si>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</si>
  <si>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</si>
  <si>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</si>
  <si>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</si>
  <si>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</si>
  <si>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</si>
  <si>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</si>
  <si>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</si>
  <si>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</si>
  <si>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</si>
  <si>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</si>
  <si>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</si>
  <si>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</si>
  <si>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</si>
  <si>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</si>
  <si>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</si>
  <si>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</si>
  <si>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</si>
  <si>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</si>
  <si>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</si>
  <si>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</si>
  <si>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</si>
  <si>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</si>
  <si>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</si>
  <si>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</si>
  <si>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</si>
  <si>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</si>
  <si>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</si>
  <si>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</si>
  <si>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</si>
  <si>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</si>
  <si>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</si>
  <si>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</si>
  <si>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</si>
  <si>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</si>
  <si>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</si>
  <si>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</si>
  <si>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</si>
  <si>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</si>
  <si>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</si>
  <si>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</si>
  <si>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</si>
  <si>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</si>
  <si>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</si>
  <si>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</si>
  <si>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</si>
  <si>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</si>
  <si>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</si>
  <si>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</si>
  <si>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Carneiro Township</t>
  </si>
  <si>
    <t>Ellsworth County</t>
  </si>
  <si>
    <t>Mowing</t>
  </si>
  <si>
    <t>Publications &amp; Misc</t>
  </si>
  <si>
    <t>Government Lease</t>
  </si>
  <si>
    <t>Supplies &amp; Repairs</t>
  </si>
  <si>
    <t>Weeds</t>
  </si>
  <si>
    <t>Cemetery</t>
  </si>
  <si>
    <t>Lynn Ross Parker</t>
  </si>
  <si>
    <t>Treasurer</t>
  </si>
  <si>
    <t>August 24, 2012</t>
  </si>
  <si>
    <t>7:30 p.m.</t>
  </si>
  <si>
    <t>Webster Hall, Carneiro</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</si>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</sst>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Carneiro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Carneiro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1497317</v>
      </c>
      <c r="F27" s="565"/>
      <c r="G27" s="570">
        <f>summ!G37</f>
        <v>1572713</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5">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Carneiro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70</v>
      </c>
      <c r="D6" s="390">
        <f>C51</f>
        <v>66</v>
      </c>
      <c r="E6" s="32">
        <f>D51</f>
        <v>66</v>
      </c>
    </row>
    <row r="7" spans="2:5" ht="15">
      <c r="B7" s="27" t="s">
        <v>120</v>
      </c>
      <c r="C7" s="390"/>
      <c r="D7" s="390"/>
      <c r="E7" s="33"/>
    </row>
    <row r="8" spans="2:5" ht="15">
      <c r="B8" s="27" t="s">
        <v>16</v>
      </c>
      <c r="C8" s="29">
        <v>5049</v>
      </c>
      <c r="D8" s="390">
        <f>IF(inputPrYr!H15&gt;0,inputPrYr!G16,inputPrYr!E16)</f>
        <v>5216</v>
      </c>
      <c r="E8" s="33" t="s">
        <v>290</v>
      </c>
    </row>
    <row r="9" spans="2:5" ht="15">
      <c r="B9" s="27" t="s">
        <v>17</v>
      </c>
      <c r="C9" s="29">
        <v>68</v>
      </c>
      <c r="D9" s="29"/>
      <c r="E9" s="34"/>
    </row>
    <row r="10" spans="2:5" ht="15">
      <c r="B10" s="27" t="s">
        <v>18</v>
      </c>
      <c r="C10" s="29">
        <v>290</v>
      </c>
      <c r="D10" s="29">
        <v>255</v>
      </c>
      <c r="E10" s="32">
        <f>mvalloc!G11</f>
        <v>228</v>
      </c>
    </row>
    <row r="11" spans="2:5" ht="15">
      <c r="B11" s="27" t="s">
        <v>19</v>
      </c>
      <c r="C11" s="29">
        <v>1</v>
      </c>
      <c r="D11" s="29">
        <v>1</v>
      </c>
      <c r="E11" s="32">
        <f>mvalloc!I11</f>
        <v>1</v>
      </c>
    </row>
    <row r="12" spans="2:5" ht="15">
      <c r="B12" s="35" t="s">
        <v>69</v>
      </c>
      <c r="C12" s="29">
        <v>43</v>
      </c>
      <c r="D12" s="29">
        <v>28</v>
      </c>
      <c r="E12" s="32">
        <f>mvalloc!J11</f>
        <v>24</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5451</v>
      </c>
      <c r="D26" s="392">
        <f>SUM(D8:D24)</f>
        <v>5500</v>
      </c>
      <c r="E26" s="42">
        <f>SUM(E8:E24)</f>
        <v>253</v>
      </c>
    </row>
    <row r="27" spans="2:5" ht="15">
      <c r="B27" s="43" t="s">
        <v>24</v>
      </c>
      <c r="C27" s="392">
        <f>C26+C6</f>
        <v>5521</v>
      </c>
      <c r="D27" s="392">
        <f>D26+D6</f>
        <v>5566</v>
      </c>
      <c r="E27" s="42">
        <f>E26+E6</f>
        <v>319</v>
      </c>
    </row>
    <row r="28" spans="2:5" ht="15">
      <c r="B28" s="27" t="s">
        <v>25</v>
      </c>
      <c r="C28" s="390"/>
      <c r="D28" s="390"/>
      <c r="E28" s="32"/>
    </row>
    <row r="29" spans="2:5" ht="15">
      <c r="B29" s="37"/>
      <c r="C29" s="29"/>
      <c r="D29" s="29"/>
      <c r="E29" s="34"/>
    </row>
    <row r="30" spans="2:5" ht="15">
      <c r="B30" s="38" t="s">
        <v>101</v>
      </c>
      <c r="C30" s="29">
        <v>600</v>
      </c>
      <c r="D30" s="29">
        <v>600</v>
      </c>
      <c r="E30" s="34">
        <v>600</v>
      </c>
    </row>
    <row r="31" spans="2:5" ht="15">
      <c r="B31" s="38" t="s">
        <v>125</v>
      </c>
      <c r="C31" s="29"/>
      <c r="D31" s="29"/>
      <c r="E31" s="34"/>
    </row>
    <row r="32" spans="2:5" ht="15">
      <c r="B32" s="38" t="s">
        <v>102</v>
      </c>
      <c r="C32" s="29"/>
      <c r="D32" s="29"/>
      <c r="E32" s="34"/>
    </row>
    <row r="33" spans="2:5" ht="15">
      <c r="B33" s="38" t="s">
        <v>36</v>
      </c>
      <c r="C33" s="29">
        <v>2522</v>
      </c>
      <c r="D33" s="29">
        <v>2000</v>
      </c>
      <c r="E33" s="34">
        <v>2000</v>
      </c>
    </row>
    <row r="34" spans="2:5" ht="15">
      <c r="B34" s="37" t="s">
        <v>103</v>
      </c>
      <c r="C34" s="29"/>
      <c r="D34" s="29"/>
      <c r="E34" s="34"/>
    </row>
    <row r="35" spans="2:5" ht="15">
      <c r="B35" s="37" t="s">
        <v>126</v>
      </c>
      <c r="C35" s="29"/>
      <c r="D35" s="29"/>
      <c r="E35" s="34"/>
    </row>
    <row r="36" spans="2:5" ht="15">
      <c r="B36" s="38" t="s">
        <v>128</v>
      </c>
      <c r="C36" s="29">
        <v>887</v>
      </c>
      <c r="D36" s="29">
        <v>1400</v>
      </c>
      <c r="E36" s="34">
        <v>1200</v>
      </c>
    </row>
    <row r="37" spans="2:5" ht="15">
      <c r="B37" s="38" t="s">
        <v>932</v>
      </c>
      <c r="C37" s="29">
        <v>1160</v>
      </c>
      <c r="D37" s="29">
        <v>1500</v>
      </c>
      <c r="E37" s="34">
        <v>1500</v>
      </c>
    </row>
    <row r="38" spans="2:5" ht="15">
      <c r="B38" s="37" t="s">
        <v>933</v>
      </c>
      <c r="C38" s="29">
        <v>286</v>
      </c>
      <c r="D38" s="29"/>
      <c r="E38" s="34">
        <v>284</v>
      </c>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5455</v>
      </c>
      <c r="D50" s="384">
        <f>SUM(D29:D48)</f>
        <v>5500</v>
      </c>
      <c r="E50" s="47">
        <f>SUM(E29:E43,E45,E47:E48)</f>
        <v>5584</v>
      </c>
      <c r="G50" s="490">
        <f>D51</f>
        <v>66</v>
      </c>
      <c r="H50" s="491" t="str">
        <f>CONCATENATE("",E1-1," Ending Cash Balance (est.)")</f>
        <v>2012 Ending Cash Balance (est.)</v>
      </c>
      <c r="I50" s="492"/>
      <c r="J50" s="489"/>
    </row>
    <row r="51" spans="2:10" ht="15">
      <c r="B51" s="27" t="s">
        <v>119</v>
      </c>
      <c r="C51" s="385">
        <f>C27-C50</f>
        <v>66</v>
      </c>
      <c r="D51" s="385">
        <f>SUM(D27-D50)</f>
        <v>66</v>
      </c>
      <c r="E51" s="33" t="s">
        <v>290</v>
      </c>
      <c r="G51" s="490">
        <f>E26</f>
        <v>253</v>
      </c>
      <c r="H51" s="493" t="str">
        <f>CONCATENATE("",E1," Non-AV Receipts (est.)")</f>
        <v>2013 Non-AV Receipts (est.)</v>
      </c>
      <c r="I51" s="492"/>
      <c r="J51" s="489"/>
    </row>
    <row r="52" spans="2:11" ht="15">
      <c r="B52" s="48" t="str">
        <f>CONCATENATE("",E1-2,"/",E1-1," Budget Authority Amount:")</f>
        <v>2011/2012 Budget Authority Amount:</v>
      </c>
      <c r="C52" s="132">
        <f>inputOth!B46</f>
        <v>5500</v>
      </c>
      <c r="D52" s="161">
        <f>inputPrYr!D16</f>
        <v>5500</v>
      </c>
      <c r="E52" s="33" t="s">
        <v>290</v>
      </c>
      <c r="F52" s="50"/>
      <c r="G52" s="494">
        <f>IF(D56&gt;0,E55,E57)</f>
        <v>5265</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5584</v>
      </c>
      <c r="H53" s="493" t="str">
        <f>CONCATENATE("Total ",E1," Resources Available")</f>
        <v>Total 2013 Resources Available</v>
      </c>
      <c r="I53" s="492"/>
      <c r="J53" s="489"/>
    </row>
    <row r="54" spans="2:10" ht="15">
      <c r="B54" s="399" t="str">
        <f>CONCATENATE(C72,"     ",D72)</f>
        <v>     </v>
      </c>
      <c r="C54" s="805" t="s">
        <v>624</v>
      </c>
      <c r="D54" s="806"/>
      <c r="E54" s="32">
        <f>E50+E53</f>
        <v>5584</v>
      </c>
      <c r="G54" s="495"/>
      <c r="H54" s="493"/>
      <c r="I54" s="493"/>
      <c r="J54" s="489"/>
    </row>
    <row r="55" spans="2:10" ht="15">
      <c r="B55" s="399" t="str">
        <f>CONCATENATE(C73,"     ",D73)</f>
        <v>     </v>
      </c>
      <c r="C55" s="60"/>
      <c r="D55" s="52" t="s">
        <v>28</v>
      </c>
      <c r="E55" s="46">
        <f>IF(E54-E27&gt;0,E54-E27,0)</f>
        <v>5265</v>
      </c>
      <c r="G55" s="494">
        <f>ROUND(C50*0.05+C50,0)</f>
        <v>5728</v>
      </c>
      <c r="H55" s="493" t="str">
        <f>CONCATENATE("Less ",E1-2," Expenditures + 5%")</f>
        <v>Less 2011 Expenditures + 5%</v>
      </c>
      <c r="I55" s="492"/>
      <c r="J55" s="489"/>
    </row>
    <row r="56" spans="2:10" ht="15">
      <c r="B56" s="52"/>
      <c r="C56" s="403" t="s">
        <v>625</v>
      </c>
      <c r="D56" s="699">
        <f>inputOth!$E$40</f>
        <v>0</v>
      </c>
      <c r="E56" s="32">
        <f>ROUND(IF(D56&gt;0,(E55*D56),0),0)</f>
        <v>0</v>
      </c>
      <c r="G56" s="496">
        <f>G53-G55</f>
        <v>-144</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5265</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3.348</v>
      </c>
      <c r="H60" s="491" t="str">
        <f>CONCATENATE("",E1," Fund Mill Rate")</f>
        <v>2013 Fund Mill Rate</v>
      </c>
      <c r="I60" s="701"/>
      <c r="J60" s="714"/>
      <c r="K60" s="16"/>
    </row>
    <row r="61" spans="2:10" ht="15">
      <c r="B61" s="52" t="s">
        <v>9</v>
      </c>
      <c r="C61" s="405">
        <f>IF(inputPrYr!D18&gt;0,7,6)</f>
        <v>6</v>
      </c>
      <c r="D61" s="14"/>
      <c r="E61" s="55"/>
      <c r="G61" s="716">
        <f>summ!F18</f>
        <v>3.484</v>
      </c>
      <c r="H61" s="491" t="str">
        <f>CONCATENATE("",E1-1," Fund Mill Rate")</f>
        <v>2012 Fund Mill Rate</v>
      </c>
      <c r="I61" s="701"/>
      <c r="J61" s="714"/>
    </row>
    <row r="62" spans="7:10" ht="15">
      <c r="G62" s="717">
        <f>summ!I32</f>
        <v>15.61</v>
      </c>
      <c r="H62" s="491" t="str">
        <f>CONCATENATE("Total ",E1," Mill Rate")</f>
        <v>Total 2013 Mill Rate</v>
      </c>
      <c r="I62" s="701"/>
      <c r="J62" s="714"/>
    </row>
    <row r="63" spans="2:10" ht="15">
      <c r="B63" s="12"/>
      <c r="G63" s="716">
        <f>summ!F32</f>
        <v>16.346</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Carneiro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19258</v>
      </c>
    </row>
    <row r="7" spans="2:5" ht="15">
      <c r="B7" s="604" t="s">
        <v>120</v>
      </c>
      <c r="C7" s="608"/>
      <c r="D7" s="606"/>
      <c r="E7" s="607"/>
    </row>
    <row r="8" spans="2:5" ht="15">
      <c r="B8" s="604" t="s">
        <v>16</v>
      </c>
      <c r="C8" s="609"/>
      <c r="D8" s="606">
        <f>IF(inputPrYr!H15&gt;0,inputPrYr!G19,inputPrYr!E19)</f>
        <v>19258</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19258</v>
      </c>
      <c r="E20" s="622">
        <f>SUM(E9:E18)</f>
        <v>0</v>
      </c>
    </row>
    <row r="21" spans="2:5" ht="15">
      <c r="B21" s="620" t="s">
        <v>24</v>
      </c>
      <c r="C21" s="621">
        <f>C6+C20</f>
        <v>0</v>
      </c>
      <c r="D21" s="621">
        <f>D6+D20</f>
        <v>19258</v>
      </c>
      <c r="E21" s="622">
        <f>E6+E20</f>
        <v>19258</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19258</v>
      </c>
      <c r="H33" s="642" t="str">
        <f>CONCATENATE("",E1-1," Ending Cash Balance (est.)")</f>
        <v>2012 Ending Cash Balance (est.)</v>
      </c>
      <c r="I33" s="643"/>
      <c r="J33" s="638"/>
    </row>
    <row r="34" spans="2:10" ht="15">
      <c r="B34" s="604" t="s">
        <v>119</v>
      </c>
      <c r="C34" s="644">
        <f>C21-C33</f>
        <v>0</v>
      </c>
      <c r="D34" s="644">
        <f>D21-D33</f>
        <v>19258</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19258</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19258</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15.61</v>
      </c>
      <c r="H45" s="642" t="str">
        <f>CONCATENATE("Total ",E1," Mill Rate")</f>
        <v>Total 2013 Mill Rate</v>
      </c>
      <c r="I45" s="666"/>
      <c r="J45" s="667"/>
    </row>
    <row r="46" spans="2:10" ht="15">
      <c r="B46" s="604" t="s">
        <v>144</v>
      </c>
      <c r="C46" s="609">
        <v>0</v>
      </c>
      <c r="D46" s="606">
        <f>C74</f>
        <v>0</v>
      </c>
      <c r="E46" s="607">
        <f>D74</f>
        <v>0</v>
      </c>
      <c r="F46" s="645"/>
      <c r="G46" s="669">
        <f>summ!F32</f>
        <v>16.346</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15.61</v>
      </c>
      <c r="H85" s="642" t="str">
        <f>CONCATENATE("Total ",E1," Mill Rate")</f>
        <v>Total 2013 Mill Rate</v>
      </c>
      <c r="I85" s="666"/>
      <c r="J85" s="667"/>
    </row>
    <row r="86" spans="7:10" ht="15">
      <c r="G86" s="669">
        <f>summ!F32</f>
        <v>16.346</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5">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v>57</v>
      </c>
      <c r="D6" s="390">
        <f>C44</f>
        <v>667</v>
      </c>
      <c r="E6" s="32">
        <f>D44</f>
        <v>0</v>
      </c>
    </row>
    <row r="7" spans="2:5" ht="15">
      <c r="B7" s="27" t="s">
        <v>120</v>
      </c>
      <c r="C7" s="390"/>
      <c r="D7" s="390"/>
      <c r="E7" s="33"/>
    </row>
    <row r="8" spans="2:5" ht="15">
      <c r="B8" s="27" t="s">
        <v>16</v>
      </c>
      <c r="C8" s="29">
        <v>18056</v>
      </c>
      <c r="D8" s="390">
        <f>IF(inputPrYr!H15&gt;0,inputPrYr!G19,inputPrYr!E19)</f>
        <v>19258</v>
      </c>
      <c r="E8" s="33" t="s">
        <v>290</v>
      </c>
    </row>
    <row r="9" spans="2:5" ht="15">
      <c r="B9" s="27" t="s">
        <v>17</v>
      </c>
      <c r="C9" s="29">
        <v>176</v>
      </c>
      <c r="D9" s="29">
        <v>911</v>
      </c>
      <c r="E9" s="34"/>
    </row>
    <row r="10" spans="2:5" ht="15">
      <c r="B10" s="27" t="s">
        <v>18</v>
      </c>
      <c r="C10" s="29">
        <v>902</v>
      </c>
      <c r="D10" s="29">
        <v>2</v>
      </c>
      <c r="E10" s="32">
        <f>mvalloc!G14</f>
        <v>844</v>
      </c>
    </row>
    <row r="11" spans="2:5" ht="15">
      <c r="B11" s="27" t="s">
        <v>19</v>
      </c>
      <c r="C11" s="29">
        <v>3</v>
      </c>
      <c r="D11" s="29">
        <v>102</v>
      </c>
      <c r="E11" s="32">
        <f>mvalloc!I14</f>
        <v>3</v>
      </c>
    </row>
    <row r="12" spans="2:5" ht="15">
      <c r="B12" s="27" t="s">
        <v>99</v>
      </c>
      <c r="C12" s="29">
        <v>109</v>
      </c>
      <c r="D12" s="29"/>
      <c r="E12" s="32">
        <f>mvalloc!J14</f>
        <v>89</v>
      </c>
    </row>
    <row r="13" spans="2:5" ht="15">
      <c r="B13" s="27" t="s">
        <v>100</v>
      </c>
      <c r="C13" s="29">
        <v>1374</v>
      </c>
      <c r="D13" s="29">
        <v>1379</v>
      </c>
      <c r="E13" s="32">
        <f>inputOth!E36</f>
        <v>1364</v>
      </c>
    </row>
    <row r="14" spans="2:5" ht="15">
      <c r="B14" s="38" t="s">
        <v>934</v>
      </c>
      <c r="C14" s="29">
        <v>267</v>
      </c>
      <c r="D14" s="29"/>
      <c r="E14" s="34">
        <v>463</v>
      </c>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20887</v>
      </c>
      <c r="D23" s="392">
        <f>SUM(D8:D21)</f>
        <v>21652</v>
      </c>
      <c r="E23" s="42">
        <f>SUM(E8:E21)</f>
        <v>2763</v>
      </c>
    </row>
    <row r="24" spans="2:5" ht="15">
      <c r="B24" s="43" t="s">
        <v>24</v>
      </c>
      <c r="C24" s="392">
        <f>C23+C6</f>
        <v>20944</v>
      </c>
      <c r="D24" s="392">
        <f>D23+D6</f>
        <v>22319</v>
      </c>
      <c r="E24" s="42">
        <f>E23+E6</f>
        <v>2763</v>
      </c>
    </row>
    <row r="25" spans="2:5" ht="15">
      <c r="B25" s="27" t="s">
        <v>25</v>
      </c>
      <c r="C25" s="390"/>
      <c r="D25" s="390"/>
      <c r="E25" s="32"/>
    </row>
    <row r="26" spans="2:5" ht="15">
      <c r="B26" s="38" t="s">
        <v>125</v>
      </c>
      <c r="C26" s="29">
        <v>1078</v>
      </c>
      <c r="D26" s="29">
        <v>3000</v>
      </c>
      <c r="E26" s="34">
        <v>3000</v>
      </c>
    </row>
    <row r="27" spans="2:5" ht="15">
      <c r="B27" s="37" t="s">
        <v>102</v>
      </c>
      <c r="C27" s="29">
        <v>160</v>
      </c>
      <c r="D27" s="29">
        <v>1000</v>
      </c>
      <c r="E27" s="34">
        <v>1000</v>
      </c>
    </row>
    <row r="28" spans="2:5" ht="15">
      <c r="B28" s="38" t="s">
        <v>127</v>
      </c>
      <c r="C28" s="29">
        <v>10720</v>
      </c>
      <c r="D28" s="29">
        <v>4000</v>
      </c>
      <c r="E28" s="34">
        <v>4000</v>
      </c>
    </row>
    <row r="29" spans="2:5" ht="15">
      <c r="B29" s="38" t="s">
        <v>105</v>
      </c>
      <c r="C29" s="29">
        <v>3029</v>
      </c>
      <c r="D29" s="29">
        <v>6779</v>
      </c>
      <c r="E29" s="34">
        <v>6000</v>
      </c>
    </row>
    <row r="30" spans="2:5" ht="15">
      <c r="B30" s="38" t="s">
        <v>103</v>
      </c>
      <c r="C30" s="29"/>
      <c r="D30" s="29">
        <v>4000</v>
      </c>
      <c r="E30" s="34">
        <v>3000</v>
      </c>
    </row>
    <row r="31" spans="2:5" ht="15">
      <c r="B31" s="38" t="s">
        <v>935</v>
      </c>
      <c r="C31" s="29">
        <v>1872</v>
      </c>
      <c r="D31" s="29"/>
      <c r="E31" s="34">
        <v>1907</v>
      </c>
    </row>
    <row r="32" spans="2:5" ht="15">
      <c r="B32" s="38" t="s">
        <v>936</v>
      </c>
      <c r="C32" s="29">
        <v>59</v>
      </c>
      <c r="D32" s="29"/>
      <c r="E32" s="34">
        <v>100</v>
      </c>
    </row>
    <row r="33" spans="2:5" ht="15">
      <c r="B33" s="38" t="s">
        <v>932</v>
      </c>
      <c r="C33" s="29">
        <v>475</v>
      </c>
      <c r="D33" s="29"/>
      <c r="E33" s="34">
        <v>500</v>
      </c>
    </row>
    <row r="34" spans="2:10" ht="15">
      <c r="B34" s="37" t="s">
        <v>128</v>
      </c>
      <c r="C34" s="29"/>
      <c r="D34" s="29">
        <v>1140</v>
      </c>
      <c r="E34" s="34"/>
      <c r="G34" s="807" t="str">
        <f>CONCATENATE("Desired Carryover Into ",E1+1,"")</f>
        <v>Desired Carryover Into 2014</v>
      </c>
      <c r="H34" s="808"/>
      <c r="I34" s="808"/>
      <c r="J34" s="809"/>
    </row>
    <row r="35" spans="2:10" ht="15">
      <c r="B35" s="37" t="s">
        <v>937</v>
      </c>
      <c r="C35" s="29"/>
      <c r="D35" s="29">
        <v>1400</v>
      </c>
      <c r="E35" s="34">
        <v>1541</v>
      </c>
      <c r="G35" s="501"/>
      <c r="H35" s="488"/>
      <c r="I35" s="493"/>
      <c r="J35" s="502"/>
    </row>
    <row r="36" spans="2:10" ht="15">
      <c r="B36" s="38" t="s">
        <v>101</v>
      </c>
      <c r="C36" s="29"/>
      <c r="D36" s="29">
        <v>1000</v>
      </c>
      <c r="E36" s="34">
        <v>1000</v>
      </c>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v>2884</v>
      </c>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20277</v>
      </c>
      <c r="D43" s="392">
        <f>SUM(D26:D38,D40:D41)</f>
        <v>22319</v>
      </c>
      <c r="E43" s="42">
        <f>SUM(E26:E38,E40:E41)</f>
        <v>22048</v>
      </c>
      <c r="G43" s="490">
        <f>D44</f>
        <v>0</v>
      </c>
      <c r="H43" s="491" t="str">
        <f>CONCATENATE("",E1-1," Ending Cash Balance (est.)")</f>
        <v>2012 Ending Cash Balance (est.)</v>
      </c>
      <c r="I43" s="492"/>
      <c r="J43" s="489"/>
    </row>
    <row r="44" spans="2:10" ht="15">
      <c r="B44" s="27" t="s">
        <v>119</v>
      </c>
      <c r="C44" s="385">
        <f>C24-C43</f>
        <v>667</v>
      </c>
      <c r="D44" s="385">
        <f>D24-D43</f>
        <v>0</v>
      </c>
      <c r="E44" s="33" t="s">
        <v>290</v>
      </c>
      <c r="G44" s="490">
        <f>E23</f>
        <v>2763</v>
      </c>
      <c r="H44" s="493" t="str">
        <f>CONCATENATE("",E1," Non-AV Receipts (est.)")</f>
        <v>2013 Non-AV Receipts (est.)</v>
      </c>
      <c r="I44" s="492"/>
      <c r="J44" s="489"/>
    </row>
    <row r="45" spans="2:11" ht="15">
      <c r="B45" s="48" t="str">
        <f>CONCATENATE("",E1-2,"/",E1-1," Budget Authority Amount:")</f>
        <v>2011/2012 Budget Authority Amount:</v>
      </c>
      <c r="C45" s="132">
        <f>inputOth!B49</f>
        <v>20917</v>
      </c>
      <c r="D45" s="161">
        <f>inputPrYr!D19</f>
        <v>22319</v>
      </c>
      <c r="E45" s="33" t="s">
        <v>290</v>
      </c>
      <c r="F45" s="50"/>
      <c r="G45" s="494">
        <f>IF(D49&gt;0,E48,E50)</f>
        <v>19285</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22048</v>
      </c>
      <c r="H46" s="493" t="str">
        <f>CONCATENATE("Total ",E1," Resources Available")</f>
        <v>Total 2013 Resources Available</v>
      </c>
      <c r="I46" s="492"/>
      <c r="J46" s="489"/>
    </row>
    <row r="47" spans="2:10" ht="15">
      <c r="B47" s="399" t="str">
        <f>CONCATENATE(C74,"     ",D74)</f>
        <v>     </v>
      </c>
      <c r="C47" s="805" t="s">
        <v>624</v>
      </c>
      <c r="D47" s="806"/>
      <c r="E47" s="32">
        <f>E43+E46</f>
        <v>22048</v>
      </c>
      <c r="G47" s="495"/>
      <c r="H47" s="493"/>
      <c r="I47" s="493"/>
      <c r="J47" s="489"/>
    </row>
    <row r="48" spans="2:10" ht="15">
      <c r="B48" s="399" t="str">
        <f>CONCATENATE(C75,"     ",D75)</f>
        <v>     </v>
      </c>
      <c r="C48" s="60"/>
      <c r="D48" s="52" t="s">
        <v>28</v>
      </c>
      <c r="E48" s="46">
        <f>IF(E47-E24&gt;0,E47-E24,0)</f>
        <v>19285</v>
      </c>
      <c r="G48" s="494">
        <f>ROUND(C43*0.05+C43,0)</f>
        <v>21291</v>
      </c>
      <c r="H48" s="493" t="str">
        <f>CONCATENATE("Less ",E1-2," Expenditures + 5%")</f>
        <v>Less 2011 Expenditures + 5%</v>
      </c>
      <c r="I48" s="492"/>
      <c r="J48" s="489"/>
    </row>
    <row r="49" spans="2:10" ht="15">
      <c r="B49" s="52"/>
      <c r="C49" s="403" t="s">
        <v>625</v>
      </c>
      <c r="D49" s="699">
        <f>inputOth!$E$40</f>
        <v>0</v>
      </c>
      <c r="E49" s="32">
        <f>ROUND(IF(D49&gt;0,(E48*D49),0),0)</f>
        <v>0</v>
      </c>
      <c r="G49" s="496">
        <f>G46-G48</f>
        <v>757</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19285</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f>summ!I21</f>
        <v>12.262</v>
      </c>
      <c r="H53" s="491" t="str">
        <f>CONCATENATE("",E1," Fund Mill Rate")</f>
        <v>2013 Fund Mill Rate</v>
      </c>
      <c r="I53" s="701"/>
      <c r="J53" s="714"/>
    </row>
    <row r="54" spans="2:10" ht="15">
      <c r="B54" s="71" t="s">
        <v>31</v>
      </c>
      <c r="C54" s="404" t="str">
        <f>CONCATENATE("",E1-2," Actual Year")</f>
        <v>2011 Actual Year</v>
      </c>
      <c r="D54" s="14"/>
      <c r="E54" s="14"/>
      <c r="G54" s="716">
        <f>summ!F21</f>
        <v>12.862</v>
      </c>
      <c r="H54" s="491" t="str">
        <f>CONCATENATE("",E1-1," Fund Mill Rate")</f>
        <v>2012 Fund Mill Rate</v>
      </c>
      <c r="I54" s="701"/>
      <c r="J54" s="714"/>
    </row>
    <row r="55" spans="2:10" ht="15">
      <c r="B55" s="72" t="s">
        <v>14</v>
      </c>
      <c r="C55" s="538">
        <v>22786</v>
      </c>
      <c r="D55" s="14"/>
      <c r="E55" s="14"/>
      <c r="G55" s="717">
        <f>summ!I32</f>
        <v>15.61</v>
      </c>
      <c r="H55" s="491" t="str">
        <f>CONCATENATE("Total ",E1," Mill Rate")</f>
        <v>Total 2013 Mill Rate</v>
      </c>
      <c r="I55" s="701"/>
      <c r="J55" s="714"/>
    </row>
    <row r="56" spans="2:10" ht="15">
      <c r="B56" s="72" t="s">
        <v>33</v>
      </c>
      <c r="C56" s="132"/>
      <c r="D56" s="14"/>
      <c r="E56" s="14"/>
      <c r="G56" s="716">
        <f>summ!F32</f>
        <v>16.346</v>
      </c>
      <c r="H56" s="718" t="str">
        <f>CONCATENATE("Total ",E1-1," Mill Rate")</f>
        <v>Total 2012 Mill Rate</v>
      </c>
      <c r="I56" s="719"/>
      <c r="J56" s="720"/>
    </row>
    <row r="57" spans="2:5" ht="15">
      <c r="B57" s="72" t="s">
        <v>34</v>
      </c>
      <c r="C57" s="402">
        <f>C38</f>
        <v>2884</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c r="D61" s="14"/>
      <c r="E61" s="14"/>
    </row>
    <row r="62" spans="2:5" ht="15">
      <c r="B62" s="76" t="s">
        <v>21</v>
      </c>
      <c r="C62" s="538">
        <v>1135</v>
      </c>
      <c r="D62" s="14"/>
      <c r="E62" s="14"/>
    </row>
    <row r="63" spans="2:5" ht="15">
      <c r="B63" s="77" t="s">
        <v>24</v>
      </c>
      <c r="C63" s="132">
        <f>SUM(C55:C62)</f>
        <v>26805</v>
      </c>
      <c r="D63" s="14"/>
      <c r="E63" s="14"/>
    </row>
    <row r="64" spans="2:5" ht="15">
      <c r="B64" s="77" t="s">
        <v>26</v>
      </c>
      <c r="C64" s="538"/>
      <c r="D64" s="14"/>
      <c r="E64" s="14"/>
    </row>
    <row r="65" spans="2:5" ht="15">
      <c r="B65" s="77" t="s">
        <v>27</v>
      </c>
      <c r="C65" s="401">
        <f>SUM(C63-C64)</f>
        <v>26805</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15.61</v>
      </c>
      <c r="H45" s="642" t="str">
        <f>CONCATENATE("Total ",E1," Mill Rate")</f>
        <v>Total 2013 Mill Rate</v>
      </c>
      <c r="I45" s="666"/>
      <c r="J45" s="667"/>
      <c r="K45" s="592"/>
    </row>
    <row r="46" spans="2:11" ht="15">
      <c r="B46" s="27" t="s">
        <v>118</v>
      </c>
      <c r="C46" s="29"/>
      <c r="D46" s="390">
        <f>C74</f>
        <v>0</v>
      </c>
      <c r="E46" s="32">
        <f>D74</f>
        <v>0</v>
      </c>
      <c r="G46" s="669">
        <f>summ!F32</f>
        <v>16.346</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15.61</v>
      </c>
      <c r="H85" s="642" t="str">
        <f>CONCATENATE("Total ",E1," Mill Rate")</f>
        <v>Total 2013 Mill Rate</v>
      </c>
      <c r="I85" s="666"/>
      <c r="J85" s="667"/>
      <c r="K85" s="592"/>
    </row>
    <row r="86" spans="7:11" ht="15">
      <c r="G86" s="669">
        <f>summ!F32</f>
        <v>16.346</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15.61</v>
      </c>
      <c r="H45" s="642" t="str">
        <f>CONCATENATE("Total ",E1," Mill Rate")</f>
        <v>Total 2013 Mill Rate</v>
      </c>
      <c r="I45" s="666"/>
      <c r="J45" s="667"/>
      <c r="K45" s="592"/>
    </row>
    <row r="46" spans="2:11" ht="15">
      <c r="B46" s="27" t="s">
        <v>118</v>
      </c>
      <c r="C46" s="29"/>
      <c r="D46" s="390">
        <f>C74</f>
        <v>0</v>
      </c>
      <c r="E46" s="32">
        <f>D74</f>
        <v>0</v>
      </c>
      <c r="G46" s="669">
        <f>summ!F32</f>
        <v>16.346</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15.61</v>
      </c>
      <c r="H85" s="642" t="str">
        <f>CONCATENATE("Total ",E1," Mill Rate")</f>
        <v>Total 2013 Mill Rate</v>
      </c>
      <c r="I85" s="666"/>
      <c r="J85" s="667"/>
      <c r="K85" s="592"/>
    </row>
    <row r="86" spans="7:11" ht="15">
      <c r="G86" s="669">
        <f>summ!F32</f>
        <v>16.346</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15.61</v>
      </c>
      <c r="H45" s="642" t="str">
        <f>CONCATENATE("Total ",E1," Mill Rate")</f>
        <v>Total 2013 Mill Rate</v>
      </c>
      <c r="I45" s="666"/>
      <c r="J45" s="667"/>
      <c r="K45" s="592"/>
    </row>
    <row r="46" spans="2:11" ht="15">
      <c r="B46" s="27" t="s">
        <v>118</v>
      </c>
      <c r="C46" s="29"/>
      <c r="D46" s="390">
        <f>C74</f>
        <v>0</v>
      </c>
      <c r="E46" s="32">
        <f>D74</f>
        <v>0</v>
      </c>
      <c r="G46" s="669">
        <f>summ!F32</f>
        <v>16.346</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15.61</v>
      </c>
      <c r="H85" s="642" t="str">
        <f>CONCATENATE("Total ",E1," Mill Rate")</f>
        <v>Total 2013 Mill Rate</v>
      </c>
      <c r="I85" s="666"/>
      <c r="J85" s="667"/>
      <c r="K85" s="592"/>
    </row>
    <row r="86" spans="7:11" ht="15">
      <c r="G86" s="669">
        <f>summ!F32</f>
        <v>16.346</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Carneiro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Carneiro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2">
      <selection activeCell="E71" sqref="E7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5500</v>
      </c>
      <c r="E16" s="187">
        <v>5216</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v>22319</v>
      </c>
      <c r="E19" s="187">
        <v>19258</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24474</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27819</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3.572</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12.775</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16.347</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23278</v>
      </c>
    </row>
    <row r="55" spans="1:5" ht="15">
      <c r="A55" s="327" t="str">
        <f>CONCATENATE("Assessed Valuation (",D5-2," budget column)")</f>
        <v>Assessed Valuation (2011 budget column)</v>
      </c>
      <c r="B55" s="328"/>
      <c r="C55" s="267"/>
      <c r="D55" s="28"/>
      <c r="E55" s="187">
        <v>1424077</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Carneiro Township</v>
      </c>
      <c r="C5" s="768"/>
      <c r="D5" s="768"/>
      <c r="E5" s="768"/>
      <c r="F5" s="768"/>
      <c r="G5" s="768"/>
      <c r="H5" s="768"/>
      <c r="I5" s="768"/>
    </row>
    <row r="6" spans="2:9" ht="15">
      <c r="B6" s="768" t="str">
        <f>inputPrYr!D3</f>
        <v>Ellsworth County</v>
      </c>
      <c r="C6" s="768"/>
      <c r="D6" s="768"/>
      <c r="E6" s="768"/>
      <c r="F6" s="768"/>
      <c r="G6" s="768"/>
      <c r="H6" s="768"/>
      <c r="I6" s="768"/>
    </row>
    <row r="7" spans="2:9" ht="15">
      <c r="B7" s="842" t="str">
        <f>CONCATENATE("will meet on ",inputBudSum!B8," at ",inputBudSum!B10," at ",inputBudSum!B12," for the purpose of hearing and")</f>
        <v>will meet on August 24, 2012 at 7:30 p.m. at Webster Hall, Carneiro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5455</v>
      </c>
      <c r="D18" s="530">
        <f>IF(inputPrYr!D42&gt;0,inputPrYr!D42,"  ")</f>
        <v>3.572</v>
      </c>
      <c r="E18" s="32">
        <f>IF(gen!$D$50&lt;&gt;0,gen!$D$50,"  ")</f>
        <v>5500</v>
      </c>
      <c r="F18" s="235">
        <f>IF(inputOth!D17&gt;0,inputOth!D17,"  ")</f>
        <v>3.484</v>
      </c>
      <c r="G18" s="32">
        <f>IF(gen!$E$50&lt;&gt;0,gen!$E$50,"  ")</f>
        <v>5584</v>
      </c>
      <c r="H18" s="32">
        <f>IF(gen!$E$57&lt;&gt;0,gen!$E$57," ")</f>
        <v>5265</v>
      </c>
      <c r="I18" s="532">
        <f>IF(gen!E57&gt;0,ROUND(H18/$G$37*1000,3)," ")</f>
        <v>3.348</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f>IF(road!$C$43&lt;&gt;0,road!$C$43,"  ")</f>
        <v>20277</v>
      </c>
      <c r="D21" s="530">
        <f>IF(inputPrYr!D45&gt;0,inputPrYr!D45,"  ")</f>
        <v>12.775</v>
      </c>
      <c r="E21" s="32">
        <f>IF(road!$D$43&lt;&gt;0,road!$D$43,"  ")</f>
        <v>22319</v>
      </c>
      <c r="F21" s="235">
        <f>IF(inputOth!D20&gt;0,inputOth!D20,"  ")</f>
        <v>12.862</v>
      </c>
      <c r="G21" s="32">
        <f>IF(road!$E$43&lt;&gt;0,road!$E$43,"  ")</f>
        <v>22048</v>
      </c>
      <c r="H21" s="32">
        <f>IF(road!$E$50&lt;&gt;0,road!$E$50,"  ")</f>
        <v>19285</v>
      </c>
      <c r="I21" s="532">
        <f>IF(road!E50&gt;0,ROUND(H21/$G$37*1000,3)," ")</f>
        <v>12.262</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1573</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16.346</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1158</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25732</v>
      </c>
      <c r="D32" s="482">
        <f t="shared" si="0"/>
        <v>16.347</v>
      </c>
      <c r="E32" s="533">
        <f t="shared" si="0"/>
        <v>27819</v>
      </c>
      <c r="F32" s="482">
        <f t="shared" si="0"/>
        <v>16.346</v>
      </c>
      <c r="G32" s="533">
        <f t="shared" si="0"/>
        <v>27632</v>
      </c>
      <c r="H32" s="533">
        <f t="shared" si="0"/>
        <v>24550</v>
      </c>
      <c r="I32" s="536">
        <f t="shared" si="0"/>
        <v>15.61</v>
      </c>
      <c r="K32" s="833" t="str">
        <f>CONCATENATE("Impact On Keeping The Same Mill Rate As For ",I1-1,"")</f>
        <v>Impact On Keeping The Same Mill Rate As For 2012</v>
      </c>
      <c r="L32" s="834"/>
      <c r="M32" s="834"/>
      <c r="N32" s="835"/>
    </row>
    <row r="33" spans="2:14" ht="15">
      <c r="B33" s="274" t="s">
        <v>44</v>
      </c>
      <c r="C33" s="32">
        <f>transfer!C29</f>
        <v>2884</v>
      </c>
      <c r="D33" s="14"/>
      <c r="E33" s="32">
        <f>transfer!D29</f>
        <v>0</v>
      </c>
      <c r="F33" s="61"/>
      <c r="G33" s="32">
        <f>transfer!E29</f>
        <v>0</v>
      </c>
      <c r="H33" s="14"/>
      <c r="I33" s="14"/>
      <c r="K33" s="513"/>
      <c r="L33" s="507"/>
      <c r="M33" s="507"/>
      <c r="N33" s="514"/>
    </row>
    <row r="34" spans="2:14" ht="15.75" thickBot="1">
      <c r="B34" s="274" t="s">
        <v>45</v>
      </c>
      <c r="C34" s="534">
        <f>C32-C33</f>
        <v>22848</v>
      </c>
      <c r="D34" s="14"/>
      <c r="E34" s="534">
        <f>E32-E33</f>
        <v>27819</v>
      </c>
      <c r="F34" s="14"/>
      <c r="G34" s="534">
        <f>G32-G33</f>
        <v>27632</v>
      </c>
      <c r="H34" s="14"/>
      <c r="I34" s="14"/>
      <c r="K34" s="513" t="str">
        <f>CONCATENATE("",I1," Ad Valorem Tax Revenue:")</f>
        <v>2013 Ad Valorem Tax Revenue:</v>
      </c>
      <c r="L34" s="507"/>
      <c r="M34" s="507"/>
      <c r="N34" s="508">
        <f>H32</f>
        <v>24550</v>
      </c>
    </row>
    <row r="35" spans="2:14" ht="15.75" thickTop="1">
      <c r="B35" s="274" t="s">
        <v>46</v>
      </c>
      <c r="C35" s="535">
        <f>inputPrYr!E54</f>
        <v>23278</v>
      </c>
      <c r="D35" s="61"/>
      <c r="E35" s="535">
        <f>inputPrYr!E26</f>
        <v>24474</v>
      </c>
      <c r="F35" s="14"/>
      <c r="G35" s="526" t="s">
        <v>290</v>
      </c>
      <c r="H35" s="14"/>
      <c r="I35" s="14"/>
      <c r="K35" s="513" t="str">
        <f>CONCATENATE("",I1-1," Ad Valorem Tax Revenue:")</f>
        <v>2012 Ad Valorem Tax Revenue:</v>
      </c>
      <c r="L35" s="507"/>
      <c r="M35" s="507"/>
      <c r="N35" s="521">
        <f>ROUND(G37*N27/1000,0)</f>
        <v>25708</v>
      </c>
    </row>
    <row r="36" spans="2:14" ht="15">
      <c r="B36" s="274" t="s">
        <v>47</v>
      </c>
      <c r="C36" s="55"/>
      <c r="D36" s="61"/>
      <c r="E36" s="55"/>
      <c r="F36" s="61"/>
      <c r="G36" s="14"/>
      <c r="H36" s="14"/>
      <c r="I36" s="14"/>
      <c r="K36" s="518" t="s">
        <v>718</v>
      </c>
      <c r="L36" s="519"/>
      <c r="M36" s="519"/>
      <c r="N36" s="511">
        <f>N34-N35</f>
        <v>-1158</v>
      </c>
    </row>
    <row r="37" spans="2:14" ht="15">
      <c r="B37" s="274" t="s">
        <v>48</v>
      </c>
      <c r="C37" s="32">
        <f>inputPrYr!E55</f>
        <v>1424077</v>
      </c>
      <c r="D37" s="14"/>
      <c r="E37" s="32">
        <f>inputOth!E29</f>
        <v>1497317</v>
      </c>
      <c r="F37" s="14"/>
      <c r="G37" s="32">
        <f>inputOth!E7</f>
        <v>1572713</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15.61</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Lynn Ross Parker</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Carneiro Township</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1572713</v>
      </c>
      <c r="E19" s="14"/>
      <c r="F19" s="129"/>
    </row>
    <row r="20" spans="1:6" ht="15">
      <c r="A20" s="14"/>
      <c r="B20" s="14"/>
      <c r="C20" s="14"/>
      <c r="D20" s="14"/>
      <c r="E20" s="14"/>
      <c r="F20" s="129"/>
    </row>
    <row r="21" spans="1:6" ht="15">
      <c r="A21" s="14"/>
      <c r="B21" s="845" t="s">
        <v>366</v>
      </c>
      <c r="C21" s="845"/>
      <c r="D21" s="137">
        <f>IF(D19&gt;0,(D19*0.001),"")</f>
        <v>1572.713</v>
      </c>
      <c r="E21" s="14"/>
      <c r="F21" s="129"/>
    </row>
    <row r="22" spans="1:6" ht="15">
      <c r="A22" s="14"/>
      <c r="B22" s="48"/>
      <c r="C22" s="48"/>
      <c r="D22" s="138"/>
      <c r="E22" s="14"/>
      <c r="F22" s="129"/>
    </row>
    <row r="23" spans="1:6" ht="15">
      <c r="A23" s="843" t="s">
        <v>368</v>
      </c>
      <c r="B23" s="770"/>
      <c r="C23" s="770"/>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Carneiro Township </v>
      </c>
      <c r="I6">
        <f>CONCATENATE(I7)</f>
      </c>
    </row>
    <row r="7" spans="1:7" ht="15">
      <c r="A7" s="851" t="str">
        <f>CONCATENATE("   with respect to financing the ",inputPrYr!D5," annual budget for ",(inputPrYr!D2)," , ",(inputPrYr!D3)," , Kansas.")</f>
        <v>   with respect to financing the 2013 annual budget for Carneiro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Carneiro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Carneiro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Carneiro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Carneiro Township of Ellsworth County, Kansas that is our desire to notify the public of increased property taxes to finance the 2013 Carneiro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Carneiro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Carneiro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42" sqref="E4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Carneiro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1572713</v>
      </c>
    </row>
    <row r="8" spans="1:5" ht="15">
      <c r="A8" s="22" t="str">
        <f>CONCATENATE("New Improvements for ",E1-1,"")</f>
        <v>New Improvements for 2012</v>
      </c>
      <c r="B8" s="19"/>
      <c r="C8" s="19"/>
      <c r="D8" s="19"/>
      <c r="E8" s="283">
        <v>2508</v>
      </c>
    </row>
    <row r="9" spans="1:5" ht="15">
      <c r="A9" s="22" t="str">
        <f>CONCATENATE("Personal Property excluding oil, gas, and mobile homes - ",E1-1,"")</f>
        <v>Personal Property excluding oil, gas, and mobile homes - 2012</v>
      </c>
      <c r="B9" s="19"/>
      <c r="C9" s="19"/>
      <c r="D9" s="19"/>
      <c r="E9" s="283">
        <v>6629</v>
      </c>
    </row>
    <row r="10" spans="1:5" ht="15">
      <c r="A10" s="22" t="str">
        <f>CONCATENATE("Property that has changed in use for ",E1-1,"")</f>
        <v>Property that has changed in use for 2012</v>
      </c>
      <c r="B10" s="19"/>
      <c r="C10" s="19"/>
      <c r="D10" s="19"/>
      <c r="E10" s="283">
        <v>2361</v>
      </c>
    </row>
    <row r="11" spans="1:5" ht="15">
      <c r="A11" s="22" t="str">
        <f>CONCATENATE("Personal Property excluding oil, gas, and mobile homes- ",E1-2,"")</f>
        <v>Personal Property excluding oil, gas, and mobile homes- 2011</v>
      </c>
      <c r="B11" s="19"/>
      <c r="C11" s="19"/>
      <c r="D11" s="19"/>
      <c r="E11" s="283">
        <v>7073</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3.484</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12.862</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16.346</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1497317</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1072</v>
      </c>
    </row>
    <row r="33" spans="1:5" ht="15">
      <c r="A33" s="296" t="s">
        <v>277</v>
      </c>
      <c r="B33" s="267"/>
      <c r="C33" s="267"/>
      <c r="D33" s="31"/>
      <c r="E33" s="34">
        <v>4</v>
      </c>
    </row>
    <row r="34" spans="1:5" ht="15">
      <c r="A34" s="296" t="s">
        <v>160</v>
      </c>
      <c r="B34" s="267"/>
      <c r="C34" s="267"/>
      <c r="D34" s="31"/>
      <c r="E34" s="34">
        <v>113</v>
      </c>
    </row>
    <row r="35" spans="1:5" ht="15">
      <c r="A35" s="296" t="s">
        <v>161</v>
      </c>
      <c r="B35" s="267"/>
      <c r="C35" s="267"/>
      <c r="D35" s="31"/>
      <c r="E35" s="34"/>
    </row>
    <row r="36" spans="1:5" ht="15">
      <c r="A36" s="296" t="s">
        <v>100</v>
      </c>
      <c r="B36" s="20"/>
      <c r="C36" s="20"/>
      <c r="D36" s="295"/>
      <c r="E36" s="34">
        <v>1364</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5500</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20917</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8" sqref="C18"/>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938</v>
      </c>
      <c r="C4" s="721"/>
      <c r="J4" s="722" t="s">
        <v>845</v>
      </c>
    </row>
    <row r="5" spans="1:10" ht="15">
      <c r="A5" s="478"/>
      <c r="B5" s="721"/>
      <c r="J5" s="722" t="s">
        <v>846</v>
      </c>
    </row>
    <row r="6" spans="1:10" ht="15">
      <c r="A6" s="478" t="s">
        <v>841</v>
      </c>
      <c r="B6" s="359" t="s">
        <v>939</v>
      </c>
      <c r="J6" s="722" t="s">
        <v>847</v>
      </c>
    </row>
    <row r="7" spans="1:10" ht="15">
      <c r="A7" s="356"/>
      <c r="B7" s="356"/>
      <c r="C7" s="356"/>
      <c r="D7" s="358"/>
      <c r="E7" s="356"/>
      <c r="F7" s="356"/>
      <c r="J7" s="722" t="s">
        <v>848</v>
      </c>
    </row>
    <row r="8" spans="1:10" ht="15">
      <c r="A8" s="357" t="s">
        <v>373</v>
      </c>
      <c r="B8" s="359" t="s">
        <v>940</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August 14, 2012</v>
      </c>
      <c r="E9" s="356"/>
      <c r="F9" s="356"/>
      <c r="J9" s="722" t="s">
        <v>850</v>
      </c>
    </row>
    <row r="10" spans="1:10" ht="15">
      <c r="A10" s="357" t="s">
        <v>374</v>
      </c>
      <c r="B10" s="359" t="s">
        <v>941</v>
      </c>
      <c r="C10" s="363"/>
      <c r="D10" s="357"/>
      <c r="E10" s="356"/>
      <c r="F10" s="356"/>
      <c r="J10" s="722" t="s">
        <v>851</v>
      </c>
    </row>
    <row r="11" spans="1:10" ht="15">
      <c r="A11" s="357"/>
      <c r="B11" s="357"/>
      <c r="C11" s="357"/>
      <c r="D11" s="357"/>
      <c r="E11" s="356"/>
      <c r="F11" s="356"/>
      <c r="J11" s="722" t="s">
        <v>852</v>
      </c>
    </row>
    <row r="12" spans="1:10" ht="15">
      <c r="A12" s="357" t="s">
        <v>375</v>
      </c>
      <c r="B12" s="364" t="s">
        <v>942</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943</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August</v>
      </c>
    </row>
    <row r="20" spans="1:7" ht="15">
      <c r="A20" s="357" t="s">
        <v>373</v>
      </c>
      <c r="B20" s="361" t="s">
        <v>378</v>
      </c>
      <c r="C20" s="357"/>
      <c r="D20" s="357"/>
      <c r="E20" s="357"/>
      <c r="G20" s="723" t="str">
        <f>IF(B8="","",CONCATENATE("J",G22))</f>
        <v>J8</v>
      </c>
    </row>
    <row r="21" spans="1:7" ht="15">
      <c r="A21" s="357"/>
      <c r="B21" s="357"/>
      <c r="C21" s="357"/>
      <c r="D21" s="357"/>
      <c r="E21" s="357"/>
      <c r="G21" s="724">
        <f>B8-10</f>
        <v>41135</v>
      </c>
    </row>
    <row r="22" spans="1:7" ht="15">
      <c r="A22" s="357" t="s">
        <v>374</v>
      </c>
      <c r="B22" s="357" t="s">
        <v>379</v>
      </c>
      <c r="C22" s="357"/>
      <c r="D22" s="357"/>
      <c r="E22" s="357"/>
      <c r="G22" s="725">
        <f>IF(B8="","",MONTH(G21))</f>
        <v>8</v>
      </c>
    </row>
    <row r="23" spans="1:7" ht="15">
      <c r="A23" s="357"/>
      <c r="B23" s="357"/>
      <c r="C23" s="357"/>
      <c r="D23" s="357"/>
      <c r="E23" s="357"/>
      <c r="G23" s="726">
        <f>IF(B8="","",DAY(G21))</f>
        <v>14</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B5" sqref="B5:G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152</v>
      </c>
      <c r="C4" s="767"/>
      <c r="D4" s="767"/>
      <c r="E4" s="767"/>
      <c r="F4" s="767"/>
      <c r="G4" s="767"/>
    </row>
    <row r="5" spans="2:7" s="14" customFormat="1" ht="15">
      <c r="B5" s="768" t="str">
        <f>inputPrYr!D2</f>
        <v>Carneiro Township</v>
      </c>
      <c r="C5" s="767"/>
      <c r="D5" s="767"/>
      <c r="E5" s="767"/>
      <c r="F5" s="767"/>
      <c r="G5" s="767"/>
    </row>
    <row r="6" spans="2:7" s="14" customFormat="1" ht="1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278</v>
      </c>
      <c r="F12" s="772" t="str">
        <f>CONCATENATE("Amount of ",H1-1," Ad Valorem Tax")</f>
        <v>Amount of 2012 Ad Valorem Tax</v>
      </c>
      <c r="G12" s="23" t="s">
        <v>279</v>
      </c>
    </row>
    <row r="13" spans="4:7" s="14" customFormat="1" ht="15">
      <c r="D13" s="23" t="s">
        <v>280</v>
      </c>
      <c r="E13" s="528" t="s">
        <v>209</v>
      </c>
      <c r="F13" s="773"/>
      <c r="G13" s="156" t="s">
        <v>281</v>
      </c>
    </row>
    <row r="14" spans="2:7" s="14" customFormat="1" ht="15">
      <c r="B14" s="71" t="s">
        <v>282</v>
      </c>
      <c r="C14" s="20"/>
      <c r="D14" s="26" t="s">
        <v>283</v>
      </c>
      <c r="E14" s="529" t="s">
        <v>720</v>
      </c>
      <c r="F14" s="774"/>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5584</v>
      </c>
      <c r="F21" s="733">
        <f>IF(gen!$E$57&lt;&gt;0,gen!$E$57,0)</f>
        <v>5265</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f>IF(road!$E$43&lt;&gt;0,road!$E$43,"  ")</f>
        <v>22048</v>
      </c>
      <c r="F24" s="733">
        <f>IF(road!$E$50&lt;&gt;0,road!$E$50,"  ")</f>
        <v>19285</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27632</v>
      </c>
      <c r="F35" s="735">
        <f>SUM(F21:F30)</f>
        <v>24550</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81" t="s">
        <v>124</v>
      </c>
      <c r="D39" s="782"/>
      <c r="E39" s="272"/>
      <c r="G39" s="22" t="s">
        <v>291</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9" t="s">
        <v>293</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Carneiro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24474</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24474</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2508</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6629</v>
      </c>
      <c r="F14" s="246"/>
      <c r="G14" s="55"/>
      <c r="H14" s="55"/>
      <c r="I14" s="53"/>
      <c r="J14" s="55"/>
    </row>
    <row r="15" spans="1:10" ht="15">
      <c r="A15" s="245"/>
      <c r="B15" s="14" t="s">
        <v>87</v>
      </c>
      <c r="C15" s="14" t="str">
        <f>CONCATENATE("Personal Property ",J1-2,"")</f>
        <v>Personal Property 2011</v>
      </c>
      <c r="D15" s="245" t="s">
        <v>82</v>
      </c>
      <c r="E15" s="249">
        <f>inputOth!E11</f>
        <v>7073</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2361</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4869</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1572713</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1567844</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0.0031055385612344085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76</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24550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24550</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5">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Carneiro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5216</v>
      </c>
      <c r="E11" s="131">
        <f>IF(inputOth!D17&gt;0,inputOth!D17,"  ")</f>
        <v>3.484</v>
      </c>
      <c r="F11" s="728"/>
      <c r="G11" s="161">
        <f>IF(inputPrYr!E16=0,0,G23-SUM(G12:G20))</f>
        <v>228</v>
      </c>
      <c r="H11" s="729"/>
      <c r="I11" s="161">
        <f>IF(inputPrYr!E16=0,0,I25-SUM(I12:I20))</f>
        <v>1</v>
      </c>
      <c r="J11" s="161">
        <f>IF(inputPrYr!E16=0,0,J27-SUM(J12:J20))</f>
        <v>24</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19258</v>
      </c>
      <c r="E14" s="131">
        <f>IF(inputOth!D20&gt;0,inputOth!D20,"  ")</f>
        <v>12.862</v>
      </c>
      <c r="F14" s="728"/>
      <c r="G14" s="161">
        <f>IF(inputPrYr!E19=0,0,ROUND(D14*$G$30,0))</f>
        <v>844</v>
      </c>
      <c r="H14" s="729"/>
      <c r="I14" s="161">
        <f>IF(inputPrYr!$E$19=0,0,ROUND($D$14*$I$32,0))</f>
        <v>3</v>
      </c>
      <c r="J14" s="161">
        <f>IF(inputPrYr!E19=0,0,ROUND($D14*$J$34,0))</f>
        <v>89</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24474</v>
      </c>
      <c r="E21" s="731">
        <f>SUM(E11:E20)</f>
        <v>16.346</v>
      </c>
      <c r="F21" s="732"/>
      <c r="G21" s="730">
        <f>SUM(G11:G20)</f>
        <v>1072</v>
      </c>
      <c r="H21" s="730"/>
      <c r="I21" s="730">
        <f>SUM(I11:I20)</f>
        <v>4</v>
      </c>
      <c r="J21" s="730">
        <f>SUM(J11:J20)</f>
        <v>113</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1072</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113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0.04380158535588788</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0.00016343875132793985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0.004617144725014301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Carneiro Township</v>
      </c>
      <c r="B2" s="88"/>
      <c r="C2" s="14"/>
      <c r="D2" s="14"/>
      <c r="E2" s="52"/>
      <c r="F2" s="14"/>
    </row>
    <row r="3" spans="1:6" ht="15">
      <c r="A3" s="13"/>
      <c r="B3" s="88"/>
      <c r="C3" s="14"/>
      <c r="D3" s="14"/>
      <c r="E3" s="52"/>
      <c r="F3" s="14"/>
    </row>
    <row r="4" spans="1:6" ht="1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2884</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2884</v>
      </c>
      <c r="D27" s="228">
        <f>SUM(D10:D26)</f>
        <v>0</v>
      </c>
      <c r="E27" s="228">
        <f>SUM(E10:E26)</f>
        <v>0</v>
      </c>
      <c r="F27" s="129"/>
    </row>
    <row r="28" spans="1:6" ht="15">
      <c r="A28" s="129"/>
      <c r="B28" s="227" t="s">
        <v>610</v>
      </c>
      <c r="C28" s="129"/>
      <c r="D28" s="224"/>
      <c r="E28" s="224"/>
      <c r="F28" s="129"/>
    </row>
    <row r="29" spans="1:6" ht="15">
      <c r="A29" s="129"/>
      <c r="B29" s="179" t="s">
        <v>177</v>
      </c>
      <c r="C29" s="229">
        <f>C27</f>
        <v>2884</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2012-07-13T22:36:21Z</cp:lastPrinted>
  <dcterms:created xsi:type="dcterms:W3CDTF">1998-08-26T16:30:41Z</dcterms:created>
  <dcterms:modified xsi:type="dcterms:W3CDTF">2012-07-13T22:47:17Z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