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ubNotice"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<sst xmlns="http://schemas.openxmlformats.org/spreadsheetml/2006/main" count="1564" uniqueCount="947">
  <si>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</si>
  <si>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</si>
  <si>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</si>
  <si>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</si>
  <si>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</si>
  <si>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</si>
  <si>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</si>
  <si>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</si>
  <si>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</si>
  <si>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</si>
  <si>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</si>
  <si>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</si>
  <si>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</si>
  <si>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</si>
  <si>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</si>
  <si>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</si>
  <si>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</si>
  <si>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</si>
  <si>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</si>
  <si>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</si>
  <si>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</si>
  <si>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</si>
  <si>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</si>
  <si>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</si>
  <si>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</si>
  <si>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</si>
  <si>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</si>
  <si>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</si>
  <si>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</si>
  <si>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</si>
  <si>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</si>
  <si>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</si>
  <si>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</si>
  <si>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</si>
  <si>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</si>
  <si>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</si>
  <si>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</si>
  <si>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</si>
  <si>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</si>
  <si>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</si>
  <si>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</si>
  <si>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</si>
  <si>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</si>
  <si>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</si>
  <si>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</si>
  <si>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</si>
  <si>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</si>
  <si>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</si>
  <si>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</si>
  <si>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</si>
  <si>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</si>
  <si>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</si>
  <si>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</si>
  <si>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</si>
  <si>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</si>
  <si>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</si>
  <si>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</si>
  <si>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</si>
  <si>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</si>
  <si>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</si>
  <si>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</si>
  <si>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</si>
  <si>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</si>
  <si>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</si>
  <si>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</si>
  <si>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</si>
  <si>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</si>
  <si>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</si>
  <si>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</si>
  <si>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</si>
  <si>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</si>
  <si>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</si>
  <si>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</si>
  <si>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</si>
  <si>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</si>
  <si>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</si>
  <si>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</si>
  <si>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</si>
  <si>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</si>
  <si>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</si>
  <si>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</si>
  <si>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</si>
  <si>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</si>
  <si>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</si>
  <si>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</si>
  <si>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</si>
  <si>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</si>
  <si>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</si>
  <si>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</si>
  <si>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</si>
  <si>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</si>
  <si>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</si>
  <si>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</si>
  <si>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</si>
  <si>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</si>
  <si>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</si>
  <si>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</si>
  <si>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</si>
  <si>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</si>
  <si>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</si>
  <si>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</si>
  <si>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</si>
  <si>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</si>
  <si>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</si>
  <si>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</si>
  <si>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</si>
  <si>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</si>
  <si>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</si>
  <si>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</si>
  <si>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</si>
  <si>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</si>
  <si>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</si>
  <si>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</si>
  <si>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</si>
  <si>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</si>
  <si>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</si>
  <si>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</si>
  <si>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</si>
  <si>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</si>
  <si>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</si>
  <si>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</si>
  <si>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</si>
  <si>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</si>
  <si>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</si>
  <si>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</si>
  <si>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</si>
  <si>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</si>
  <si>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</si>
  <si>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</si>
  <si>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</si>
  <si>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</si>
  <si>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</si>
  <si>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</si>
  <si>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</si>
  <si>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</si>
  <si>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</si>
  <si>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</si>
  <si>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</si>
  <si>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</si>
  <si>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</si>
  <si>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</si>
  <si>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</si>
  <si>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</si>
  <si>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</si>
  <si>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</si>
  <si>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</si>
  <si>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</si>
  <si>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</si>
  <si>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</si>
  <si>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</si>
  <si>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</si>
  <si>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</si>
  <si>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</si>
  <si>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</si>
  <si>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</si>
  <si>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</si>
  <si>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</si>
  <si>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</si>
  <si>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</si>
  <si>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</si>
  <si>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</si>
  <si>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</si>
  <si>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</si>
  <si>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</si>
  <si>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</si>
  <si>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</si>
  <si>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</si>
  <si>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</si>
  <si>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</si>
  <si>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</si>
  <si>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</si>
  <si>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</si>
  <si>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</si>
  <si>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</si>
  <si>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</si>
  <si>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</si>
  <si>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</si>
  <si>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</si>
  <si>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</si>
  <si>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</si>
  <si>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</si>
  <si>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</si>
  <si>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</si>
  <si>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</si>
  <si>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</si>
  <si>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</si>
  <si>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</si>
  <si>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</si>
  <si>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</si>
  <si>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</si>
  <si>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</si>
  <si>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</si>
  <si>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</si>
  <si>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</si>
  <si>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</si>
  <si>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</si>
  <si>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</si>
  <si>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</si>
  <si>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</si>
  <si>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</si>
  <si>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</si>
  <si>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</si>
  <si>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</si>
  <si>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</si>
  <si>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</si>
  <si>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</si>
  <si>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</si>
  <si>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</si>
  <si>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</si>
  <si>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</si>
  <si>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</si>
  <si>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</si>
  <si>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</si>
  <si>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</si>
  <si>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</si>
  <si>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</si>
  <si>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</si>
  <si>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</si>
  <si>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</si>
  <si>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</si>
  <si>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</si>
  <si>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</si>
  <si>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</si>
  <si>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</si>
  <si>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</si>
  <si>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</si>
  <si>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</si>
  <si>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</si>
  <si>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</si>
  <si>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</si>
  <si>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</si>
  <si>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</si>
  <si>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</si>
  <si>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</si>
  <si>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</si>
  <si>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</si>
  <si>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</si>
  <si>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</si>
  <si>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</si>
  <si>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</si>
  <si>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</si>
  <si>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</si>
  <si>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</si>
  <si>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</si>
  <si>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</si>
  <si>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</si>
  <si>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</si>
  <si>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</si>
  <si>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</si>
  <si>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</si>
  <si>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</si>
  <si>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</si>
  <si>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</si>
  <si>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</si>
  <si>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</si>
  <si>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</si>
  <si>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</si>
  <si>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</si>
  <si>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</si>
  <si>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</si>
  <si>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</si>
  <si>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</si>
  <si>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</si>
  <si>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</si>
  <si>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</si>
  <si>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</si>
  <si>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</si>
  <si>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</si>
  <si>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</si>
  <si>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</si>
  <si>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</si>
  <si>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</si>
  <si>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</si>
  <si>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</si>
  <si>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</si>
  <si>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</si>
  <si>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</si>
  <si>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</si>
  <si>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</si>
  <si>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</si>
  <si>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</si>
  <si>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</si>
  <si>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</si>
  <si>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</si>
  <si>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</si>
  <si>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</si>
  <si>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</si>
  <si>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</si>
  <si>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</si>
  <si>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</si>
  <si>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</si>
  <si>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</si>
  <si>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</si>
  <si>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</si>
  <si>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</si>
  <si>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</si>
  <si>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</si>
  <si>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</si>
  <si>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</si>
  <si>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</si>
  <si>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</si>
  <si>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</si>
  <si>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</si>
  <si>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</si>
  <si>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</si>
  <si>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</si>
  <si>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</si>
  <si>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</si>
  <si>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</si>
  <si>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</si>
  <si>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</si>
  <si>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</si>
  <si>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</si>
  <si>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</si>
  <si>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</si>
  <si>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</si>
  <si>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</si>
  <si>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</si>
  <si>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</si>
  <si>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</si>
  <si>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</si>
  <si>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</si>
  <si>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</si>
  <si>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</si>
  <si>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</si>
  <si>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</si>
  <si>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</si>
  <si>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</si>
  <si>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</si>
  <si>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</si>
  <si>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</si>
  <si>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</si>
  <si>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</si>
  <si>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</si>
  <si>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</si>
  <si>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</si>
  <si>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</si>
  <si>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</si>
  <si>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</si>
  <si>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</si>
  <si>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</si>
  <si>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</si>
  <si>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</si>
  <si>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</si>
  <si>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</si>
  <si>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</si>
  <si>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</si>
  <si>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</si>
  <si>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</si>
  <si>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</si>
  <si>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</si>
  <si>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</si>
  <si>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</si>
  <si>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</si>
  <si>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</si>
  <si>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</si>
  <si>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</si>
  <si>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</si>
  <si>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</si>
  <si>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</si>
  <si>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</si>
  <si>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</si>
  <si>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</si>
  <si>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</si>
  <si>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</si>
  <si>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</si>
  <si>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</si>
  <si>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</si>
  <si>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</si>
  <si>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</si>
  <si>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</si>
  <si>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</si>
  <si>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</si>
  <si>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</si>
  <si>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</si>
  <si>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</si>
  <si>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</si>
  <si>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</si>
  <si>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</si>
  <si>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</si>
  <si>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</si>
  <si>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</si>
  <si>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</si>
  <si>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</si>
  <si>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</si>
  <si>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</si>
  <si>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</si>
  <si>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</si>
  <si>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</si>
  <si>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</si>
  <si>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</si>
  <si>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</si>
  <si>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</si>
  <si>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</si>
  <si>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</si>
  <si>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</si>
  <si>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</si>
  <si>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</si>
  <si>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</si>
  <si>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</si>
  <si>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</si>
  <si>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</si>
  <si>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</si>
  <si>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</si>
  <si>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</si>
  <si>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</si>
  <si>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</si>
  <si>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</si>
  <si>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</si>
  <si>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</si>
  <si>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</si>
  <si>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</si>
  <si>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</si>
  <si>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</si>
  <si>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</si>
  <si>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</si>
  <si>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</si>
  <si>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</si>
  <si>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</si>
  <si>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</si>
  <si>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</si>
  <si>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</si>
  <si>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</si>
  <si>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</si>
  <si>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</si>
  <si>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</si>
  <si>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</si>
  <si>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</si>
  <si>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</si>
  <si>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</si>
  <si>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</si>
  <si>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</si>
  <si>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</si>
  <si>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</si>
  <si>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</si>
  <si>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</si>
  <si>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</si>
  <si>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</si>
  <si>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</si>
  <si>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</si>
  <si>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</si>
  <si>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</si>
  <si>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</si>
  <si>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</si>
  <si>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</si>
  <si>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</si>
  <si>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</si>
  <si>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</si>
  <si>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</si>
  <si>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</si>
  <si>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</si>
  <si>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</si>
  <si>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</si>
  <si>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</si>
  <si>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</si>
  <si>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</si>
  <si>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</si>
  <si>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</si>
  <si>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</si>
  <si>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</si>
  <si>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</si>
  <si>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</si>
  <si>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</si>
  <si>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</si>
  <si>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</si>
  <si>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</si>
  <si>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</si>
  <si>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</si>
  <si>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</si>
  <si>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</si>
  <si>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</si>
  <si>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</si>
  <si>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</si>
  <si>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</si>
  <si>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</si>
  <si>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</si>
  <si>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</si>
  <si>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</si>
  <si>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</si>
  <si>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</si>
  <si>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</si>
  <si>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</si>
  <si>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</si>
  <si>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</si>
  <si>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</si>
  <si>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</si>
  <si>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</si>
  <si>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</si>
  <si>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</si>
  <si>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</si>
  <si>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</si>
  <si>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</si>
  <si>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</si>
  <si>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</si>
  <si>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</si>
  <si>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</si>
  <si>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</si>
  <si>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</si>
  <si>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</si>
  <si>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</si>
  <si>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</si>
  <si>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</si>
  <si>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</si>
  <si>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</si>
  <si>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</si>
  <si>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</si>
  <si>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</si>
  <si>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</si>
  <si>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</si>
  <si>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</si>
  <si>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</si>
  <si>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</si>
  <si>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</si>
  <si>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</si>
  <si>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</si>
  <si>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</si>
  <si>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</si>
  <si>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</si>
  <si>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</si>
  <si>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</si>
  <si>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</si>
  <si>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</si>
  <si>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</si>
  <si>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</si>
  <si>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</si>
  <si>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</si>
  <si>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</si>
  <si>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</si>
  <si>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</si>
  <si>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</si>
  <si>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</si>
  <si>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</si>
  <si>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</si>
  <si>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</si>
  <si>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</si>
  <si>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</si>
  <si>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</si>
  <si>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</si>
  <si>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</si>
  <si>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</si>
  <si>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</si>
  <si>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</si>
  <si>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</si>
  <si>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</si>
  <si>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</si>
  <si>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</si>
  <si>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</si>
  <si>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</si>
  <si>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</si>
  <si>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</si>
  <si>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</si>
  <si>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</si>
  <si>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</si>
  <si>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</si>
  <si>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</si>
  <si>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</si>
  <si>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</si>
  <si>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</si>
  <si>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</si>
  <si>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</si>
  <si>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</si>
  <si>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</si>
  <si>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</si>
  <si>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</si>
  <si>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</si>
  <si>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</si>
  <si>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</si>
  <si>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</si>
  <si>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</si>
  <si>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</si>
  <si>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</si>
  <si>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</si>
  <si>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</si>
  <si>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</si>
  <si>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</si>
  <si>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</si>
  <si>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</si>
  <si>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</si>
  <si>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</si>
  <si>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</si>
  <si>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</si>
  <si>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</si>
  <si>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</si>
  <si>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</si>
  <si>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</si>
  <si>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</si>
  <si>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</si>
  <si>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</si>
  <si>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</si>
  <si>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</si>
  <si>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</si>
  <si>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</si>
  <si>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</si>
  <si>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</si>
  <si>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</si>
  <si>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</si>
  <si>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</si>
  <si>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</si>
  <si>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</si>
  <si>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</si>
  <si>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</si>
  <si>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</si>
  <si>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</si>
  <si>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</si>
  <si>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</si>
  <si>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</si>
  <si>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</si>
  <si>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</si>
  <si>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</si>
  <si>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</si>
  <si>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</si>
  <si>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</si>
  <si>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</si>
  <si>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</si>
  <si>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</si>
  <si>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</si>
  <si>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</si>
  <si>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</si>
  <si>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</si>
  <si>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</si>
  <si>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</si>
  <si>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</si>
  <si>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</si>
  <si>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</si>
  <si>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</si>
  <si>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</si>
  <si>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</si>
  <si>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</si>
  <si>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</si>
  <si>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</si>
  <si>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</si>
  <si>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</si>
  <si>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</si>
  <si>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</si>
  <si>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</si>
  <si>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</si>
  <si>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</si>
  <si>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</si>
  <si>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</si>
  <si>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</si>
  <si>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</si>
  <si>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</si>
  <si>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</si>
  <si>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</si>
  <si>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</si>
  <si>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</si>
  <si>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</si>
  <si>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</si>
  <si>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</si>
  <si>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</si>
  <si>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</si>
  <si>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</si>
  <si>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</si>
  <si>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</si>
  <si>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</si>
  <si>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</si>
  <si>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</si>
  <si>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</si>
  <si>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</si>
  <si>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</si>
  <si>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</si>
  <si>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</si>
  <si>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</si>
  <si>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</si>
  <si>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</si>
  <si>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</si>
  <si>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</si>
  <si>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</si>
  <si>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</si>
  <si>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</si>
  <si>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</si>
  <si>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</si>
  <si>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</si>
  <si>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</si>
  <si>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</si>
  <si>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</si>
  <si>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</si>
  <si>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</si>
  <si>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</si>
  <si>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</si>
  <si>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</si>
  <si>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</si>
  <si>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</si>
  <si>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</si>
  <si>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</si>
  <si>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</si>
  <si>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</si>
  <si>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</si>
  <si>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</si>
  <si>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</si>
  <si>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</si>
  <si>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</si>
  <si>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</si>
  <si>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</si>
  <si>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</si>
  <si>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</si>
  <si>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</si>
  <si>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</si>
  <si>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</si>
  <si>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</si>
  <si>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</si>
  <si>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</si>
  <si>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</si>
  <si>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</si>
  <si>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</si>
  <si>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</si>
  <si>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</si>
  <si>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</si>
  <si>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</si>
  <si>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</si>
  <si>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</si>
  <si>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</si>
  <si>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</si>
  <si>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</si>
  <si>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</si>
  <si>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</si>
  <si>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</si>
  <si>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</si>
  <si>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</si>
  <si>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</si>
  <si>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</si>
  <si>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</si>
  <si>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</si>
  <si>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</si>
  <si>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</si>
  <si>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</si>
  <si>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</si>
  <si>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</si>
  <si>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</si>
  <si>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</si>
  <si>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</si>
  <si>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</si>
  <si>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</si>
  <si>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</si>
  <si>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</si>
  <si>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</si>
  <si>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</si>
  <si>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</si>
  <si>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</si>
  <si>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</si>
  <si>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</si>
  <si>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</si>
  <si>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</si>
  <si>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</si>
  <si>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</si>
  <si>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</si>
  <si>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</si>
  <si>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</si>
  <si>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</si>
  <si>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</si>
  <si>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</si>
  <si>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</si>
  <si>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</si>
  <si>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</si>
  <si>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</si>
  <si>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</si>
  <si>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</si>
  <si>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</si>
  <si>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</si>
  <si>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</si>
  <si>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</si>
  <si>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</si>
  <si>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</si>
  <si>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</si>
  <si>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</si>
  <si>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</si>
  <si>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</si>
  <si>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</si>
  <si>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</si>
  <si>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</si>
  <si>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</si>
  <si>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</si>
  <si>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</si>
  <si>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</si>
  <si>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</si>
  <si>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</si>
  <si>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</si>
  <si>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</si>
  <si>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</si>
  <si>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</si>
  <si>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</si>
  <si>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</si>
  <si>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</si>
  <si>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</si>
  <si>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</si>
  <si>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</si>
  <si>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</si>
  <si>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</si>
  <si>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</si>
  <si>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</si>
  <si>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</si>
  <si>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</si>
  <si>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</si>
  <si>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</si>
  <si>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</si>
  <si>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</si>
  <si>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</si>
  <si>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</si>
  <si>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</si>
  <si>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</si>
  <si>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</si>
  <si>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</si>
  <si>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</si>
  <si>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</si>
  <si>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</si>
  <si>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</si>
  <si>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</si>
  <si>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</si>
  <si>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</si>
  <si>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</si>
  <si>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</si>
  <si>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</si>
  <si>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</si>
  <si>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</si>
  <si>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</si>
  <si>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</si>
  <si>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</si>
  <si>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</si>
  <si>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</si>
  <si>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</si>
  <si>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</si>
  <si>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</si>
  <si>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</si>
  <si>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</si>
  <si>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</si>
  <si>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</si>
  <si>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</si>
  <si>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</si>
  <si>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</si>
  <si>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</si>
  <si>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</si>
  <si>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</si>
  <si>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</si>
  <si>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</si>
  <si>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</si>
  <si>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</si>
  <si>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</si>
  <si>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</si>
  <si>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</si>
  <si>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</si>
  <si>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</si>
  <si>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</si>
  <si>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</si>
  <si>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</si>
  <si>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</si>
  <si>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</si>
  <si>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</si>
  <si>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</si>
  <si>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</si>
  <si>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</si>
  <si>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</si>
  <si>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</si>
  <si>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</si>
  <si>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</si>
  <si>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</si>
  <si>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</si>
  <si>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</si>
  <si>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</si>
  <si>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</si>
  <si>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</si>
  <si>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</si>
  <si>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</si>
  <si>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</si>
  <si>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</si>
  <si>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</si>
  <si>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</si>
  <si>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</si>
  <si>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</si>
  <si>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</si>
  <si>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</si>
  <si>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</si>
  <si>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</si>
  <si>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</si>
  <si>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</si>
  <si>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</si>
  <si>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</si>
  <si>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</si>
  <si>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</si>
  <si>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</si>
  <si>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</si>
  <si>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</si>
  <si>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</si>
  <si>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</si>
  <si>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</si>
  <si>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</si>
  <si>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</si>
  <si>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</si>
  <si>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</si>
  <si>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</si>
  <si>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</si>
  <si>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</si>
  <si>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</si>
  <si>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</si>
  <si>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</si>
  <si>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</si>
  <si>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</si>
  <si>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</si>
  <si>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</si>
  <si>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</si>
  <si>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</si>
  <si>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</si>
  <si>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</si>
  <si>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</si>
  <si>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</si>
  <si>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</si>
  <si>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</si>
  <si>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</si>
  <si>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</si>
  <si>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</si>
  <si>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</si>
  <si>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</si>
  <si>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</si>
  <si>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</si>
  <si>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</si>
  <si>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</si>
  <si>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</si>
  <si>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</si>
  <si>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</si>
  <si>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</si>
  <si>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</si>
  <si>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</si>
  <si>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</si>
  <si>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</si>
  <si>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</si>
  <si>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</si>
  <si>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</si>
  <si>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</si>
  <si>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</si>
  <si>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</si>
  <si>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</si>
  <si>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</si>
  <si>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</si>
  <si>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</si>
  <si>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</si>
  <si>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Avon Township</t>
  </si>
  <si>
    <t>Coffey County</t>
  </si>
  <si>
    <t>Cemetery</t>
  </si>
  <si>
    <t>Publication</t>
  </si>
  <si>
    <t>Taxes</t>
  </si>
  <si>
    <t>Per Diem</t>
  </si>
  <si>
    <t>Mowing</t>
  </si>
  <si>
    <t>Maintenance</t>
  </si>
  <si>
    <t>Gary Stohs</t>
  </si>
  <si>
    <t>Treasurer</t>
  </si>
  <si>
    <t>September 11, 2012</t>
  </si>
  <si>
    <t>6:00 p.m.</t>
  </si>
  <si>
    <t>Gary Stohs'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</si>
</sst>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51</xdr:row>
      <xdr:rowOff>133350</xdr:rowOff>
    </xdr:to>
    <xdr:pic>
      <xdr:nvPicPr>
        <xdr:cNvPr id="1" name="Picture 3"/>
        <xdr:cNvPicPr preferRelativeResize="1">
          <a:picLocks noChangeAspect="1"/>
        </xdr:cNvPicPr>
      </xdr:nvPicPr>
      <xdr:blipFill>
        <a:blip r:embed="rId1"/>
        <a:stretch>
          <a:fillRect/>
        </a:stretch>
      </xdr:blipFill>
      <xdr:spPr>
        <a:xfrm>
          <a:off x="0" y="0"/>
          <a:ext cx="8334375" cy="1033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676275</xdr:colOff>
      <xdr:row>25</xdr:row>
      <xdr:rowOff>123825</xdr:rowOff>
    </xdr:to>
    <xdr:pic>
      <xdr:nvPicPr>
        <xdr:cNvPr id="1" name="Picture 1"/>
        <xdr:cNvPicPr preferRelativeResize="1">
          <a:picLocks noChangeAspect="1"/>
        </xdr:cNvPicPr>
      </xdr:nvPicPr>
      <xdr:blipFill>
        <a:blip r:embed="rId1"/>
        <a:stretch>
          <a:fillRect/>
        </a:stretch>
      </xdr:blipFill>
      <xdr:spPr>
        <a:xfrm>
          <a:off x="0" y="0"/>
          <a:ext cx="7381875" cy="512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Avon Township</v>
      </c>
      <c r="C1" s="167"/>
      <c r="D1" s="167"/>
      <c r="E1" s="167"/>
      <c r="F1" s="167"/>
      <c r="G1" s="167"/>
      <c r="H1" s="167"/>
      <c r="I1" s="167"/>
      <c r="J1" s="14"/>
      <c r="K1" s="14"/>
      <c r="L1" s="15">
        <f>inputPrYr!D5</f>
        <v>2013</v>
      </c>
    </row>
    <row r="2" spans="2:12" ht="15.75">
      <c r="B2" s="166" t="str">
        <f>inputPrYr!$D$3</f>
        <v>Coffey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Avon Township</v>
      </c>
      <c r="C7" s="565"/>
      <c r="D7" s="565"/>
      <c r="E7" s="565"/>
      <c r="F7" s="565"/>
      <c r="G7" s="565"/>
      <c r="H7" s="565"/>
      <c r="I7" s="565"/>
    </row>
    <row r="8" spans="2:9" ht="15.75">
      <c r="B8" s="566" t="str">
        <f>inputPrYr!D3</f>
        <v>Coffey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3227428</v>
      </c>
      <c r="F27" s="565"/>
      <c r="G27" s="570">
        <f>summ!G37</f>
        <v>3410896</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8">
      <selection activeCell="E59" sqref="E5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Avon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691</v>
      </c>
      <c r="D6" s="390">
        <f>C51</f>
        <v>708</v>
      </c>
      <c r="E6" s="32">
        <f>D51</f>
        <v>762</v>
      </c>
    </row>
    <row r="7" spans="2:5" ht="15.75">
      <c r="B7" s="27" t="s">
        <v>120</v>
      </c>
      <c r="C7" s="390"/>
      <c r="D7" s="390"/>
      <c r="E7" s="33"/>
    </row>
    <row r="8" spans="2:5" ht="15.75">
      <c r="B8" s="27" t="s">
        <v>16</v>
      </c>
      <c r="C8" s="29">
        <v>186</v>
      </c>
      <c r="D8" s="390">
        <f>IF(inputPrYr!H15&gt;0,inputPrYr!G16,inputPrYr!E16)</f>
        <v>190</v>
      </c>
      <c r="E8" s="33" t="s">
        <v>290</v>
      </c>
    </row>
    <row r="9" spans="2:5" ht="15.75">
      <c r="B9" s="27" t="s">
        <v>17</v>
      </c>
      <c r="C9" s="29"/>
      <c r="D9" s="29"/>
      <c r="E9" s="34"/>
    </row>
    <row r="10" spans="2:5" ht="15.75">
      <c r="B10" s="27" t="s">
        <v>18</v>
      </c>
      <c r="C10" s="29">
        <v>5</v>
      </c>
      <c r="D10" s="29">
        <v>9</v>
      </c>
      <c r="E10" s="32">
        <f>mvalloc!G11</f>
        <v>11</v>
      </c>
    </row>
    <row r="11" spans="2:5" ht="15.75">
      <c r="B11" s="27" t="s">
        <v>19</v>
      </c>
      <c r="C11" s="29"/>
      <c r="D11" s="29"/>
      <c r="E11" s="32">
        <f>mvalloc!I11</f>
        <v>0</v>
      </c>
    </row>
    <row r="12" spans="2:5" ht="15.75">
      <c r="B12" s="35" t="s">
        <v>69</v>
      </c>
      <c r="C12" s="29">
        <v>2</v>
      </c>
      <c r="D12" s="29">
        <v>2</v>
      </c>
      <c r="E12" s="32">
        <f>mvalloc!J11</f>
        <v>1</v>
      </c>
    </row>
    <row r="13" spans="2:5" ht="15.75">
      <c r="B13" s="35" t="s">
        <v>161</v>
      </c>
      <c r="C13" s="29"/>
      <c r="D13" s="29">
        <v>13</v>
      </c>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193</v>
      </c>
      <c r="D26" s="392">
        <f>SUM(D8:D24)</f>
        <v>214</v>
      </c>
      <c r="E26" s="42">
        <f>SUM(E8:E24)</f>
        <v>12</v>
      </c>
    </row>
    <row r="27" spans="2:5" ht="15.75">
      <c r="B27" s="43" t="s">
        <v>24</v>
      </c>
      <c r="C27" s="392">
        <f>C26+C6</f>
        <v>884</v>
      </c>
      <c r="D27" s="392">
        <f>D26+D6</f>
        <v>922</v>
      </c>
      <c r="E27" s="42">
        <f>E26+E6</f>
        <v>774</v>
      </c>
    </row>
    <row r="28" spans="2:5" ht="15.75">
      <c r="B28" s="27" t="s">
        <v>25</v>
      </c>
      <c r="C28" s="390"/>
      <c r="D28" s="390"/>
      <c r="E28" s="32"/>
    </row>
    <row r="29" spans="2:5" ht="15.75">
      <c r="B29" s="37" t="s">
        <v>937</v>
      </c>
      <c r="C29" s="29">
        <v>38</v>
      </c>
      <c r="D29" s="29">
        <v>40</v>
      </c>
      <c r="E29" s="34">
        <v>40</v>
      </c>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v>774</v>
      </c>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938</v>
      </c>
      <c r="C37" s="29">
        <v>138</v>
      </c>
      <c r="D37" s="29">
        <v>120</v>
      </c>
      <c r="E37" s="34">
        <v>120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176</v>
      </c>
      <c r="D50" s="384">
        <f>SUM(D29:D48)</f>
        <v>160</v>
      </c>
      <c r="E50" s="47">
        <f>SUM(E29:E43,E45,E47:E48)</f>
        <v>934</v>
      </c>
      <c r="G50" s="490">
        <f>D51</f>
        <v>762</v>
      </c>
      <c r="H50" s="491" t="str">
        <f>CONCATENATE("",E1-1," Ending Cash Balance (est.)")</f>
        <v>2012 Ending Cash Balance (est.)</v>
      </c>
      <c r="I50" s="492"/>
      <c r="J50" s="489"/>
    </row>
    <row r="51" spans="2:10" ht="15.75">
      <c r="B51" s="27" t="s">
        <v>119</v>
      </c>
      <c r="C51" s="385">
        <f>C27-C50</f>
        <v>708</v>
      </c>
      <c r="D51" s="385">
        <f>SUM(D27-D50)</f>
        <v>762</v>
      </c>
      <c r="E51" s="33" t="s">
        <v>290</v>
      </c>
      <c r="G51" s="490">
        <f>E26</f>
        <v>12</v>
      </c>
      <c r="H51" s="493" t="str">
        <f>CONCATENATE("",E1," Non-AV Receipts (est.)")</f>
        <v>2013 Non-AV Receipts (est.)</v>
      </c>
      <c r="I51" s="492"/>
      <c r="J51" s="489"/>
    </row>
    <row r="52" spans="2:11" ht="15.75">
      <c r="B52" s="48" t="str">
        <f>CONCATENATE("",E1-2,"/",E1-1," Budget Authority Amount:")</f>
        <v>2011/2012 Budget Authority Amount:</v>
      </c>
      <c r="C52" s="132">
        <f>inputOth!B46</f>
        <v>896</v>
      </c>
      <c r="D52" s="161">
        <f>inputPrYr!D16</f>
        <v>908</v>
      </c>
      <c r="E52" s="33" t="s">
        <v>290</v>
      </c>
      <c r="F52" s="50"/>
      <c r="G52" s="494">
        <f>IF(D56&gt;0,E55,E57)</f>
        <v>160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934</v>
      </c>
      <c r="H53" s="493" t="str">
        <f>CONCATENATE("Total ",E1," Resources Available")</f>
        <v>Total 2013 Resources Available</v>
      </c>
      <c r="I53" s="492"/>
      <c r="J53" s="489"/>
    </row>
    <row r="54" spans="2:10" ht="15.75">
      <c r="B54" s="399" t="str">
        <f>CONCATENATE(C72,"     ",D72)</f>
        <v>     </v>
      </c>
      <c r="C54" s="807" t="s">
        <v>624</v>
      </c>
      <c r="D54" s="808"/>
      <c r="E54" s="32">
        <f>E50+E53</f>
        <v>934</v>
      </c>
      <c r="G54" s="495"/>
      <c r="H54" s="493"/>
      <c r="I54" s="493"/>
      <c r="J54" s="489"/>
    </row>
    <row r="55" spans="2:10" ht="15.75">
      <c r="B55" s="399" t="str">
        <f>CONCATENATE(C73,"     ",D73)</f>
        <v>     </v>
      </c>
      <c r="C55" s="60"/>
      <c r="D55" s="52" t="s">
        <v>28</v>
      </c>
      <c r="E55" s="46">
        <f>IF(E54-E27&gt;0,E54-E27,0)</f>
        <v>160</v>
      </c>
      <c r="G55" s="494">
        <f>ROUND(C50*0.05+C50,0)</f>
        <v>185</v>
      </c>
      <c r="H55" s="493" t="str">
        <f>CONCATENATE("Less ",E1-2," Expenditures + 5%")</f>
        <v>Less 2011 Expenditures + 5%</v>
      </c>
      <c r="I55" s="492"/>
      <c r="J55" s="489"/>
    </row>
    <row r="56" spans="2:10" ht="15.75">
      <c r="B56" s="52"/>
      <c r="C56" s="403" t="s">
        <v>625</v>
      </c>
      <c r="D56" s="698">
        <f>inputOth!$E$40</f>
        <v>0</v>
      </c>
      <c r="E56" s="32">
        <f>ROUND(IF(D56&gt;0,(E55*D56),0),0)</f>
        <v>0</v>
      </c>
      <c r="G56" s="496">
        <f>G53-G55</f>
        <v>749</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160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0.047</v>
      </c>
      <c r="H60" s="491" t="str">
        <f>CONCATENATE("",E1," Fund Mill Rate")</f>
        <v>2013 Fund Mill Rate</v>
      </c>
      <c r="I60" s="700"/>
      <c r="J60" s="713"/>
      <c r="K60" s="16"/>
    </row>
    <row r="61" spans="2:10" ht="15.75">
      <c r="B61" s="52" t="s">
        <v>9</v>
      </c>
      <c r="C61" s="405">
        <f>IF(inputPrYr!D18&gt;0,7,6)</f>
        <v>6</v>
      </c>
      <c r="D61" s="14"/>
      <c r="E61" s="55"/>
      <c r="G61" s="715">
        <f>summ!F18</f>
        <v>0.059</v>
      </c>
      <c r="H61" s="491" t="str">
        <f>CONCATENATE("",E1-1," Fund Mill Rate")</f>
        <v>2012 Fund Mill Rate</v>
      </c>
      <c r="I61" s="700"/>
      <c r="J61" s="713"/>
    </row>
    <row r="62" spans="7:10" ht="15.75">
      <c r="G62" s="716">
        <f>summ!I32</f>
        <v>0.897</v>
      </c>
      <c r="H62" s="491" t="str">
        <f>CONCATENATE("Total ",E1," Mill Rate")</f>
        <v>Total 2013 Mill Rate</v>
      </c>
      <c r="I62" s="700"/>
      <c r="J62" s="713"/>
    </row>
    <row r="63" spans="2:10" ht="15.75">
      <c r="B63" s="12"/>
      <c r="G63" s="715">
        <f>summ!F32</f>
        <v>0.942</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Avon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0.897</v>
      </c>
      <c r="H45" s="641" t="str">
        <f>CONCATENATE("Total ",E1," Mill Rate")</f>
        <v>Total 2013 Mill Rate</v>
      </c>
      <c r="I45" s="665"/>
      <c r="J45" s="666"/>
    </row>
    <row r="46" spans="2:10" ht="15.75">
      <c r="B46" s="603" t="s">
        <v>144</v>
      </c>
      <c r="C46" s="608">
        <v>0</v>
      </c>
      <c r="D46" s="605">
        <f>C74</f>
        <v>0</v>
      </c>
      <c r="E46" s="606">
        <f>D74</f>
        <v>0</v>
      </c>
      <c r="F46" s="644"/>
      <c r="G46" s="668">
        <f>summ!F32</f>
        <v>0.942</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0.897</v>
      </c>
      <c r="H85" s="641" t="str">
        <f>CONCATENATE("Total ",E1," Mill Rate")</f>
        <v>Total 2013 Mill Rate</v>
      </c>
      <c r="I85" s="665"/>
      <c r="J85" s="666"/>
    </row>
    <row r="86" spans="7:10" ht="15.75">
      <c r="G86" s="668">
        <f>summ!F32</f>
        <v>0.942</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Avon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c r="D6" s="390">
        <f>C44</f>
        <v>0</v>
      </c>
      <c r="E6" s="32">
        <f>D44</f>
        <v>0</v>
      </c>
    </row>
    <row r="7" spans="2:5" ht="15.75">
      <c r="B7" s="27" t="s">
        <v>120</v>
      </c>
      <c r="C7" s="390"/>
      <c r="D7" s="390"/>
      <c r="E7" s="33"/>
    </row>
    <row r="8" spans="2:5" ht="15.75">
      <c r="B8" s="27" t="s">
        <v>16</v>
      </c>
      <c r="C8" s="29"/>
      <c r="D8" s="390">
        <f>IF(inputPrYr!H15&gt;0,inputPrYr!G19,inputPrYr!E19)</f>
        <v>0</v>
      </c>
      <c r="E8" s="33" t="s">
        <v>290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119</v>
      </c>
      <c r="C44" s="385">
        <f>C24-C43</f>
        <v>0</v>
      </c>
      <c r="D44" s="385">
        <f>D24-D43</f>
        <v>0</v>
      </c>
      <c r="E44" s="33" t="s">
        <v>290</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624</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625</v>
      </c>
      <c r="D49" s="698">
        <f>inputOth!$E$40</f>
        <v>0</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0.897</v>
      </c>
      <c r="H55" s="491" t="str">
        <f>CONCATENATE("Total ",E1," Mill Rate")</f>
        <v>Total 2013 Mill Rate</v>
      </c>
      <c r="I55" s="700"/>
      <c r="J55" s="713"/>
    </row>
    <row r="56" spans="2:10" ht="15.75">
      <c r="B56" s="72" t="s">
        <v>33</v>
      </c>
      <c r="C56" s="132"/>
      <c r="D56" s="14"/>
      <c r="E56" s="14"/>
      <c r="G56" s="715">
        <f>summ!F32</f>
        <v>0.942</v>
      </c>
      <c r="H56" s="717" t="str">
        <f>CONCATENATE("Total ",E1-1," Mill Rate")</f>
        <v>Total 2012 Mill Rate</v>
      </c>
      <c r="I56" s="718"/>
      <c r="J56" s="719"/>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7">
      <selection activeCell="E26" sqref="E2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Avon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Cemetery</v>
      </c>
      <c r="C5" s="389" t="str">
        <f>gen!C5</f>
        <v>Actual for 2011</v>
      </c>
      <c r="D5" s="389" t="str">
        <f>gen!D5</f>
        <v>Estimate for 2012</v>
      </c>
      <c r="E5" s="26" t="str">
        <f>gen!E5</f>
        <v>Year for 2013</v>
      </c>
    </row>
    <row r="6" spans="2:5" ht="15.75">
      <c r="B6" s="27" t="s">
        <v>118</v>
      </c>
      <c r="C6" s="29">
        <v>1010</v>
      </c>
      <c r="D6" s="390">
        <f>C34</f>
        <v>957</v>
      </c>
      <c r="E6" s="32">
        <f>D34</f>
        <v>1040</v>
      </c>
    </row>
    <row r="7" spans="2:5" ht="15.75">
      <c r="B7" s="27" t="s">
        <v>120</v>
      </c>
      <c r="C7" s="390"/>
      <c r="D7" s="390"/>
      <c r="E7" s="33"/>
    </row>
    <row r="8" spans="2:5" ht="15.75">
      <c r="B8" s="27" t="s">
        <v>16</v>
      </c>
      <c r="C8" s="29">
        <v>2789</v>
      </c>
      <c r="D8" s="390">
        <f>IF(inputPrYr!H15&gt;0,inputPrYr!G20,inputPrYr!E20)</f>
        <v>2849</v>
      </c>
      <c r="E8" s="33" t="s">
        <v>290</v>
      </c>
    </row>
    <row r="9" spans="2:5" ht="15.75">
      <c r="B9" s="27" t="s">
        <v>17</v>
      </c>
      <c r="C9" s="29"/>
      <c r="D9" s="29"/>
      <c r="E9" s="34"/>
    </row>
    <row r="10" spans="2:5" ht="15.75">
      <c r="B10" s="27" t="s">
        <v>18</v>
      </c>
      <c r="C10" s="29">
        <v>76</v>
      </c>
      <c r="D10" s="29">
        <v>148</v>
      </c>
      <c r="E10" s="32">
        <f>mvalloc!G15</f>
        <v>172</v>
      </c>
    </row>
    <row r="11" spans="2:5" ht="15.75">
      <c r="B11" s="27" t="s">
        <v>19</v>
      </c>
      <c r="C11" s="29">
        <v>3</v>
      </c>
      <c r="D11" s="29">
        <v>6</v>
      </c>
      <c r="E11" s="32">
        <f>mvalloc!I15</f>
        <v>7</v>
      </c>
    </row>
    <row r="12" spans="2:5" ht="15.75">
      <c r="B12" s="35" t="s">
        <v>69</v>
      </c>
      <c r="C12" s="29">
        <v>29</v>
      </c>
      <c r="D12" s="29">
        <v>30</v>
      </c>
      <c r="E12" s="32">
        <f>mvalloc!J15</f>
        <v>22</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2897</v>
      </c>
      <c r="D20" s="392">
        <f>SUM(D8:D18)</f>
        <v>3033</v>
      </c>
      <c r="E20" s="42">
        <f>SUM(E8:E18)</f>
        <v>201</v>
      </c>
    </row>
    <row r="21" spans="2:5" ht="15.75">
      <c r="B21" s="43" t="s">
        <v>24</v>
      </c>
      <c r="C21" s="392">
        <f>C20+C6</f>
        <v>3907</v>
      </c>
      <c r="D21" s="392">
        <f>D20+D6</f>
        <v>3990</v>
      </c>
      <c r="E21" s="42">
        <f>E20+E6</f>
        <v>1241</v>
      </c>
    </row>
    <row r="22" spans="2:5" ht="15.75">
      <c r="B22" s="27" t="s">
        <v>25</v>
      </c>
      <c r="C22" s="390"/>
      <c r="D22" s="390"/>
      <c r="E22" s="32"/>
    </row>
    <row r="23" spans="2:5" ht="15.75">
      <c r="B23" s="38"/>
      <c r="C23" s="29"/>
      <c r="D23" s="29"/>
      <c r="E23" s="34"/>
    </row>
    <row r="24" spans="2:11" ht="15.75">
      <c r="B24" s="38" t="s">
        <v>939</v>
      </c>
      <c r="C24" s="29">
        <v>900</v>
      </c>
      <c r="D24" s="29">
        <v>900</v>
      </c>
      <c r="E24" s="34">
        <v>900</v>
      </c>
      <c r="G24" s="815" t="str">
        <f>CONCATENATE("Desired Carryover Into ",E1+1,"")</f>
        <v>Desired Carryover Into 2014</v>
      </c>
      <c r="H24" s="816"/>
      <c r="I24" s="816"/>
      <c r="J24" s="817"/>
      <c r="K24" s="591"/>
    </row>
    <row r="25" spans="2:11" ht="15.75">
      <c r="B25" s="38" t="s">
        <v>940</v>
      </c>
      <c r="C25" s="29">
        <v>2000</v>
      </c>
      <c r="D25" s="29">
        <v>2000</v>
      </c>
      <c r="E25" s="34">
        <v>2000</v>
      </c>
      <c r="G25" s="622"/>
      <c r="H25" s="623"/>
      <c r="I25" s="624"/>
      <c r="J25" s="625"/>
      <c r="K25" s="591"/>
    </row>
    <row r="26" spans="2:11" ht="15.75">
      <c r="B26" s="38" t="s">
        <v>941</v>
      </c>
      <c r="C26" s="29">
        <v>50</v>
      </c>
      <c r="D26" s="29">
        <v>50</v>
      </c>
      <c r="E26" s="34">
        <v>1241</v>
      </c>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2950</v>
      </c>
      <c r="D33" s="392">
        <f>SUM(D23:D31)</f>
        <v>2950</v>
      </c>
      <c r="E33" s="42">
        <f>SUM(E23:E31)</f>
        <v>4141</v>
      </c>
      <c r="G33" s="640">
        <f>D34</f>
        <v>1040</v>
      </c>
      <c r="H33" s="641" t="str">
        <f>CONCATENATE("",E1-1," Ending Cash Balance (est.)")</f>
        <v>2012 Ending Cash Balance (est.)</v>
      </c>
      <c r="I33" s="642"/>
      <c r="J33" s="637"/>
      <c r="K33" s="591"/>
    </row>
    <row r="34" spans="2:11" ht="15.75">
      <c r="B34" s="27" t="s">
        <v>119</v>
      </c>
      <c r="C34" s="385">
        <f>C21-C33</f>
        <v>957</v>
      </c>
      <c r="D34" s="385">
        <f>D21-D33</f>
        <v>1040</v>
      </c>
      <c r="E34" s="33" t="s">
        <v>290</v>
      </c>
      <c r="G34" s="640">
        <f>E20</f>
        <v>201</v>
      </c>
      <c r="H34" s="624" t="str">
        <f>CONCATENATE("",E1," Non-AV Receipts (est.)")</f>
        <v>2013 Non-AV Receipts (est.)</v>
      </c>
      <c r="I34" s="642"/>
      <c r="J34" s="637"/>
      <c r="K34" s="591"/>
    </row>
    <row r="35" spans="2:11" ht="15.75">
      <c r="B35" s="48" t="str">
        <f>CONCATENATE("",E1-2,"/",E1-1," Budget Authority Amount:")</f>
        <v>2011/2012 Budget Authority Amount:</v>
      </c>
      <c r="C35" s="132">
        <f>inputOth!B50</f>
        <v>4031</v>
      </c>
      <c r="D35" s="161">
        <f>inputPrYr!D20</f>
        <v>4140</v>
      </c>
      <c r="E35" s="33" t="s">
        <v>290</v>
      </c>
      <c r="F35" s="50"/>
      <c r="G35" s="649">
        <f>IF(E39&gt;0,E38,E40)</f>
        <v>2900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4141</v>
      </c>
      <c r="H36" s="624" t="str">
        <f>CONCATENATE("Total ",E1," Resources Available")</f>
        <v>Total 2013 Resources Available</v>
      </c>
      <c r="I36" s="642"/>
      <c r="J36" s="637"/>
      <c r="K36" s="591"/>
    </row>
    <row r="37" spans="2:11" ht="15.75">
      <c r="B37" s="399" t="str">
        <f>CONCATENATE(C92,"     ",D92)</f>
        <v>     </v>
      </c>
      <c r="C37" s="807" t="s">
        <v>624</v>
      </c>
      <c r="D37" s="808"/>
      <c r="E37" s="32">
        <f>E33+E36</f>
        <v>4141</v>
      </c>
      <c r="G37" s="653"/>
      <c r="H37" s="624"/>
      <c r="I37" s="624"/>
      <c r="J37" s="637"/>
      <c r="K37" s="591"/>
    </row>
    <row r="38" spans="2:11" ht="15.75">
      <c r="B38" s="399" t="str">
        <f>CONCATENATE(C93,"     ",D93)</f>
        <v>     </v>
      </c>
      <c r="C38" s="60"/>
      <c r="D38" s="52" t="s">
        <v>28</v>
      </c>
      <c r="E38" s="46">
        <f>IF(E37-E21&gt;0,E37-E21,0)</f>
        <v>2900</v>
      </c>
      <c r="G38" s="649">
        <f>C33*0.05+C33</f>
        <v>3097.5</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1043.5</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2900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f>summ!I22</f>
        <v>0.85</v>
      </c>
      <c r="H43" s="641" t="str">
        <f>CONCATENATE("",E1," Fund Mill Rate")</f>
        <v>2013 Fund Mill Rate</v>
      </c>
      <c r="I43" s="665"/>
      <c r="J43" s="666"/>
      <c r="K43" s="591"/>
    </row>
    <row r="44" spans="2:11" ht="15.75">
      <c r="B44" s="14"/>
      <c r="C44" s="388" t="s">
        <v>11</v>
      </c>
      <c r="D44" s="391" t="s">
        <v>12</v>
      </c>
      <c r="E44" s="23" t="s">
        <v>13</v>
      </c>
      <c r="G44" s="668">
        <f>summ!F22</f>
        <v>0.883</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0.897</v>
      </c>
      <c r="H45" s="641" t="str">
        <f>CONCATENATE("Total ",E1," Mill Rate")</f>
        <v>Total 2013 Mill Rate</v>
      </c>
      <c r="I45" s="665"/>
      <c r="J45" s="666"/>
      <c r="K45" s="591"/>
    </row>
    <row r="46" spans="2:11" ht="15.75">
      <c r="B46" s="27" t="s">
        <v>118</v>
      </c>
      <c r="C46" s="29"/>
      <c r="D46" s="390">
        <f>C74</f>
        <v>0</v>
      </c>
      <c r="E46" s="32">
        <f>D74</f>
        <v>0</v>
      </c>
      <c r="G46" s="668">
        <f>summ!F32</f>
        <v>0.942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0.897</v>
      </c>
      <c r="H85" s="641" t="str">
        <f>CONCATENATE("Total ",E1," Mill Rate")</f>
        <v>Total 2013 Mill Rate</v>
      </c>
      <c r="I85" s="665"/>
      <c r="J85" s="666"/>
      <c r="K85" s="591"/>
    </row>
    <row r="86" spans="7:11" ht="15.75">
      <c r="G86" s="668">
        <f>summ!F32</f>
        <v>0.942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62">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Avon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0.897</v>
      </c>
      <c r="H45" s="641" t="str">
        <f>CONCATENATE("Total ",E1," Mill Rate")</f>
        <v>Total 2013 Mill Rate</v>
      </c>
      <c r="I45" s="665"/>
      <c r="J45" s="666"/>
      <c r="K45" s="591"/>
    </row>
    <row r="46" spans="2:11" ht="15.75">
      <c r="B46" s="27" t="s">
        <v>118</v>
      </c>
      <c r="C46" s="29"/>
      <c r="D46" s="390">
        <f>C74</f>
        <v>0</v>
      </c>
      <c r="E46" s="32">
        <f>D74</f>
        <v>0</v>
      </c>
      <c r="G46" s="668">
        <f>summ!F32</f>
        <v>0.942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0.897</v>
      </c>
      <c r="H85" s="641" t="str">
        <f>CONCATENATE("Total ",E1," Mill Rate")</f>
        <v>Total 2013 Mill Rate</v>
      </c>
      <c r="I85" s="665"/>
      <c r="J85" s="666"/>
      <c r="K85" s="591"/>
    </row>
    <row r="86" spans="7:11" ht="15.75">
      <c r="G86" s="668">
        <f>summ!F32</f>
        <v>0.942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Avon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0.897</v>
      </c>
      <c r="H45" s="641" t="str">
        <f>CONCATENATE("Total ",E1," Mill Rate")</f>
        <v>Total 2013 Mill Rate</v>
      </c>
      <c r="I45" s="665"/>
      <c r="J45" s="666"/>
      <c r="K45" s="591"/>
    </row>
    <row r="46" spans="2:11" ht="15.75">
      <c r="B46" s="27" t="s">
        <v>118</v>
      </c>
      <c r="C46" s="29"/>
      <c r="D46" s="390">
        <f>C74</f>
        <v>0</v>
      </c>
      <c r="E46" s="32">
        <f>D74</f>
        <v>0</v>
      </c>
      <c r="G46" s="668">
        <f>summ!F32</f>
        <v>0.942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0.897</v>
      </c>
      <c r="H85" s="641" t="str">
        <f>CONCATENATE("Total ",E1," Mill Rate")</f>
        <v>Total 2013 Mill Rate</v>
      </c>
      <c r="I85" s="665"/>
      <c r="J85" s="666"/>
      <c r="K85" s="591"/>
    </row>
    <row r="86" spans="7:11" ht="15.75">
      <c r="G86" s="668">
        <f>summ!F32</f>
        <v>0.942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Avon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63">
      <selection activeCell="E64" sqref="E6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908</v>
      </c>
      <c r="E16" s="187">
        <v>190</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c r="E19" s="187"/>
      <c r="G19" s="32">
        <f>IF(H15&gt;0,ROUND(E19-(E19*H15),0),0)</f>
        <v>0</v>
      </c>
    </row>
    <row r="20" spans="1:7" ht="15.75">
      <c r="A20" s="14"/>
      <c r="B20" s="382" t="s">
        <v>936</v>
      </c>
      <c r="C20" s="383"/>
      <c r="D20" s="187">
        <v>4140</v>
      </c>
      <c r="E20" s="187">
        <v>2849</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3039</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5048</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0.056</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Cemetery</v>
      </c>
      <c r="C46" s="14"/>
      <c r="D46" s="322">
        <v>0.871</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0.927</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2992</v>
      </c>
    </row>
    <row r="55" spans="1:5" ht="15.75">
      <c r="A55" s="327" t="str">
        <f>CONCATENATE("Assessed Valuation (",D5-2," budget column)")</f>
        <v>Assessed Valuation (2011 budget column)</v>
      </c>
      <c r="B55" s="328"/>
      <c r="C55" s="267"/>
      <c r="D55" s="28"/>
      <c r="E55" s="187">
        <v>3229790</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Avon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17">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9"/>
      <c r="D2" s="779"/>
      <c r="E2" s="779"/>
      <c r="F2" s="779"/>
      <c r="G2" s="779"/>
      <c r="H2" s="779"/>
      <c r="I2" s="779"/>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7" t="str">
        <f>inputPrYr!D2</f>
        <v>Avon Township</v>
      </c>
      <c r="C5" s="777"/>
      <c r="D5" s="777"/>
      <c r="E5" s="777"/>
      <c r="F5" s="777"/>
      <c r="G5" s="777"/>
      <c r="H5" s="777"/>
      <c r="I5" s="777"/>
    </row>
    <row r="6" spans="2:9" ht="15.75">
      <c r="B6" s="777" t="str">
        <f>inputPrYr!D3</f>
        <v>Coffey County</v>
      </c>
      <c r="C6" s="777"/>
      <c r="D6" s="777"/>
      <c r="E6" s="777"/>
      <c r="F6" s="777"/>
      <c r="G6" s="777"/>
      <c r="H6" s="777"/>
      <c r="I6" s="777"/>
    </row>
    <row r="7" spans="2:9" ht="15.75">
      <c r="B7" s="834" t="str">
        <f>CONCATENATE("will meet on ",inputBudSum!B8," at ",inputBudSum!B10," at ",inputBudSum!B12," for the purpose of hearing and")</f>
        <v>will meet on September 11, 2012 at 6:00 p.m. at Gary Stohs' Residence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Gary Stohs' Residence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176</v>
      </c>
      <c r="D18" s="530">
        <f>IF(inputPrYr!D42&gt;0,inputPrYr!D42,"  ")</f>
        <v>0.056</v>
      </c>
      <c r="E18" s="32">
        <f>IF(gen!$D$50&lt;&gt;0,gen!$D$50,"  ")</f>
        <v>160</v>
      </c>
      <c r="F18" s="235">
        <f>IF(inputOth!D17&gt;0,inputOth!D17,"  ")</f>
        <v>0.059</v>
      </c>
      <c r="G18" s="32">
        <f>IF(gen!$E$50&lt;&gt;0,gen!$E$50,"  ")</f>
        <v>934</v>
      </c>
      <c r="H18" s="32">
        <f>IF(gen!$E$57&lt;&gt;0,gen!$E$57," ")</f>
        <v>160</v>
      </c>
      <c r="I18" s="532">
        <f>IF(gen!E57&gt;0,ROUND(H18/$G$37*1000,3)," ")</f>
        <v>0.047</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75">
      <c r="B22" s="85" t="str">
        <f>IF(inputPrYr!$B20&gt;"  ",inputPrYr!$B20,"  ")</f>
        <v>Cemetery</v>
      </c>
      <c r="C22" s="32">
        <f>IF(levypage9!$C$33&lt;&gt;0,levypage9!$C$33,"  ")</f>
        <v>2950</v>
      </c>
      <c r="D22" s="530">
        <f>IF(inputPrYr!D46&gt;0,inputPrYr!D46,"  ")</f>
        <v>0.871</v>
      </c>
      <c r="E22" s="32">
        <f>IF(levypage9!$D$33&lt;&gt;0,levypage9!$D$33,"  ")</f>
        <v>2950</v>
      </c>
      <c r="F22" s="235">
        <f>IF(inputOth!D21&gt;0,inputOth!D21,"  ")</f>
        <v>0.883</v>
      </c>
      <c r="G22" s="32">
        <f>IF(levypage9!$E$33&lt;&gt;0,levypage9!$E$33,"  ")</f>
        <v>4141</v>
      </c>
      <c r="H22" s="32">
        <f>IF(levypage9!$E$40&lt;&gt;0,levypage9!$E$40,"  ")</f>
        <v>2900</v>
      </c>
      <c r="I22" s="532">
        <f>IF(levypage9!E40&gt;0,ROUND(H22/$G$37*1000,3)," ")</f>
        <v>0.85</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3411</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0.942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153</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3126</v>
      </c>
      <c r="D32" s="482">
        <f t="shared" si="0"/>
        <v>0.927</v>
      </c>
      <c r="E32" s="533">
        <f t="shared" si="0"/>
        <v>3110</v>
      </c>
      <c r="F32" s="482">
        <f t="shared" si="0"/>
        <v>0.942</v>
      </c>
      <c r="G32" s="533">
        <f t="shared" si="0"/>
        <v>5075</v>
      </c>
      <c r="H32" s="533">
        <f t="shared" si="0"/>
        <v>3060</v>
      </c>
      <c r="I32" s="536">
        <f t="shared" si="0"/>
        <v>0.897</v>
      </c>
      <c r="K32" s="838" t="str">
        <f>CONCATENATE("Impact On Keeping The Same Mill Rate As For ",I1-1,"")</f>
        <v>Impact On Keeping The Same Mill Rate As For 2012</v>
      </c>
      <c r="L32" s="839"/>
      <c r="M32" s="839"/>
      <c r="N32" s="840"/>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3126</v>
      </c>
      <c r="D34" s="14"/>
      <c r="E34" s="534">
        <f>E32-E33</f>
        <v>3110</v>
      </c>
      <c r="F34" s="14"/>
      <c r="G34" s="534">
        <f>G32-G33</f>
        <v>5075</v>
      </c>
      <c r="H34" s="14"/>
      <c r="I34" s="14"/>
      <c r="K34" s="513" t="str">
        <f>CONCATENATE("",I1," Ad Valorem Tax Revenue:")</f>
        <v>2013 Ad Valorem Tax Revenue:</v>
      </c>
      <c r="L34" s="507"/>
      <c r="M34" s="507"/>
      <c r="N34" s="508">
        <f>H32</f>
        <v>3060</v>
      </c>
    </row>
    <row r="35" spans="2:14" ht="16.5" thickTop="1">
      <c r="B35" s="274" t="s">
        <v>46</v>
      </c>
      <c r="C35" s="535">
        <f>inputPrYr!E54</f>
        <v>2992</v>
      </c>
      <c r="D35" s="61"/>
      <c r="E35" s="535">
        <f>inputPrYr!E26</f>
        <v>3039</v>
      </c>
      <c r="F35" s="14"/>
      <c r="G35" s="526" t="s">
        <v>290</v>
      </c>
      <c r="H35" s="14"/>
      <c r="I35" s="14"/>
      <c r="K35" s="513" t="str">
        <f>CONCATENATE("",I1-1," Ad Valorem Tax Revenue:")</f>
        <v>2012 Ad Valorem Tax Revenue:</v>
      </c>
      <c r="L35" s="507"/>
      <c r="M35" s="507"/>
      <c r="N35" s="521">
        <f>ROUND(G37*N27/1000,0)</f>
        <v>3213</v>
      </c>
    </row>
    <row r="36" spans="2:14" ht="15.75">
      <c r="B36" s="274" t="s">
        <v>47</v>
      </c>
      <c r="C36" s="55"/>
      <c r="D36" s="61"/>
      <c r="E36" s="55"/>
      <c r="F36" s="61"/>
      <c r="G36" s="14"/>
      <c r="H36" s="14"/>
      <c r="I36" s="14"/>
      <c r="K36" s="518" t="s">
        <v>718</v>
      </c>
      <c r="L36" s="519"/>
      <c r="M36" s="519"/>
      <c r="N36" s="511">
        <f>N34-N35</f>
        <v>-153</v>
      </c>
    </row>
    <row r="37" spans="2:14" ht="15.75">
      <c r="B37" s="274" t="s">
        <v>48</v>
      </c>
      <c r="C37" s="32">
        <f>inputPrYr!E55</f>
        <v>3229790</v>
      </c>
      <c r="D37" s="14"/>
      <c r="E37" s="32">
        <f>inputOth!E29</f>
        <v>3227428</v>
      </c>
      <c r="F37" s="14"/>
      <c r="G37" s="32">
        <f>inputOth!E7</f>
        <v>3410896</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0.897</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Gary Stohs</v>
      </c>
      <c r="C46" s="837"/>
      <c r="D46" s="14"/>
      <c r="E46" s="14"/>
      <c r="F46" s="14"/>
      <c r="G46" s="14"/>
      <c r="H46" s="14"/>
      <c r="I46" s="14"/>
    </row>
    <row r="47" spans="2:9" ht="15.75">
      <c r="B47" s="835" t="str">
        <f>inputBudSum!B6</f>
        <v>Treasurer</v>
      </c>
      <c r="C47" s="836"/>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Avon Township</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3410896</v>
      </c>
      <c r="E19" s="14"/>
      <c r="F19" s="129"/>
    </row>
    <row r="20" spans="1:6" ht="15.75">
      <c r="A20" s="14"/>
      <c r="B20" s="14"/>
      <c r="C20" s="14"/>
      <c r="D20" s="14"/>
      <c r="E20" s="14"/>
      <c r="F20" s="129"/>
    </row>
    <row r="21" spans="1:6" ht="15.75">
      <c r="A21" s="14"/>
      <c r="B21" s="847" t="s">
        <v>366</v>
      </c>
      <c r="C21" s="847"/>
      <c r="D21" s="137">
        <f>IF(D19&gt;0,(D19*0.001),"")</f>
        <v>3410.896</v>
      </c>
      <c r="E21" s="14"/>
      <c r="F21" s="129"/>
    </row>
    <row r="22" spans="1:6" ht="15.75">
      <c r="A22" s="14"/>
      <c r="B22" s="48"/>
      <c r="C22" s="48"/>
      <c r="D22" s="138"/>
      <c r="E22" s="14"/>
      <c r="F22" s="129"/>
    </row>
    <row r="23" spans="1:6" ht="15.75">
      <c r="A23" s="845" t="s">
        <v>368</v>
      </c>
      <c r="B23" s="779"/>
      <c r="C23" s="77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Avon Township </v>
      </c>
      <c r="I6">
        <f>CONCATENATE(I7)</f>
      </c>
    </row>
    <row r="7" spans="1:7" ht="15.75">
      <c r="A7" s="857" t="str">
        <f>CONCATENATE("   with respect to financing the ",inputPrYr!D5," annual budget for ",(inputPrYr!D2)," , ",(inputPrYr!D3)," , Kansas.")</f>
        <v>   with respect to financing the 2013 annual budget for Avon Township , Coffey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Avon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Avon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Avon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Avon Township of Coffey County, Kansas that is our desire to notify the public of increased property taxes to finance the 2013 Avon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Avon Township Board, Coffey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Avon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2">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Avon Township</v>
      </c>
      <c r="B1" s="90"/>
      <c r="C1" s="90"/>
      <c r="D1" s="90"/>
      <c r="E1" s="90">
        <f>inputPrYr!D5</f>
        <v>2013</v>
      </c>
    </row>
    <row r="2" spans="1:5" ht="15.75">
      <c r="A2" s="88" t="str">
        <f>inputPrYr!D3</f>
        <v>Coffey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3410896</v>
      </c>
    </row>
    <row r="8" spans="1:5" ht="15.75">
      <c r="A8" s="22" t="str">
        <f>CONCATENATE("New Improvements for ",E1-1,"")</f>
        <v>New Improvements for 2012</v>
      </c>
      <c r="B8" s="19"/>
      <c r="C8" s="19"/>
      <c r="D8" s="19"/>
      <c r="E8" s="283">
        <v>13272</v>
      </c>
    </row>
    <row r="9" spans="1:5" ht="15.75">
      <c r="A9" s="22" t="str">
        <f>CONCATENATE("Personal Property excluding oil, gas, and mobile homes - ",E1-1,"")</f>
        <v>Personal Property excluding oil, gas, and mobile homes - 2012</v>
      </c>
      <c r="B9" s="19"/>
      <c r="C9" s="19"/>
      <c r="D9" s="19"/>
      <c r="E9" s="283">
        <v>29106</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11562</v>
      </c>
    </row>
    <row r="12" spans="1:5" ht="15.75">
      <c r="A12" s="22" t="str">
        <f>CONCATENATE("Gross earnings (intangible) tax estimate for ",E1,"")</f>
        <v>Gross earnings (intangible) tax estimate for 2013</v>
      </c>
      <c r="B12" s="19"/>
      <c r="C12" s="19"/>
      <c r="D12" s="19"/>
      <c r="E12" s="283">
        <v>0</v>
      </c>
    </row>
    <row r="13" spans="1:5" ht="15.75">
      <c r="A13" s="22" t="str">
        <f>CONCATENATE("Neighborhood Revitalization - ",E1,"")</f>
        <v>Neighborhood Revitalization - 2013</v>
      </c>
      <c r="B13" s="19"/>
      <c r="C13" s="19"/>
      <c r="D13" s="19"/>
      <c r="E13" s="283">
        <v>0</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0.059</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Cemetery</v>
      </c>
      <c r="B21" s="267"/>
      <c r="C21" s="19"/>
      <c r="D21" s="289">
        <v>0.883</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0.942</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3227428</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183</v>
      </c>
    </row>
    <row r="33" spans="1:5" ht="15.75">
      <c r="A33" s="296" t="s">
        <v>277</v>
      </c>
      <c r="B33" s="267"/>
      <c r="C33" s="267"/>
      <c r="D33" s="31"/>
      <c r="E33" s="34">
        <v>7</v>
      </c>
    </row>
    <row r="34" spans="1:5" ht="15.75">
      <c r="A34" s="296" t="s">
        <v>160</v>
      </c>
      <c r="B34" s="267"/>
      <c r="C34" s="267"/>
      <c r="D34" s="31"/>
      <c r="E34" s="34">
        <v>23</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896</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Cemetery</v>
      </c>
      <c r="B50" s="36">
        <v>4031</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942</v>
      </c>
      <c r="C4" s="720"/>
      <c r="J4" s="721" t="s">
        <v>844</v>
      </c>
    </row>
    <row r="5" spans="1:10" ht="15.75">
      <c r="A5" s="478"/>
      <c r="B5" s="720"/>
      <c r="J5" s="721" t="s">
        <v>845</v>
      </c>
    </row>
    <row r="6" spans="1:10" ht="15.75">
      <c r="A6" s="478" t="s">
        <v>840</v>
      </c>
      <c r="B6" s="359" t="s">
        <v>943</v>
      </c>
      <c r="J6" s="721" t="s">
        <v>846</v>
      </c>
    </row>
    <row r="7" spans="1:10" ht="15.75">
      <c r="A7" s="356"/>
      <c r="B7" s="356"/>
      <c r="C7" s="356"/>
      <c r="D7" s="358"/>
      <c r="E7" s="356"/>
      <c r="F7" s="356"/>
      <c r="J7" s="721" t="s">
        <v>847</v>
      </c>
    </row>
    <row r="8" spans="1:10" ht="15.75">
      <c r="A8" s="357" t="s">
        <v>373</v>
      </c>
      <c r="B8" s="359" t="s">
        <v>944</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September 1, 2012</v>
      </c>
      <c r="E9" s="356"/>
      <c r="F9" s="356"/>
      <c r="J9" s="721" t="s">
        <v>849</v>
      </c>
    </row>
    <row r="10" spans="1:10" ht="15.75">
      <c r="A10" s="357" t="s">
        <v>374</v>
      </c>
      <c r="B10" s="359" t="s">
        <v>945</v>
      </c>
      <c r="C10" s="363"/>
      <c r="D10" s="357"/>
      <c r="E10" s="356"/>
      <c r="F10" s="356"/>
      <c r="J10" s="721" t="s">
        <v>850</v>
      </c>
    </row>
    <row r="11" spans="1:10" ht="15.75">
      <c r="A11" s="357"/>
      <c r="B11" s="357"/>
      <c r="C11" s="357"/>
      <c r="D11" s="357"/>
      <c r="E11" s="356"/>
      <c r="F11" s="356"/>
      <c r="J11" s="721" t="s">
        <v>851</v>
      </c>
    </row>
    <row r="12" spans="1:10" ht="15.75">
      <c r="A12" s="357" t="s">
        <v>375</v>
      </c>
      <c r="B12" s="364" t="s">
        <v>946</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946</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September</v>
      </c>
    </row>
    <row r="20" spans="1:7" ht="15.75">
      <c r="A20" s="357" t="s">
        <v>373</v>
      </c>
      <c r="B20" s="361" t="s">
        <v>378</v>
      </c>
      <c r="C20" s="357"/>
      <c r="D20" s="357"/>
      <c r="E20" s="357"/>
      <c r="G20" s="722" t="str">
        <f>IF(B8="","",CONCATENATE("J",G22))</f>
        <v>J9</v>
      </c>
    </row>
    <row r="21" spans="1:7" ht="15.75">
      <c r="A21" s="357"/>
      <c r="B21" s="357"/>
      <c r="C21" s="357"/>
      <c r="D21" s="357"/>
      <c r="E21" s="357"/>
      <c r="G21" s="723">
        <f>B8-10</f>
        <v>41153</v>
      </c>
    </row>
    <row r="22" spans="1:7" ht="15.75">
      <c r="A22" s="357" t="s">
        <v>374</v>
      </c>
      <c r="B22" s="357" t="s">
        <v>379</v>
      </c>
      <c r="C22" s="357"/>
      <c r="D22" s="357"/>
      <c r="E22" s="357"/>
      <c r="G22" s="724">
        <f>IF(B8="","",MONTH(G21))</f>
        <v>9</v>
      </c>
    </row>
    <row r="23" spans="1:7" ht="15.75">
      <c r="A23" s="357"/>
      <c r="B23" s="357"/>
      <c r="C23" s="357"/>
      <c r="D23" s="357"/>
      <c r="E23" s="357"/>
      <c r="G23" s="725">
        <f>IF(B8="","",DAY(G21))</f>
        <v>1</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7">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80" t="s">
        <v>70</v>
      </c>
      <c r="C1" s="780"/>
      <c r="D1" s="780"/>
      <c r="E1" s="780"/>
      <c r="F1" s="780"/>
      <c r="G1" s="780"/>
      <c r="H1" s="14">
        <f>inputPrYr!D5</f>
        <v>2013</v>
      </c>
    </row>
    <row r="2" spans="3:7" s="14" customFormat="1" ht="15.75">
      <c r="C2" s="145"/>
      <c r="D2" s="145"/>
      <c r="E2" s="145"/>
      <c r="F2" s="145"/>
      <c r="G2" s="62"/>
    </row>
    <row r="3" spans="2:8" s="14" customFormat="1" ht="15.75">
      <c r="B3" s="768" t="str">
        <f>CONCATENATE("To the Clerk of ",inputPrYr!D3,", State of Kansas")</f>
        <v>To the Clerk of Coffey County, State of Kansas</v>
      </c>
      <c r="C3" s="769"/>
      <c r="D3" s="769"/>
      <c r="E3" s="769"/>
      <c r="F3" s="769"/>
      <c r="G3" s="769"/>
      <c r="H3" s="769"/>
    </row>
    <row r="4" spans="2:7" s="14" customFormat="1" ht="15.75">
      <c r="B4" s="768" t="s">
        <v>152</v>
      </c>
      <c r="C4" s="776"/>
      <c r="D4" s="776"/>
      <c r="E4" s="776"/>
      <c r="F4" s="776"/>
      <c r="G4" s="776"/>
    </row>
    <row r="5" spans="2:7" s="14" customFormat="1" ht="15.75">
      <c r="B5" s="777" t="str">
        <f>inputPrYr!D2</f>
        <v>Avon Township</v>
      </c>
      <c r="C5" s="776"/>
      <c r="D5" s="776"/>
      <c r="E5" s="776"/>
      <c r="F5" s="776"/>
      <c r="G5" s="776"/>
    </row>
    <row r="6" spans="2:7" s="14" customFormat="1" ht="15.75">
      <c r="B6" s="787" t="s">
        <v>150</v>
      </c>
      <c r="C6" s="769"/>
      <c r="D6" s="769"/>
      <c r="E6" s="769"/>
      <c r="F6" s="769"/>
      <c r="G6" s="769"/>
    </row>
    <row r="7" spans="2:7" s="14" customFormat="1" ht="15.75" customHeight="1">
      <c r="B7" s="768" t="s">
        <v>151</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75">
      <c r="B12" s="22"/>
      <c r="D12" s="66"/>
      <c r="E12" s="255" t="s">
        <v>278</v>
      </c>
      <c r="F12" s="781" t="str">
        <f>CONCATENATE("Amount of ",H1-1," Ad Valorem Tax")</f>
        <v>Amount of 2012 Ad Valorem Tax</v>
      </c>
      <c r="G12" s="23" t="s">
        <v>279</v>
      </c>
    </row>
    <row r="13" spans="4:7" s="14" customFormat="1" ht="15.75">
      <c r="D13" s="23" t="s">
        <v>280</v>
      </c>
      <c r="E13" s="528" t="s">
        <v>209</v>
      </c>
      <c r="F13" s="782"/>
      <c r="G13" s="156" t="s">
        <v>281</v>
      </c>
    </row>
    <row r="14" spans="2:7" s="14" customFormat="1" ht="15.75">
      <c r="B14" s="71" t="s">
        <v>282</v>
      </c>
      <c r="C14" s="20"/>
      <c r="D14" s="26" t="s">
        <v>283</v>
      </c>
      <c r="E14" s="529" t="s">
        <v>720</v>
      </c>
      <c r="F14" s="78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934</v>
      </c>
      <c r="F21" s="732">
        <f>IF(gen!$E$57&lt;&gt;0,gen!$E$57,0)</f>
        <v>160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Cemetery</v>
      </c>
      <c r="C25" s="260" t="str">
        <f>IF(inputPrYr!C20&gt;0,inputPrYr!C20,"  ")</f>
        <v>  </v>
      </c>
      <c r="D25" s="261" t="str">
        <f>IF(levypage9!C81&gt;0,levypage9!C81,"  ")</f>
        <v>  </v>
      </c>
      <c r="E25" s="732">
        <f>IF(levypage9!$E$33&lt;&gt;0,levypage9!$E$33,"  ")</f>
        <v>4141</v>
      </c>
      <c r="F25" s="732">
        <f>IF(levypage9!$E$40&lt;&gt;0,levypage9!$E$40,"  ")</f>
        <v>2900</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t="str">
        <f>IF(road!C67&gt;0,road!C67,"  ")</f>
        <v>  </v>
      </c>
      <c r="E34" s="236"/>
      <c r="F34" s="236"/>
      <c r="G34" s="733"/>
    </row>
    <row r="35" spans="2:7" s="14" customFormat="1" ht="16.5" thickBot="1">
      <c r="B35" s="266" t="s">
        <v>289</v>
      </c>
      <c r="C35" s="267"/>
      <c r="D35" s="159" t="s">
        <v>290</v>
      </c>
      <c r="E35" s="734">
        <f>SUM(E21:E30)</f>
        <v>5075</v>
      </c>
      <c r="F35" s="734">
        <f>SUM(F21:F30)</f>
        <v>3060</v>
      </c>
      <c r="G35" s="735">
        <f>IF(SUM(G21:G30)&gt;0,SUM(G21:G30),"")</f>
      </c>
    </row>
    <row r="36" spans="2:4" s="14" customFormat="1" ht="16.5" thickTop="1">
      <c r="B36" s="27" t="s">
        <v>168</v>
      </c>
      <c r="C36" s="259"/>
      <c r="D36" s="264">
        <f>summ!D49</f>
        <v>0</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0" t="s">
        <v>124</v>
      </c>
      <c r="D39" s="771"/>
      <c r="E39" s="272"/>
      <c r="G39" s="22" t="s">
        <v>291</v>
      </c>
    </row>
    <row r="40" spans="2:7" s="14" customFormat="1" ht="15.75">
      <c r="B40" s="27" t="s">
        <v>98</v>
      </c>
      <c r="C40" s="772"/>
      <c r="D40" s="773"/>
      <c r="E40" s="273"/>
      <c r="G40" s="22"/>
    </row>
    <row r="41" spans="2:7" s="14" customFormat="1" ht="15.75">
      <c r="B41" s="274"/>
      <c r="C41" s="774" t="str">
        <f>CONCATENATE("Nov. 1, ",H1-1," Valuation")</f>
        <v>Nov. 1, 2012 Valuation</v>
      </c>
      <c r="D41" s="775"/>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8" t="s">
        <v>293</v>
      </c>
      <c r="F54" s="779"/>
      <c r="G54" s="77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Avon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80"/>
      <c r="C3" s="780"/>
      <c r="D3" s="780"/>
      <c r="E3" s="780"/>
      <c r="F3" s="780"/>
      <c r="G3" s="780"/>
      <c r="H3" s="780"/>
      <c r="I3" s="780"/>
      <c r="J3" s="780"/>
    </row>
    <row r="4" spans="1:10" ht="15.75">
      <c r="A4" s="14"/>
      <c r="B4" s="14"/>
      <c r="C4" s="14"/>
      <c r="D4" s="14"/>
      <c r="E4" s="780"/>
      <c r="F4" s="780"/>
      <c r="G4" s="78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3039</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3039</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13272</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29106</v>
      </c>
      <c r="F14" s="246"/>
      <c r="G14" s="55"/>
      <c r="H14" s="55"/>
      <c r="I14" s="53"/>
      <c r="J14" s="55"/>
    </row>
    <row r="15" spans="1:10" ht="15.75">
      <c r="A15" s="245"/>
      <c r="B15" s="14" t="s">
        <v>87</v>
      </c>
      <c r="C15" s="14" t="str">
        <f>CONCATENATE("Personal Property ",J1-2,"")</f>
        <v>Personal Property 2011</v>
      </c>
      <c r="D15" s="245" t="s">
        <v>82</v>
      </c>
      <c r="E15" s="249">
        <f>inputOth!E11</f>
        <v>11562</v>
      </c>
      <c r="F15" s="246"/>
      <c r="G15" s="53"/>
      <c r="H15" s="53"/>
      <c r="I15" s="55"/>
      <c r="J15" s="55"/>
    </row>
    <row r="16" spans="1:10" ht="15.75">
      <c r="A16" s="245"/>
      <c r="B16" s="14" t="s">
        <v>88</v>
      </c>
      <c r="C16" s="14" t="s">
        <v>108</v>
      </c>
      <c r="D16" s="14"/>
      <c r="E16" s="55"/>
      <c r="F16" s="55" t="s">
        <v>15</v>
      </c>
      <c r="G16" s="247">
        <f>IF(E14&gt;E15,E14-E15,0)</f>
        <v>17544</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0</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30816</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3410896</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3380080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0.009116943977657334</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28</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3067</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3067</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Avon Township</v>
      </c>
      <c r="C1" s="14"/>
      <c r="D1" s="14"/>
      <c r="E1" s="14"/>
      <c r="F1" s="14"/>
      <c r="G1" s="14"/>
      <c r="H1" s="14"/>
      <c r="I1" s="14"/>
      <c r="J1" s="15">
        <f>inputPrYr!D5</f>
        <v>2013</v>
      </c>
      <c r="K1" s="15"/>
      <c r="L1" s="90"/>
    </row>
    <row r="2" spans="2:12" ht="15.75">
      <c r="B2" s="13" t="str">
        <f>inputPrYr!D3</f>
        <v>Coffey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190</v>
      </c>
      <c r="E11" s="131">
        <f>IF(inputOth!D17&gt;0,inputOth!D17,"  ")</f>
        <v>0.059</v>
      </c>
      <c r="F11" s="727"/>
      <c r="G11" s="161">
        <f>IF(inputPrYr!E16=0,0,G23-SUM(G12:G20))</f>
        <v>11</v>
      </c>
      <c r="H11" s="728"/>
      <c r="I11" s="161">
        <f>IF(inputPrYr!E16=0,0,I25-SUM(I12:I20))</f>
        <v>0</v>
      </c>
      <c r="J11" s="161">
        <f>IF(inputPrYr!E16=0,0,J27-SUM(J12:J20))</f>
        <v>1</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Cemetery</v>
      </c>
      <c r="C15" s="234"/>
      <c r="D15" s="161">
        <f>IF(inputPrYr!E20&gt;=0,inputPrYr!E20,"  ")</f>
        <v>2849</v>
      </c>
      <c r="E15" s="131">
        <f>IF(inputOth!D21&gt;0,inputOth!D21,"  ")</f>
        <v>0.883</v>
      </c>
      <c r="F15" s="727"/>
      <c r="G15" s="161">
        <f>IF(inputPrYr!E20=0,0,ROUND(D15*$G$30,0))</f>
        <v>172</v>
      </c>
      <c r="H15" s="728"/>
      <c r="I15" s="161">
        <f>IF(inputPrYr!$E$20=0,0,ROUND($D$15*$I$32,0))</f>
        <v>7</v>
      </c>
      <c r="J15" s="161">
        <f>IF(inputPrYr!E20=0,0,ROUND($D15*$J$34,0))</f>
        <v>22</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3039</v>
      </c>
      <c r="E21" s="730">
        <f>SUM(E11:E20)</f>
        <v>0.942</v>
      </c>
      <c r="F21" s="731"/>
      <c r="G21" s="729">
        <f>SUM(G11:G20)</f>
        <v>183</v>
      </c>
      <c r="H21" s="729"/>
      <c r="I21" s="729">
        <f>SUM(I11:I20)</f>
        <v>7</v>
      </c>
      <c r="J21" s="729">
        <f>SUM(J11:J20)</f>
        <v>23</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183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0.060217176702862786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0.002303389272787101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0.007568279039157618</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Avon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80" t="s">
        <v>169</v>
      </c>
      <c r="B5" s="780"/>
      <c r="C5" s="780"/>
      <c r="D5" s="780"/>
      <c r="E5" s="780"/>
      <c r="F5" s="78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2012-08-28T16:03:05Z</cp:lastPrinted>
  <dcterms:created xsi:type="dcterms:W3CDTF">1998-08-26T16:30:41Z</dcterms:created>
  <dcterms:modified xsi:type="dcterms:W3CDTF">2013-01-22T16:48:37Z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