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767"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blank1" sheetId="13" r:id="rId13"/>
    <sheet name="road" sheetId="14" r:id="rId14"/>
    <sheet name="blank" sheetId="15" r:id="rId15"/>
    <sheet name="Fire-Cemerty" sheetId="16" r:id="rId16"/>
    <sheet name="nonbud"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levypage11" sheetId="28" r:id="rId28"/>
    <sheet name="levypage12" sheetId="29" r:id="rId29"/>
    <sheet name="nolevypage13" sheetId="30" r:id="rId30"/>
    <sheet name="nolevypage14" sheetId="31" r:id="rId31"/>
    <sheet name="Helpful Links" sheetId="32" r:id="rId32"/>
    <sheet name="legend" sheetId="33" r:id="rId33"/>
  </sheets>
  <externalReferences>
    <externalReference r:id="rId36"/>
  </externalReferences>
  <definedNames>
    <definedName name="_xlnm.Print_Area" localSheetId="14">'blank'!$A$1:$E$88</definedName>
    <definedName name="_xlnm.Print_Area" localSheetId="12">'blank1'!$B$1:$E$73</definedName>
    <definedName name="_xlnm.Print_Area" localSheetId="15">'Fire-Cemerty'!$A$1:$E$82</definedName>
    <definedName name="_xlnm.Print_Area" localSheetId="11">'gen'!$B$1:$E$52</definedName>
    <definedName name="_xlnm.Print_Area" localSheetId="1">'inputPrYr'!$A$1:$E$93</definedName>
    <definedName name="_xlnm.Print_Area" localSheetId="27">'levypage11'!$A$1:$E$90</definedName>
    <definedName name="_xlnm.Print_Area" localSheetId="28">'levypage12'!$A$1:$E$90</definedName>
    <definedName name="_xlnm.Print_Area" localSheetId="10">'Library Grant'!$A$1:$J$40</definedName>
    <definedName name="_xlnm.Print_Area" localSheetId="13">'road'!$B$1:$E$69</definedName>
    <definedName name="_xlnm.Print_Area" localSheetId="18">'summ'!$A$2:$H$35</definedName>
  </definedNames>
  <calcPr fullCalcOnLoad="1"/>
</workbook>
</file>

<file path=xl/sharedStrings.xml><?xml version="1.0" encoding="utf-8"?>
<sst xmlns="http://schemas.openxmlformats.org/spreadsheetml/2006/main" count="1689" uniqueCount="966">
  <si>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</si>
  <si>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</si>
  <si>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</si>
  <si>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</si>
  <si>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</si>
  <si>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</si>
  <si>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</si>
  <si>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</si>
  <si>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</si>
  <si>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</si>
  <si>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</si>
  <si>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</si>
  <si>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</si>
  <si>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</si>
  <si>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</si>
  <si>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</si>
  <si>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</si>
  <si>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</si>
  <si>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</si>
  <si>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</si>
  <si>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</si>
  <si>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</si>
  <si>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</si>
  <si>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</si>
  <si>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</si>
  <si>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</si>
  <si>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</si>
  <si>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</si>
  <si>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</si>
  <si>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</si>
  <si>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</si>
  <si>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</si>
  <si>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</si>
  <si>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</si>
  <si>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</si>
  <si>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</si>
  <si>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</si>
  <si>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</si>
  <si>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</si>
  <si>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</si>
  <si>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</si>
  <si>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</si>
  <si>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</si>
  <si>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</si>
  <si>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</si>
  <si>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</si>
  <si>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</si>
  <si>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</si>
  <si>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</si>
  <si>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</si>
  <si>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</si>
  <si>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</si>
  <si>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</si>
  <si>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</si>
  <si>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</si>
  <si>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</si>
  <si>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</si>
  <si>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</si>
  <si>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</si>
  <si>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</si>
  <si>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</si>
  <si>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</si>
  <si>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</si>
  <si>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</si>
  <si>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</si>
  <si>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</si>
  <si>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</si>
  <si>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</si>
  <si>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</si>
  <si>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</si>
  <si>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</si>
  <si>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</si>
  <si>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</si>
  <si>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</si>
  <si>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</si>
  <si>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</si>
  <si>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</si>
  <si>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</si>
  <si>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</si>
  <si>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</si>
  <si>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</si>
  <si>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</si>
  <si>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</si>
  <si>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</si>
  <si>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</si>
  <si>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</si>
  <si>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</si>
  <si>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</si>
  <si>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</si>
  <si>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</si>
  <si>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</si>
  <si>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</si>
  <si>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</si>
  <si>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</si>
  <si>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</si>
  <si>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</si>
  <si>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</si>
  <si>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</si>
  <si>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</si>
  <si>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</si>
  <si>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</si>
  <si>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</si>
  <si>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</si>
  <si>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</si>
  <si>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</si>
  <si>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</si>
  <si>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</si>
  <si>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</si>
  <si>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</si>
  <si>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</si>
  <si>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</si>
  <si>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</si>
  <si>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</si>
  <si>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</si>
  <si>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</si>
  <si>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</si>
  <si>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</si>
  <si>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</si>
  <si>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</si>
  <si>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</si>
  <si>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</si>
  <si>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</si>
  <si>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</si>
  <si>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</si>
  <si>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</si>
  <si>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</si>
  <si>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</si>
  <si>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</si>
  <si>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</si>
  <si>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</si>
  <si>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</si>
  <si>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</si>
  <si>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</si>
  <si>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</si>
  <si>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</si>
  <si>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</si>
  <si>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</si>
  <si>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</si>
  <si>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</si>
  <si>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</si>
  <si>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</si>
  <si>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</si>
  <si>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</si>
  <si>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</si>
  <si>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</si>
  <si>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</si>
  <si>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</si>
  <si>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</si>
  <si>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</si>
  <si>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</si>
  <si>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</si>
  <si>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</si>
  <si>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</si>
  <si>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</si>
  <si>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</si>
  <si>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</si>
  <si>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</si>
  <si>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</si>
  <si>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</si>
  <si>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</si>
  <si>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</si>
  <si>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</si>
  <si>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</si>
  <si>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</si>
  <si>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</si>
  <si>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</si>
  <si>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</si>
  <si>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</si>
  <si>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</si>
  <si>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</si>
  <si>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</si>
  <si>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</si>
  <si>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</si>
  <si>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</si>
  <si>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</si>
  <si>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</si>
  <si>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</si>
  <si>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</si>
  <si>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</si>
  <si>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</si>
  <si>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</si>
  <si>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</si>
  <si>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</si>
  <si>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</si>
  <si>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</si>
  <si>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</si>
  <si>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</si>
  <si>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</si>
  <si>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</si>
  <si>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</si>
  <si>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</si>
  <si>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</si>
  <si>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</si>
  <si>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</si>
  <si>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</si>
  <si>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</si>
  <si>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</si>
  <si>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</si>
  <si>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</si>
  <si>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</si>
  <si>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</si>
  <si>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</si>
  <si>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</si>
  <si>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</si>
  <si>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</si>
  <si>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</si>
  <si>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</si>
  <si>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</si>
  <si>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</si>
  <si>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</si>
  <si>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</si>
  <si>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</si>
  <si>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</si>
  <si>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</si>
  <si>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</si>
  <si>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</si>
  <si>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</si>
  <si>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</si>
  <si>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</si>
  <si>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</si>
  <si>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</si>
  <si>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</si>
  <si>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</si>
  <si>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</si>
  <si>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</si>
  <si>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</si>
  <si>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</si>
  <si>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</si>
  <si>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</si>
  <si>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</si>
  <si>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</si>
  <si>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</si>
  <si>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</si>
  <si>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</si>
  <si>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</si>
  <si>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</si>
  <si>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</si>
  <si>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</si>
  <si>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</si>
  <si>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</si>
  <si>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</si>
  <si>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</si>
  <si>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</si>
  <si>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</si>
  <si>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</si>
  <si>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</si>
  <si>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</si>
  <si>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</si>
  <si>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</si>
  <si>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</si>
  <si>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</si>
  <si>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</si>
  <si>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</si>
  <si>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</si>
  <si>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</si>
  <si>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</si>
  <si>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</si>
  <si>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</si>
  <si>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</si>
  <si>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</si>
  <si>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</si>
  <si>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</si>
  <si>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</si>
  <si>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</si>
  <si>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</si>
  <si>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</si>
  <si>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</si>
  <si>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</si>
  <si>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</si>
  <si>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</si>
  <si>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</si>
  <si>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</si>
  <si>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</si>
  <si>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</si>
  <si>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</si>
  <si>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</si>
  <si>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</si>
  <si>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</si>
  <si>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</si>
  <si>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</si>
  <si>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</si>
  <si>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</si>
  <si>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</si>
  <si>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</si>
  <si>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</si>
  <si>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</si>
  <si>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</si>
  <si>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</si>
  <si>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</si>
  <si>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</si>
  <si>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</si>
  <si>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</si>
  <si>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</si>
  <si>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</si>
  <si>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</si>
  <si>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</si>
  <si>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</si>
  <si>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</si>
  <si>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</si>
  <si>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</si>
  <si>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</si>
  <si>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</si>
  <si>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</si>
  <si>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</si>
  <si>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</si>
  <si>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</si>
  <si>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</si>
  <si>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</si>
  <si>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</si>
  <si>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</si>
  <si>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</si>
  <si>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</si>
  <si>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</si>
  <si>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</si>
  <si>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</si>
  <si>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</si>
  <si>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</si>
  <si>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</si>
  <si>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</si>
  <si>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</si>
  <si>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</si>
  <si>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</si>
  <si>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</si>
  <si>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</si>
  <si>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</si>
  <si>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</si>
  <si>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</si>
  <si>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</si>
  <si>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</si>
  <si>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</si>
  <si>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</si>
  <si>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</si>
  <si>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</si>
  <si>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</si>
  <si>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</si>
  <si>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</si>
  <si>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</si>
  <si>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</si>
  <si>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</si>
  <si>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</si>
  <si>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</si>
  <si>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</si>
  <si>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</si>
  <si>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</si>
  <si>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</si>
  <si>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</si>
  <si>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</si>
  <si>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</si>
  <si>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</si>
  <si>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</si>
  <si>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</si>
  <si>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</si>
  <si>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</si>
  <si>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</si>
  <si>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</si>
  <si>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</si>
  <si>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</si>
  <si>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</si>
  <si>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</si>
  <si>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</si>
  <si>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</si>
  <si>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</si>
  <si>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</si>
  <si>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</si>
  <si>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</si>
  <si>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</si>
  <si>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</si>
  <si>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</si>
  <si>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</si>
  <si>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</si>
  <si>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</si>
  <si>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</si>
  <si>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</si>
  <si>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</si>
  <si>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</si>
  <si>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</si>
  <si>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</si>
  <si>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</si>
  <si>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</si>
  <si>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</si>
  <si>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</si>
  <si>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</si>
  <si>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</si>
  <si>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</si>
  <si>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</si>
  <si>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</si>
  <si>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</si>
  <si>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</si>
  <si>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</si>
  <si>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</si>
  <si>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</si>
  <si>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</si>
  <si>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</si>
  <si>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</si>
  <si>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</si>
  <si>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</si>
  <si>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</si>
  <si>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</si>
  <si>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</si>
  <si>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</si>
  <si>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</si>
  <si>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</si>
  <si>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</si>
  <si>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</si>
  <si>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</si>
  <si>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</si>
  <si>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</si>
  <si>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</si>
  <si>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</si>
  <si>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</si>
  <si>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</si>
  <si>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</si>
  <si>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</si>
  <si>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</si>
  <si>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</si>
  <si>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</si>
  <si>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</si>
  <si>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</si>
  <si>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</si>
  <si>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</si>
  <si>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</si>
  <si>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</si>
  <si>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</si>
  <si>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</si>
  <si>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</si>
  <si>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</si>
  <si>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</si>
  <si>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</si>
  <si>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</si>
  <si>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</si>
  <si>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</si>
  <si>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</si>
  <si>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</si>
  <si>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</si>
  <si>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</si>
  <si>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</si>
  <si>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</si>
  <si>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</si>
  <si>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</si>
  <si>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</si>
  <si>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</si>
  <si>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</si>
  <si>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</si>
  <si>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</si>
  <si>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</si>
  <si>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</si>
  <si>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</si>
  <si>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</si>
  <si>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</si>
  <si>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</si>
  <si>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</si>
  <si>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</si>
  <si>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</si>
  <si>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</si>
  <si>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</si>
  <si>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</si>
  <si>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</si>
  <si>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</si>
  <si>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</si>
  <si>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</si>
  <si>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</si>
  <si>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</si>
  <si>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</si>
  <si>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</si>
  <si>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</si>
  <si>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</si>
  <si>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</si>
  <si>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</si>
  <si>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</si>
  <si>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</si>
  <si>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</si>
  <si>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</si>
  <si>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</si>
  <si>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</si>
  <si>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</si>
  <si>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</si>
  <si>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</si>
  <si>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</si>
  <si>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</si>
  <si>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</si>
  <si>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</si>
  <si>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</si>
  <si>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</si>
  <si>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</si>
  <si>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</si>
  <si>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</si>
  <si>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</si>
  <si>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</si>
  <si>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</si>
  <si>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</si>
  <si>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</si>
  <si>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</si>
  <si>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</si>
  <si>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</si>
  <si>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</si>
  <si>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</si>
  <si>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</si>
  <si>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</si>
  <si>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</si>
  <si>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</si>
  <si>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</si>
  <si>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</si>
  <si>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</si>
  <si>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</si>
  <si>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</si>
  <si>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</si>
  <si>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</si>
  <si>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</si>
  <si>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</si>
  <si>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</si>
  <si>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</si>
  <si>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</si>
  <si>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</si>
  <si>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</si>
  <si>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</si>
  <si>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</si>
  <si>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</si>
  <si>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</si>
  <si>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</si>
  <si>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</si>
  <si>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</si>
  <si>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</si>
  <si>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</si>
  <si>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</si>
  <si>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</si>
  <si>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</si>
  <si>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</si>
  <si>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</si>
  <si>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</si>
  <si>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</si>
  <si>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</si>
  <si>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</si>
  <si>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</si>
  <si>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</si>
  <si>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</si>
  <si>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</si>
  <si>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</si>
  <si>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</si>
  <si>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</si>
  <si>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</si>
  <si>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</si>
  <si>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</si>
  <si>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</si>
  <si>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</si>
  <si>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</si>
  <si>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</si>
  <si>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</si>
  <si>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</si>
  <si>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</si>
  <si>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</si>
  <si>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</si>
  <si>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</si>
  <si>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</si>
  <si>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</si>
  <si>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</si>
  <si>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</si>
  <si>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</si>
  <si>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</si>
  <si>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</si>
  <si>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</si>
  <si>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</si>
  <si>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</si>
  <si>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</si>
  <si>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</si>
  <si>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</si>
  <si>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</si>
  <si>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</si>
  <si>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</si>
  <si>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</si>
  <si>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</si>
  <si>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</si>
  <si>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</si>
  <si>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</si>
  <si>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</si>
  <si>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</si>
  <si>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</si>
  <si>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</si>
  <si>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</si>
  <si>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</si>
  <si>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</si>
  <si>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</si>
  <si>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</si>
  <si>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</si>
  <si>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</si>
  <si>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</si>
  <si>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</si>
  <si>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</si>
  <si>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</si>
  <si>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</si>
  <si>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</si>
  <si>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</si>
  <si>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</si>
  <si>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</si>
  <si>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</si>
  <si>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</si>
  <si>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</si>
  <si>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</si>
  <si>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</si>
  <si>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</si>
  <si>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</si>
  <si>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</si>
  <si>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</si>
  <si>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</si>
  <si>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</si>
  <si>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</si>
  <si>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</si>
  <si>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</si>
  <si>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</si>
  <si>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</si>
  <si>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</si>
  <si>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</si>
  <si>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</si>
  <si>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</si>
  <si>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</si>
  <si>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</si>
  <si>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</si>
  <si>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</si>
  <si>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</si>
  <si>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</si>
  <si>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</si>
  <si>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</si>
  <si>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</si>
  <si>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</si>
  <si>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</si>
  <si>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</si>
  <si>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</si>
  <si>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</si>
  <si>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</si>
  <si>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</si>
  <si>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</si>
  <si>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</si>
  <si>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</si>
  <si>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</si>
  <si>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</si>
  <si>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</si>
  <si>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</si>
  <si>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</si>
  <si>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</si>
  <si>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</si>
  <si>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</si>
  <si>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</si>
  <si>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</si>
  <si>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</si>
  <si>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</si>
  <si>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</si>
  <si>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</si>
  <si>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</si>
  <si>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</si>
  <si>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</si>
  <si>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</si>
  <si>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</si>
  <si>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</si>
  <si>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</si>
  <si>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</si>
  <si>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</si>
  <si>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</si>
  <si>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</si>
  <si>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</si>
  <si>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</si>
  <si>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</si>
  <si>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</si>
  <si>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</si>
  <si>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</si>
  <si>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</si>
  <si>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</si>
  <si>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</si>
  <si>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</si>
  <si>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</si>
  <si>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</si>
  <si>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</si>
  <si>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</si>
  <si>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</si>
  <si>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</si>
  <si>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</si>
  <si>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</si>
  <si>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</si>
  <si>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</si>
  <si>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</si>
  <si>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</si>
  <si>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</si>
  <si>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</si>
  <si>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</si>
  <si>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</si>
  <si>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</si>
  <si>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</si>
  <si>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</si>
  <si>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</si>
  <si>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</si>
  <si>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</si>
  <si>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</si>
  <si>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</si>
  <si>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</si>
  <si>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</si>
  <si>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</si>
  <si>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</si>
  <si>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</si>
  <si>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</si>
  <si>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</si>
  <si>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</si>
  <si>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</si>
  <si>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</si>
  <si>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</si>
  <si>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</si>
  <si>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</si>
  <si>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</si>
  <si>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</si>
  <si>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</si>
  <si>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</si>
  <si>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</si>
  <si>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</si>
  <si>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</si>
  <si>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</si>
  <si>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</si>
  <si>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</si>
  <si>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</si>
  <si>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</si>
  <si>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</si>
  <si>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</si>
  <si>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</si>
  <si>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</si>
  <si>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</si>
  <si>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</si>
  <si>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</si>
  <si>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</si>
  <si>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</si>
  <si>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</si>
  <si>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</si>
  <si>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</si>
  <si>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</si>
  <si>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</si>
  <si>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</si>
  <si>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</si>
  <si>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</si>
  <si>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</si>
  <si>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</si>
  <si>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</si>
  <si>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</si>
  <si>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</si>
  <si>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</si>
  <si>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</si>
  <si>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</si>
  <si>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</si>
  <si>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</si>
  <si>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</si>
  <si>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</si>
  <si>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</si>
  <si>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</si>
  <si>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</si>
  <si>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</si>
  <si>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</si>
  <si>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</si>
  <si>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</si>
  <si>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</si>
  <si>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</si>
  <si>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</si>
  <si>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</si>
  <si>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</si>
  <si>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</si>
  <si>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</si>
  <si>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</si>
  <si>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</si>
  <si>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</si>
  <si>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</si>
  <si>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</si>
  <si>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</si>
  <si>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</si>
  <si>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</si>
  <si>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</si>
  <si>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</si>
  <si>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</si>
  <si>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</si>
  <si>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</si>
  <si>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</si>
  <si>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</si>
  <si>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</si>
  <si>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</si>
  <si>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</si>
  <si>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</si>
  <si>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</si>
  <si>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</si>
  <si>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</si>
  <si>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</si>
  <si>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</si>
  <si>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</si>
  <si>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</si>
  <si>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</si>
  <si>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</si>
  <si>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</si>
  <si>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</si>
  <si>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</si>
  <si>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</si>
  <si>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</si>
  <si>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</si>
  <si>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</si>
  <si>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</si>
  <si>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</si>
  <si>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</si>
  <si>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</si>
  <si>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</si>
  <si>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</si>
  <si>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</si>
  <si>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</si>
  <si>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</si>
  <si>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</si>
  <si>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</si>
  <si>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</si>
  <si>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</si>
  <si>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</si>
  <si>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</si>
  <si>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</si>
  <si>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</si>
  <si>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</si>
  <si>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</si>
  <si>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</si>
  <si>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</si>
  <si>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</si>
  <si>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</si>
  <si>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</si>
  <si>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</si>
  <si>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</si>
  <si>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</si>
  <si>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</si>
  <si>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</si>
  <si>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</si>
  <si>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</si>
  <si>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</si>
  <si>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</si>
  <si>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</si>
  <si>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</si>
  <si>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</si>
  <si>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</si>
  <si>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</si>
  <si>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</si>
  <si>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</si>
  <si>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</si>
  <si>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</si>
  <si>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</si>
  <si>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</si>
  <si>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</si>
  <si>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</si>
  <si>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</si>
  <si>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</si>
  <si>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</si>
  <si>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</si>
  <si>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</si>
  <si>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</si>
  <si>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</si>
  <si>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</si>
  <si>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</si>
  <si>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</si>
  <si>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</si>
  <si>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</si>
  <si>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</si>
  <si>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</si>
  <si>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</si>
  <si>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</si>
  <si>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</si>
  <si>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</si>
  <si>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</si>
  <si>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</si>
  <si>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</si>
  <si>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</si>
  <si>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</si>
  <si>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</si>
  <si>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</si>
  <si>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</si>
  <si>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</si>
  <si>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</si>
  <si>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</si>
  <si>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</si>
  <si>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</si>
  <si>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</si>
  <si>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</si>
  <si>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</si>
  <si>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</si>
  <si>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</si>
  <si>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</si>
  <si>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</si>
  <si>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</si>
  <si>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</si>
  <si>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</si>
  <si>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</si>
  <si>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</si>
  <si>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</si>
  <si>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</si>
  <si>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</si>
  <si>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</si>
  <si>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</si>
  <si>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</si>
  <si>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</si>
  <si>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</si>
  <si>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</si>
  <si>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</si>
  <si>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</si>
  <si>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</si>
  <si>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</si>
  <si>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</si>
  <si>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</si>
  <si>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</si>
  <si>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</si>
  <si>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</si>
  <si>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</si>
  <si>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</si>
  <si>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</si>
  <si>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</si>
  <si>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</si>
  <si>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</si>
  <si>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</si>
  <si>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</si>
  <si>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</si>
  <si>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</si>
  <si>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</si>
  <si>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</si>
  <si>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</si>
  <si>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</si>
  <si>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</si>
  <si>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</si>
  <si>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</si>
  <si>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</si>
  <si>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</si>
  <si>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</si>
  <si>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</si>
  <si>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</si>
  <si>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</si>
  <si>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</si>
  <si>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</si>
  <si>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</si>
  <si>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</si>
  <si>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</si>
  <si>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</si>
  <si>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</si>
  <si>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</si>
  <si>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</si>
  <si>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</si>
  <si>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</si>
  <si>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</si>
  <si>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</si>
  <si>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</si>
  <si>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</si>
  <si>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</si>
  <si>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Cemetery</t>
  </si>
  <si>
    <t>Sales</t>
  </si>
  <si>
    <t>Equipment Repairs</t>
  </si>
  <si>
    <t>Fuel</t>
  </si>
  <si>
    <t>Budget &amp; Publications</t>
  </si>
  <si>
    <t>None</t>
  </si>
  <si>
    <t>Morrill Township</t>
  </si>
  <si>
    <t>Brown County</t>
  </si>
  <si>
    <t>Morrill</t>
  </si>
  <si>
    <t>Brown County Clerk's office</t>
  </si>
  <si>
    <t>Morrill City Hall</t>
  </si>
  <si>
    <t>Supplies-Berwick Oil</t>
  </si>
  <si>
    <t>Hauling</t>
  </si>
  <si>
    <t>Improvements</t>
  </si>
  <si>
    <t>Insurnce Reimbursement</t>
  </si>
  <si>
    <t>Utilities</t>
  </si>
  <si>
    <t>Telecommunications</t>
  </si>
  <si>
    <t>Trucking</t>
  </si>
  <si>
    <t>Morrill Fire Department</t>
  </si>
  <si>
    <t>Mowing</t>
  </si>
  <si>
    <t>Morrill Cemetery</t>
  </si>
  <si>
    <t>Transfer from General</t>
  </si>
  <si>
    <t>July 31, 2012</t>
  </si>
  <si>
    <t>9:00 AM</t>
  </si>
  <si>
    <t>William Eisenbise</t>
  </si>
  <si>
    <t>Clerk</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</si>
</sst>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0" fontId="41" fillId="42" borderId="28" xfId="0" applyFont="1" applyFill="1" applyBorder="1" applyAlignment="1" applyProtection="1">
      <alignment horizontal="center" vertical="center"/>
      <protection/>
    </xf>
    <xf numFmtId="0" fontId="0" fillId="0" borderId="0" xfId="0" applyBorder="1" applyAlignment="1">
      <alignment vertical="center"/>
    </xf>
    <xf numFmtId="0" fontId="0" fillId="0" borderId="21" xfId="0" applyBorder="1" applyAlignment="1">
      <alignment vertical="center"/>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1" customWidth="1"/>
    <col min="2" max="16384" width="8.796875" style="111" customWidth="1"/>
  </cols>
  <sheetData>
    <row r="1" ht="15.75">
      <c r="A1" s="210" t="s">
        <v>332</v>
      </c>
    </row>
    <row r="3" ht="34.5" customHeight="1">
      <c r="A3" s="211" t="s">
        <v>124</v>
      </c>
    </row>
    <row r="4" ht="15.75">
      <c r="A4" s="212"/>
    </row>
    <row r="5" ht="52.5" customHeight="1">
      <c r="A5" s="213" t="s">
        <v>333</v>
      </c>
    </row>
    <row r="6" ht="15.75">
      <c r="A6" s="213"/>
    </row>
    <row r="7" ht="51" customHeight="1">
      <c r="A7" s="213" t="s">
        <v>861</v>
      </c>
    </row>
    <row r="8" ht="15.75">
      <c r="A8" s="213"/>
    </row>
    <row r="9" ht="15.75">
      <c r="A9" s="213" t="s">
        <v>125</v>
      </c>
    </row>
    <row r="12" ht="15.75">
      <c r="A12" s="210" t="s">
        <v>181</v>
      </c>
    </row>
    <row r="14" ht="15.75">
      <c r="A14" s="212" t="s">
        <v>182</v>
      </c>
    </row>
    <row r="17" ht="38.25" customHeight="1">
      <c r="A17" s="214" t="s">
        <v>305</v>
      </c>
    </row>
    <row r="18" ht="9.75" customHeight="1">
      <c r="A18" s="214"/>
    </row>
    <row r="21" ht="15.75">
      <c r="A21" s="210" t="s">
        <v>126</v>
      </c>
    </row>
    <row r="23" ht="34.5" customHeight="1">
      <c r="A23" s="213" t="s">
        <v>183</v>
      </c>
    </row>
    <row r="24" ht="9.75" customHeight="1">
      <c r="A24" s="213"/>
    </row>
    <row r="25" ht="15.75">
      <c r="A25" s="215" t="s">
        <v>127</v>
      </c>
    </row>
    <row r="26" ht="15.75">
      <c r="A26" s="213"/>
    </row>
    <row r="27" ht="17.25" customHeight="1">
      <c r="A27" s="216" t="s">
        <v>128</v>
      </c>
    </row>
    <row r="28" ht="17.25" customHeight="1">
      <c r="A28" s="217"/>
    </row>
    <row r="29" ht="87.75" customHeight="1">
      <c r="A29" s="218" t="s">
        <v>162</v>
      </c>
    </row>
    <row r="31" ht="15.75">
      <c r="A31" s="219" t="s">
        <v>129</v>
      </c>
    </row>
    <row r="33" ht="15.75">
      <c r="A33" s="149" t="s">
        <v>184</v>
      </c>
    </row>
    <row r="35" ht="15.75">
      <c r="A35" s="213" t="s">
        <v>130</v>
      </c>
    </row>
    <row r="36" ht="15.75">
      <c r="A36" s="213"/>
    </row>
    <row r="37" ht="72" customHeight="1">
      <c r="A37" s="213" t="s">
        <v>394</v>
      </c>
    </row>
    <row r="39" ht="15.75">
      <c r="A39" s="210" t="s">
        <v>131</v>
      </c>
    </row>
    <row r="41" ht="70.5" customHeight="1">
      <c r="A41" s="213" t="s">
        <v>763</v>
      </c>
    </row>
    <row r="42" ht="52.5" customHeight="1">
      <c r="A42" s="220" t="s">
        <v>132</v>
      </c>
    </row>
    <row r="43" ht="33" customHeight="1">
      <c r="A43" s="213" t="s">
        <v>161</v>
      </c>
    </row>
    <row r="44" ht="106.5" customHeight="1">
      <c r="A44" s="737" t="s">
        <v>862</v>
      </c>
    </row>
    <row r="45" ht="10.5" customHeight="1">
      <c r="A45" s="213"/>
    </row>
    <row r="46" ht="108" customHeight="1">
      <c r="A46" s="213" t="s">
        <v>764</v>
      </c>
    </row>
    <row r="47" ht="59.25" customHeight="1">
      <c r="A47" s="213" t="s">
        <v>133</v>
      </c>
    </row>
    <row r="48" ht="101.25" customHeight="1">
      <c r="A48" s="213" t="s">
        <v>221</v>
      </c>
    </row>
    <row r="49" ht="74.25" customHeight="1">
      <c r="A49" s="213" t="s">
        <v>395</v>
      </c>
    </row>
    <row r="50" ht="69.75" customHeight="1">
      <c r="A50" s="213" t="s">
        <v>402</v>
      </c>
    </row>
    <row r="51" ht="58.5" customHeight="1">
      <c r="A51" s="738" t="s">
        <v>863</v>
      </c>
    </row>
    <row r="52" ht="12" customHeight="1">
      <c r="A52" s="213"/>
    </row>
    <row r="53" ht="81" customHeight="1">
      <c r="A53" s="213" t="s">
        <v>396</v>
      </c>
    </row>
    <row r="54" ht="81" customHeight="1">
      <c r="A54" s="213" t="s">
        <v>615</v>
      </c>
    </row>
    <row r="55" ht="81" customHeight="1">
      <c r="A55" s="213" t="s">
        <v>864</v>
      </c>
    </row>
    <row r="56" ht="48" customHeight="1">
      <c r="A56" s="738" t="s">
        <v>865</v>
      </c>
    </row>
    <row r="57" ht="84.75" customHeight="1">
      <c r="A57" s="739" t="s">
        <v>866</v>
      </c>
    </row>
    <row r="58" ht="11.25" customHeight="1"/>
    <row r="59" ht="72" customHeight="1">
      <c r="A59" s="213" t="s">
        <v>397</v>
      </c>
    </row>
    <row r="60" ht="54" customHeight="1">
      <c r="A60" s="213" t="s">
        <v>398</v>
      </c>
    </row>
    <row r="61" ht="54.75" customHeight="1">
      <c r="A61" s="213" t="s">
        <v>399</v>
      </c>
    </row>
    <row r="62" ht="14.25" customHeight="1">
      <c r="A62" s="213"/>
    </row>
    <row r="63" ht="68.25" customHeight="1">
      <c r="A63" s="739" t="s">
        <v>867</v>
      </c>
    </row>
    <row r="64" ht="12.75" customHeight="1">
      <c r="A64" s="213"/>
    </row>
    <row r="65" ht="41.25" customHeight="1">
      <c r="A65" s="213" t="s">
        <v>400</v>
      </c>
    </row>
    <row r="66" ht="24" customHeight="1">
      <c r="A66" s="213" t="s">
        <v>621</v>
      </c>
    </row>
    <row r="67" ht="72" customHeight="1">
      <c r="A67" s="213" t="s">
        <v>622</v>
      </c>
    </row>
    <row r="68" ht="56.25" customHeight="1">
      <c r="A68" s="213" t="s">
        <v>619</v>
      </c>
    </row>
    <row r="69" ht="15.75">
      <c r="A69" s="213" t="s">
        <v>620</v>
      </c>
    </row>
    <row r="70" ht="15.75" customHeight="1">
      <c r="A70" s="213"/>
    </row>
    <row r="71" ht="68.25" customHeight="1">
      <c r="A71" s="213" t="s">
        <v>401</v>
      </c>
    </row>
    <row r="72" s="213" customFormat="1" ht="14.25" customHeight="1">
      <c r="A72" s="111"/>
    </row>
    <row r="73" ht="87.75" customHeight="1">
      <c r="A73" s="213" t="s">
        <v>403</v>
      </c>
    </row>
    <row r="74" ht="12" customHeight="1">
      <c r="A74" s="213"/>
    </row>
    <row r="75" ht="141" customHeight="1">
      <c r="A75" s="739" t="s">
        <v>868</v>
      </c>
    </row>
    <row r="76" ht="12" customHeight="1"/>
    <row r="77" ht="78.75" customHeight="1">
      <c r="A77" s="213" t="s">
        <v>870</v>
      </c>
    </row>
    <row r="78" ht="78.75" customHeight="1">
      <c r="A78" s="739" t="s">
        <v>869</v>
      </c>
    </row>
    <row r="79" ht="86.25" customHeight="1">
      <c r="A79" s="540" t="s">
        <v>871</v>
      </c>
    </row>
    <row r="80" ht="78.75" customHeight="1">
      <c r="A80" s="540" t="s">
        <v>872</v>
      </c>
    </row>
    <row r="81" ht="78.75" customHeight="1">
      <c r="A81" s="540" t="s">
        <v>873</v>
      </c>
    </row>
    <row r="82" ht="73.5" customHeight="1">
      <c r="A82" s="213" t="s">
        <v>874</v>
      </c>
    </row>
    <row r="83" ht="120.75" customHeight="1">
      <c r="A83" s="213" t="s">
        <v>875</v>
      </c>
    </row>
    <row r="84" ht="72.75" customHeight="1">
      <c r="A84" s="213" t="s">
        <v>876</v>
      </c>
    </row>
    <row r="85" ht="100.5" customHeight="1">
      <c r="A85" s="213" t="s">
        <v>877</v>
      </c>
    </row>
    <row r="86" ht="110.25" customHeight="1">
      <c r="A86" s="213" t="s">
        <v>878</v>
      </c>
    </row>
    <row r="87" ht="100.5" customHeight="1">
      <c r="A87" s="221" t="s">
        <v>879</v>
      </c>
    </row>
    <row r="88" ht="61.5" customHeight="1">
      <c r="A88" s="357" t="s">
        <v>880</v>
      </c>
    </row>
    <row r="89" ht="120.75" customHeight="1">
      <c r="A89" s="213" t="s">
        <v>932</v>
      </c>
    </row>
    <row r="90" ht="86.25" customHeight="1">
      <c r="A90" s="221" t="s">
        <v>881</v>
      </c>
    </row>
    <row r="91" ht="101.25" customHeight="1">
      <c r="A91" s="221" t="s">
        <v>931</v>
      </c>
    </row>
    <row r="92" ht="133.5" customHeight="1">
      <c r="A92" s="213" t="s">
        <v>882</v>
      </c>
    </row>
    <row r="93" ht="137.25" customHeight="1">
      <c r="A93" s="213" t="s">
        <v>883</v>
      </c>
    </row>
    <row r="94" ht="101.25" customHeight="1">
      <c r="A94" s="213" t="s">
        <v>884</v>
      </c>
    </row>
    <row r="95" ht="9.75" customHeight="1">
      <c r="A95" s="221"/>
    </row>
    <row r="96" ht="119.25" customHeight="1">
      <c r="A96" s="213" t="s">
        <v>885</v>
      </c>
    </row>
    <row r="97" ht="117" customHeight="1">
      <c r="A97" s="221" t="s">
        <v>886</v>
      </c>
    </row>
    <row r="98" ht="58.5" customHeight="1">
      <c r="A98" s="221" t="s">
        <v>887</v>
      </c>
    </row>
    <row r="99" ht="21" customHeight="1">
      <c r="A99" s="213" t="s">
        <v>888</v>
      </c>
    </row>
    <row r="100" ht="3.75" customHeight="1"/>
    <row r="101" ht="64.5" customHeight="1">
      <c r="A101" s="213" t="s">
        <v>889</v>
      </c>
    </row>
    <row r="102" ht="22.5" customHeight="1">
      <c r="A102" s="213" t="s">
        <v>890</v>
      </c>
    </row>
    <row r="103" ht="40.5" customHeight="1">
      <c r="A103" s="540" t="s">
        <v>891</v>
      </c>
    </row>
    <row r="104" ht="115.5" customHeight="1">
      <c r="A104" s="540" t="s">
        <v>892</v>
      </c>
    </row>
    <row r="105" ht="116.25" customHeight="1">
      <c r="A105" s="540" t="s">
        <v>893</v>
      </c>
    </row>
    <row r="106" ht="90" customHeight="1">
      <c r="A106" s="213" t="s">
        <v>894</v>
      </c>
    </row>
    <row r="107" ht="74.25" customHeight="1">
      <c r="A107" s="740" t="s">
        <v>895</v>
      </c>
    </row>
    <row r="108" ht="61.5" customHeight="1">
      <c r="A108" s="213" t="s">
        <v>896</v>
      </c>
    </row>
    <row r="109" ht="9" customHeight="1"/>
    <row r="110" ht="78.75" customHeight="1">
      <c r="A110" s="213" t="s">
        <v>897</v>
      </c>
    </row>
    <row r="112" ht="73.5" customHeight="1">
      <c r="A112" s="540" t="s">
        <v>898</v>
      </c>
    </row>
    <row r="113" ht="108" customHeight="1">
      <c r="A113" s="540" t="s">
        <v>899</v>
      </c>
    </row>
    <row r="114" ht="96" customHeight="1">
      <c r="A114" s="540" t="s">
        <v>900</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26" sqref="B26"/>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Morrill Township</v>
      </c>
      <c r="C1" s="273"/>
      <c r="D1" s="273"/>
      <c r="E1" s="273"/>
      <c r="F1" s="273"/>
      <c r="G1" s="273"/>
      <c r="H1" s="273"/>
      <c r="I1" s="273"/>
      <c r="J1" s="65"/>
      <c r="K1" s="65"/>
      <c r="L1" s="223">
        <f>inputPrYr!D9</f>
        <v>2013</v>
      </c>
    </row>
    <row r="2" spans="1:12" ht="15.75">
      <c r="A2" s="297"/>
      <c r="B2" s="272" t="str">
        <f>inputPrYr!$D$4</f>
        <v>Brown County</v>
      </c>
      <c r="C2" s="273"/>
      <c r="D2" s="273"/>
      <c r="E2" s="273"/>
      <c r="F2" s="273"/>
      <c r="G2" s="273"/>
      <c r="H2" s="273"/>
      <c r="I2" s="273"/>
      <c r="J2" s="65"/>
      <c r="K2" s="65"/>
      <c r="L2" s="208"/>
    </row>
    <row r="3" spans="1:12" ht="15.75">
      <c r="A3" s="297"/>
      <c r="B3" s="805" t="s">
        <v>23</v>
      </c>
      <c r="C3" s="794"/>
      <c r="D3" s="794"/>
      <c r="E3" s="794"/>
      <c r="F3" s="794"/>
      <c r="G3" s="794"/>
      <c r="H3" s="794"/>
      <c r="I3" s="794"/>
      <c r="J3" s="794"/>
      <c r="K3" s="794"/>
      <c r="L3" s="794"/>
    </row>
    <row r="4" spans="1:12" ht="15.75">
      <c r="A4" s="297"/>
      <c r="B4" s="273"/>
      <c r="C4" s="273"/>
      <c r="D4" s="273"/>
      <c r="E4" s="273"/>
      <c r="F4" s="273"/>
      <c r="G4" s="273"/>
      <c r="H4" s="273"/>
      <c r="I4" s="273"/>
      <c r="J4" s="273"/>
      <c r="K4" s="273"/>
      <c r="L4" s="273"/>
    </row>
    <row r="5" spans="1:12" ht="15.75">
      <c r="A5" s="297"/>
      <c r="B5" s="227" t="s">
        <v>778</v>
      </c>
      <c r="C5" s="227" t="s">
        <v>3</v>
      </c>
      <c r="D5" s="227" t="s">
        <v>10</v>
      </c>
      <c r="E5" s="227"/>
      <c r="F5" s="227" t="s">
        <v>264</v>
      </c>
      <c r="G5" s="275"/>
      <c r="H5" s="276"/>
      <c r="I5" s="275" t="s">
        <v>4</v>
      </c>
      <c r="J5" s="276"/>
      <c r="K5" s="275" t="s">
        <v>4</v>
      </c>
      <c r="L5" s="276"/>
    </row>
    <row r="6" spans="1:12" ht="15.75">
      <c r="A6" s="297"/>
      <c r="B6" s="277" t="s">
        <v>5</v>
      </c>
      <c r="C6" s="277" t="s">
        <v>5</v>
      </c>
      <c r="D6" s="277" t="s">
        <v>263</v>
      </c>
      <c r="E6" s="277" t="s">
        <v>264</v>
      </c>
      <c r="F6" s="277" t="s">
        <v>71</v>
      </c>
      <c r="G6" s="278" t="s">
        <v>6</v>
      </c>
      <c r="H6" s="279"/>
      <c r="I6" s="278">
        <f>L1-1</f>
        <v>2012</v>
      </c>
      <c r="J6" s="279"/>
      <c r="K6" s="278">
        <f>L1</f>
        <v>2013</v>
      </c>
      <c r="L6" s="279"/>
    </row>
    <row r="7" spans="1:12" ht="15.75">
      <c r="A7" s="297"/>
      <c r="B7" s="229" t="s">
        <v>779</v>
      </c>
      <c r="C7" s="229" t="s">
        <v>7</v>
      </c>
      <c r="D7" s="229" t="s">
        <v>289</v>
      </c>
      <c r="E7" s="229" t="s">
        <v>8</v>
      </c>
      <c r="F7" s="280" t="str">
        <f>CONCATENATE("Jan 1,",L1-1,"")</f>
        <v>Jan 1,2012</v>
      </c>
      <c r="G7" s="87" t="s">
        <v>10</v>
      </c>
      <c r="H7" s="87" t="s">
        <v>11</v>
      </c>
      <c r="I7" s="87" t="s">
        <v>10</v>
      </c>
      <c r="J7" s="87" t="s">
        <v>11</v>
      </c>
      <c r="K7" s="87" t="s">
        <v>10</v>
      </c>
      <c r="L7" s="87" t="s">
        <v>11</v>
      </c>
    </row>
    <row r="8" spans="1:12" ht="15.75">
      <c r="A8" s="297"/>
      <c r="B8" s="281" t="s">
        <v>1</v>
      </c>
      <c r="C8" s="282"/>
      <c r="D8" s="281"/>
      <c r="E8" s="281"/>
      <c r="F8" s="281"/>
      <c r="G8" s="283"/>
      <c r="H8" s="283"/>
      <c r="I8" s="281"/>
      <c r="J8" s="281"/>
      <c r="K8" s="281"/>
      <c r="L8" s="281"/>
    </row>
    <row r="9" spans="1:12" ht="15.75">
      <c r="A9" s="297"/>
      <c r="B9" s="284"/>
      <c r="C9" s="389"/>
      <c r="D9" s="286"/>
      <c r="E9" s="169"/>
      <c r="F9" s="287"/>
      <c r="G9" s="288"/>
      <c r="H9" s="288"/>
      <c r="I9" s="287"/>
      <c r="J9" s="287"/>
      <c r="K9" s="287"/>
      <c r="L9" s="287"/>
    </row>
    <row r="10" spans="1:12" ht="15.75">
      <c r="A10" s="297"/>
      <c r="B10" s="284"/>
      <c r="C10" s="389"/>
      <c r="D10" s="286"/>
      <c r="E10" s="169"/>
      <c r="F10" s="287"/>
      <c r="G10" s="288"/>
      <c r="H10" s="288"/>
      <c r="I10" s="287"/>
      <c r="J10" s="287"/>
      <c r="K10" s="287"/>
      <c r="L10" s="287"/>
    </row>
    <row r="11" spans="1:12" ht="15.75">
      <c r="A11" s="297"/>
      <c r="B11" s="205" t="s">
        <v>102</v>
      </c>
      <c r="C11" s="289"/>
      <c r="D11" s="290"/>
      <c r="E11" s="259"/>
      <c r="F11" s="175">
        <f>SUM(F9:F10)</f>
        <v>0</v>
      </c>
      <c r="G11" s="291"/>
      <c r="H11" s="291"/>
      <c r="I11" s="175">
        <f>SUM(I9:I10)</f>
        <v>0</v>
      </c>
      <c r="J11" s="175">
        <f>SUM(J9:J10)</f>
        <v>0</v>
      </c>
      <c r="K11" s="175">
        <f>SUM(K9:K10)</f>
        <v>0</v>
      </c>
      <c r="L11" s="175">
        <f>SUM(L9:L10)</f>
        <v>0</v>
      </c>
    </row>
    <row r="12" spans="1:12" ht="15.75">
      <c r="A12" s="297"/>
      <c r="B12" s="205" t="s">
        <v>281</v>
      </c>
      <c r="C12" s="289"/>
      <c r="D12" s="290"/>
      <c r="E12" s="259"/>
      <c r="F12" s="89"/>
      <c r="G12" s="292"/>
      <c r="H12" s="292"/>
      <c r="I12" s="89"/>
      <c r="J12" s="89"/>
      <c r="K12" s="89"/>
      <c r="L12" s="89"/>
    </row>
    <row r="13" spans="1:12" ht="15.75">
      <c r="A13" s="297"/>
      <c r="B13" s="284"/>
      <c r="C13" s="389"/>
      <c r="D13" s="286"/>
      <c r="E13" s="169"/>
      <c r="F13" s="287"/>
      <c r="G13" s="288"/>
      <c r="H13" s="288"/>
      <c r="I13" s="287"/>
      <c r="J13" s="287"/>
      <c r="K13" s="287"/>
      <c r="L13" s="287"/>
    </row>
    <row r="14" spans="1:12" ht="15.75">
      <c r="A14" s="297"/>
      <c r="B14" s="284"/>
      <c r="C14" s="389"/>
      <c r="D14" s="286"/>
      <c r="E14" s="169"/>
      <c r="F14" s="287"/>
      <c r="G14" s="288"/>
      <c r="H14" s="288"/>
      <c r="I14" s="287"/>
      <c r="J14" s="287"/>
      <c r="K14" s="287"/>
      <c r="L14" s="287"/>
    </row>
    <row r="15" spans="1:12" ht="15.75">
      <c r="A15" s="297"/>
      <c r="B15" s="205" t="s">
        <v>103</v>
      </c>
      <c r="C15" s="289"/>
      <c r="D15" s="290"/>
      <c r="E15" s="259"/>
      <c r="F15" s="175">
        <f>SUM(F13:F14)</f>
        <v>0</v>
      </c>
      <c r="G15" s="292"/>
      <c r="H15" s="292"/>
      <c r="I15" s="175">
        <f>SUM(I13:I14)</f>
        <v>0</v>
      </c>
      <c r="J15" s="175">
        <f>SUM(J13:J14)</f>
        <v>0</v>
      </c>
      <c r="K15" s="175">
        <f>SUM(K13:K14)</f>
        <v>0</v>
      </c>
      <c r="L15" s="175">
        <f>SUM(L13:L14)</f>
        <v>0</v>
      </c>
    </row>
    <row r="16" spans="1:12" ht="15.75">
      <c r="A16" s="297"/>
      <c r="B16" s="293" t="s">
        <v>25</v>
      </c>
      <c r="C16" s="564"/>
      <c r="D16" s="565"/>
      <c r="E16" s="566"/>
      <c r="F16" s="295">
        <f>SUM(F11+F15)</f>
        <v>0</v>
      </c>
      <c r="G16" s="564"/>
      <c r="H16" s="567"/>
      <c r="I16" s="295">
        <f>SUM(I11+I15)</f>
        <v>0</v>
      </c>
      <c r="J16" s="295">
        <f>SUM(J11+J15)</f>
        <v>0</v>
      </c>
      <c r="K16" s="295">
        <f>SUM(K11+K15)</f>
        <v>0</v>
      </c>
      <c r="L16" s="295">
        <f>SUM(L11+L15)</f>
        <v>0</v>
      </c>
    </row>
    <row r="17" spans="1:25" ht="15.75">
      <c r="A17" s="297"/>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8" customFormat="1" ht="15.75">
      <c r="A18" s="297"/>
      <c r="B18" s="805" t="s">
        <v>22</v>
      </c>
      <c r="C18" s="794"/>
      <c r="D18" s="794"/>
      <c r="E18" s="794"/>
      <c r="F18" s="794"/>
      <c r="G18" s="794"/>
      <c r="H18" s="794"/>
      <c r="I18" s="794"/>
      <c r="J18" s="296"/>
      <c r="K18" s="296"/>
      <c r="L18" s="297"/>
    </row>
    <row r="19" spans="1:12" s="298" customFormat="1" ht="15.75">
      <c r="A19" s="297"/>
      <c r="B19" s="70"/>
      <c r="C19" s="299"/>
      <c r="D19" s="299"/>
      <c r="E19" s="299"/>
      <c r="F19" s="299"/>
      <c r="G19" s="299"/>
      <c r="H19" s="299"/>
      <c r="I19" s="299"/>
      <c r="J19" s="300"/>
      <c r="K19" s="300"/>
      <c r="L19" s="297"/>
    </row>
    <row r="20" spans="1:12" s="298" customFormat="1" ht="15.75">
      <c r="A20" s="297"/>
      <c r="B20" s="204"/>
      <c r="C20" s="204"/>
      <c r="D20" s="227" t="s">
        <v>9</v>
      </c>
      <c r="E20" s="204"/>
      <c r="F20" s="227" t="s">
        <v>241</v>
      </c>
      <c r="G20" s="204"/>
      <c r="H20" s="204"/>
      <c r="I20" s="204"/>
      <c r="J20" s="301"/>
      <c r="K20" s="302"/>
      <c r="L20" s="297"/>
    </row>
    <row r="21" spans="1:12" s="298" customFormat="1" ht="15.75">
      <c r="A21" s="297"/>
      <c r="B21" s="74"/>
      <c r="C21" s="277"/>
      <c r="D21" s="277" t="s">
        <v>5</v>
      </c>
      <c r="E21" s="277" t="s">
        <v>10</v>
      </c>
      <c r="F21" s="277" t="s">
        <v>264</v>
      </c>
      <c r="G21" s="277" t="s">
        <v>11</v>
      </c>
      <c r="H21" s="277" t="s">
        <v>12</v>
      </c>
      <c r="I21" s="277" t="s">
        <v>12</v>
      </c>
      <c r="J21" s="297"/>
      <c r="K21" s="297"/>
      <c r="L21" s="297"/>
    </row>
    <row r="22" spans="1:12" s="298" customFormat="1" ht="15.75">
      <c r="A22" s="297"/>
      <c r="B22" s="277" t="s">
        <v>780</v>
      </c>
      <c r="C22" s="277" t="s">
        <v>13</v>
      </c>
      <c r="D22" s="277" t="s">
        <v>14</v>
      </c>
      <c r="E22" s="277" t="s">
        <v>263</v>
      </c>
      <c r="F22" s="277" t="s">
        <v>15</v>
      </c>
      <c r="G22" s="277" t="s">
        <v>55</v>
      </c>
      <c r="H22" s="277" t="s">
        <v>16</v>
      </c>
      <c r="I22" s="277" t="s">
        <v>16</v>
      </c>
      <c r="J22" s="297"/>
      <c r="K22" s="297"/>
      <c r="L22" s="297"/>
    </row>
    <row r="23" spans="1:12" s="298" customFormat="1" ht="15.75">
      <c r="A23" s="297"/>
      <c r="B23" s="229" t="s">
        <v>781</v>
      </c>
      <c r="C23" s="229" t="s">
        <v>3</v>
      </c>
      <c r="D23" s="303" t="s">
        <v>17</v>
      </c>
      <c r="E23" s="229" t="s">
        <v>289</v>
      </c>
      <c r="F23" s="303" t="s">
        <v>72</v>
      </c>
      <c r="G23" s="280" t="str">
        <f>CONCATENATE("Jan 1,",L1-1,"")</f>
        <v>Jan 1,2012</v>
      </c>
      <c r="H23" s="229">
        <f>L1-1</f>
        <v>2012</v>
      </c>
      <c r="I23" s="229">
        <f>L1</f>
        <v>2013</v>
      </c>
      <c r="J23" s="297"/>
      <c r="K23" s="297"/>
      <c r="L23" s="297"/>
    </row>
    <row r="24" spans="1:12" s="298" customFormat="1" ht="15.75">
      <c r="A24" s="297"/>
      <c r="B24" s="284"/>
      <c r="C24" s="285"/>
      <c r="D24" s="304"/>
      <c r="E24" s="286"/>
      <c r="F24" s="169"/>
      <c r="G24" s="169"/>
      <c r="H24" s="169"/>
      <c r="I24" s="169"/>
      <c r="J24" s="297"/>
      <c r="K24" s="297"/>
      <c r="L24" s="297"/>
    </row>
    <row r="25" spans="1:12" s="298" customFormat="1" ht="15.75">
      <c r="A25" s="297"/>
      <c r="B25" s="284" t="s">
        <v>945</v>
      </c>
      <c r="C25" s="285"/>
      <c r="D25" s="304"/>
      <c r="E25" s="286"/>
      <c r="F25" s="169"/>
      <c r="G25" s="169"/>
      <c r="H25" s="169"/>
      <c r="I25" s="169"/>
      <c r="J25" s="297"/>
      <c r="K25" s="297"/>
      <c r="L25" s="297"/>
    </row>
    <row r="26" spans="1:12" s="298" customFormat="1" ht="15.75">
      <c r="A26" s="297"/>
      <c r="B26" s="284"/>
      <c r="C26" s="285"/>
      <c r="D26" s="304"/>
      <c r="E26" s="286"/>
      <c r="F26" s="169"/>
      <c r="G26" s="169"/>
      <c r="H26" s="169"/>
      <c r="I26" s="169"/>
      <c r="J26" s="297"/>
      <c r="K26" s="297"/>
      <c r="L26" s="297"/>
    </row>
    <row r="27" spans="1:12" s="298" customFormat="1" ht="15.75">
      <c r="A27" s="297"/>
      <c r="B27" s="284"/>
      <c r="C27" s="285"/>
      <c r="D27" s="304"/>
      <c r="E27" s="286"/>
      <c r="F27" s="169"/>
      <c r="G27" s="169"/>
      <c r="H27" s="169"/>
      <c r="I27" s="169"/>
      <c r="J27" s="297"/>
      <c r="K27" s="297"/>
      <c r="L27" s="297"/>
    </row>
    <row r="28" spans="1:12" s="298" customFormat="1" ht="15.75">
      <c r="A28" s="297"/>
      <c r="B28" s="284"/>
      <c r="C28" s="285"/>
      <c r="D28" s="304"/>
      <c r="E28" s="286"/>
      <c r="F28" s="169"/>
      <c r="G28" s="169"/>
      <c r="H28" s="169"/>
      <c r="I28" s="169"/>
      <c r="J28" s="297"/>
      <c r="K28" s="297"/>
      <c r="L28" s="297"/>
    </row>
    <row r="29" spans="1:12" s="298" customFormat="1" ht="15.75">
      <c r="A29" s="297"/>
      <c r="B29" s="284"/>
      <c r="C29" s="285"/>
      <c r="D29" s="304"/>
      <c r="E29" s="286"/>
      <c r="F29" s="169"/>
      <c r="G29" s="169"/>
      <c r="H29" s="169"/>
      <c r="I29" s="169"/>
      <c r="J29" s="297"/>
      <c r="K29" s="297"/>
      <c r="L29" s="297"/>
    </row>
    <row r="30" spans="1:12" s="298" customFormat="1" ht="15.75">
      <c r="A30" s="297"/>
      <c r="B30" s="284"/>
      <c r="C30" s="285"/>
      <c r="D30" s="304"/>
      <c r="E30" s="286"/>
      <c r="F30" s="169"/>
      <c r="G30" s="169"/>
      <c r="H30" s="169"/>
      <c r="I30" s="169"/>
      <c r="J30" s="297"/>
      <c r="K30" s="297"/>
      <c r="L30" s="297"/>
    </row>
    <row r="31" spans="1:12" s="298" customFormat="1" ht="15.75">
      <c r="A31" s="297"/>
      <c r="B31" s="284"/>
      <c r="C31" s="285"/>
      <c r="D31" s="304"/>
      <c r="E31" s="286"/>
      <c r="F31" s="169"/>
      <c r="G31" s="169"/>
      <c r="H31" s="169"/>
      <c r="I31" s="169"/>
      <c r="J31" s="297"/>
      <c r="K31" s="297"/>
      <c r="L31" s="297"/>
    </row>
    <row r="32" spans="1:12" s="298" customFormat="1" ht="15.75">
      <c r="A32" s="297"/>
      <c r="B32" s="284"/>
      <c r="C32" s="285"/>
      <c r="D32" s="304"/>
      <c r="E32" s="286"/>
      <c r="F32" s="169"/>
      <c r="G32" s="169"/>
      <c r="H32" s="169"/>
      <c r="I32" s="169"/>
      <c r="J32" s="297"/>
      <c r="K32" s="297"/>
      <c r="L32" s="297"/>
    </row>
    <row r="33" spans="1:12" s="298" customFormat="1" ht="15.75">
      <c r="A33" s="297"/>
      <c r="B33" s="284"/>
      <c r="C33" s="285"/>
      <c r="D33" s="304"/>
      <c r="E33" s="286"/>
      <c r="F33" s="169"/>
      <c r="G33" s="169"/>
      <c r="H33" s="169"/>
      <c r="I33" s="169"/>
      <c r="J33" s="297"/>
      <c r="K33" s="297"/>
      <c r="L33" s="297"/>
    </row>
    <row r="34" spans="1:12" s="298" customFormat="1" ht="15.75">
      <c r="A34" s="297"/>
      <c r="B34" s="284"/>
      <c r="C34" s="285"/>
      <c r="D34" s="304"/>
      <c r="E34" s="286"/>
      <c r="F34" s="169"/>
      <c r="G34" s="169"/>
      <c r="H34" s="169"/>
      <c r="I34" s="169"/>
      <c r="J34" s="297"/>
      <c r="K34" s="297"/>
      <c r="L34" s="297"/>
    </row>
    <row r="35" spans="1:12" s="298" customFormat="1" ht="15.75">
      <c r="A35" s="297"/>
      <c r="B35" s="284"/>
      <c r="C35" s="285"/>
      <c r="D35" s="304"/>
      <c r="E35" s="286"/>
      <c r="F35" s="169"/>
      <c r="G35" s="169"/>
      <c r="H35" s="169"/>
      <c r="I35" s="169"/>
      <c r="J35" s="297"/>
      <c r="K35" s="297"/>
      <c r="L35" s="297"/>
    </row>
    <row r="36" spans="1:12" ht="15.75">
      <c r="A36" s="297"/>
      <c r="B36" s="297"/>
      <c r="C36" s="294"/>
      <c r="D36" s="294"/>
      <c r="E36" s="305"/>
      <c r="F36" s="568" t="s">
        <v>25</v>
      </c>
      <c r="G36" s="295">
        <f>SUM(G24:G35)</f>
        <v>0</v>
      </c>
      <c r="H36" s="295">
        <f>SUM(H24:H35)</f>
        <v>0</v>
      </c>
      <c r="I36" s="295">
        <f>SUM(I24:I35)</f>
        <v>0</v>
      </c>
      <c r="J36" s="273"/>
      <c r="K36" s="273"/>
      <c r="L36" s="306"/>
    </row>
    <row r="37" spans="1:12" ht="15.75">
      <c r="A37" s="297"/>
      <c r="B37" s="273"/>
      <c r="C37" s="273"/>
      <c r="D37" s="273"/>
      <c r="E37" s="273"/>
      <c r="F37" s="273"/>
      <c r="G37" s="273"/>
      <c r="H37" s="273"/>
      <c r="I37" s="273"/>
      <c r="J37" s="273"/>
      <c r="K37" s="273"/>
      <c r="L37" s="273"/>
    </row>
    <row r="38" spans="1:12" ht="15.75">
      <c r="A38" s="297"/>
      <c r="B38" s="307" t="s">
        <v>187</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7">
      <selection activeCell="K104" sqref="K104"/>
    </sheetView>
  </sheetViews>
  <sheetFormatPr defaultColWidth="8.796875" defaultRowHeight="15.75"/>
  <cols>
    <col min="1" max="1" width="2.296875" style="590" customWidth="1"/>
    <col min="2" max="4" width="8.796875" style="590" customWidth="1"/>
    <col min="5" max="5" width="8.69921875" style="590" customWidth="1"/>
    <col min="6" max="6" width="8.796875" style="590" customWidth="1"/>
    <col min="7" max="7" width="8.69921875" style="590" customWidth="1"/>
    <col min="8" max="16384" width="8.796875" style="590" customWidth="1"/>
  </cols>
  <sheetData>
    <row r="1" spans="2:9" ht="15.75">
      <c r="B1" s="589"/>
      <c r="C1" s="589"/>
      <c r="D1" s="589"/>
      <c r="E1" s="589"/>
      <c r="F1" s="589"/>
      <c r="G1" s="589"/>
      <c r="H1" s="589"/>
      <c r="I1" s="589"/>
    </row>
    <row r="2" spans="2:9" ht="15.75">
      <c r="B2" s="806" t="s">
        <v>802</v>
      </c>
      <c r="C2" s="806"/>
      <c r="D2" s="806"/>
      <c r="E2" s="806"/>
      <c r="F2" s="806"/>
      <c r="G2" s="806"/>
      <c r="H2" s="806"/>
      <c r="I2" s="806"/>
    </row>
    <row r="3" spans="2:9" ht="15.75">
      <c r="B3" s="806" t="s">
        <v>803</v>
      </c>
      <c r="C3" s="806"/>
      <c r="D3" s="806"/>
      <c r="E3" s="806"/>
      <c r="F3" s="806"/>
      <c r="G3" s="806"/>
      <c r="H3" s="806"/>
      <c r="I3" s="806"/>
    </row>
    <row r="4" spans="2:9" ht="15.75">
      <c r="B4" s="591"/>
      <c r="C4" s="591"/>
      <c r="D4" s="591"/>
      <c r="E4" s="591"/>
      <c r="F4" s="591"/>
      <c r="G4" s="591"/>
      <c r="H4" s="591"/>
      <c r="I4" s="591"/>
    </row>
    <row r="5" spans="2:9" ht="15.75">
      <c r="B5" s="807" t="str">
        <f>CONCATENATE("Budgeted Year: ",inputPrYr!D9,"")</f>
        <v>Budgeted Year: 2013</v>
      </c>
      <c r="C5" s="807"/>
      <c r="D5" s="807"/>
      <c r="E5" s="807"/>
      <c r="F5" s="807"/>
      <c r="G5" s="807"/>
      <c r="H5" s="807"/>
      <c r="I5" s="807"/>
    </row>
    <row r="6" spans="2:9" ht="15.75">
      <c r="B6" s="592"/>
      <c r="C6" s="591"/>
      <c r="D6" s="591"/>
      <c r="E6" s="591"/>
      <c r="F6" s="591"/>
      <c r="G6" s="591"/>
      <c r="H6" s="591"/>
      <c r="I6" s="591"/>
    </row>
    <row r="7" spans="2:9" ht="15.75">
      <c r="B7" s="592" t="str">
        <f>CONCATENATE("Library found in: ",inputPrYr!D3,"")</f>
        <v>Library found in: Morrill Township</v>
      </c>
      <c r="C7" s="591"/>
      <c r="D7" s="591"/>
      <c r="E7" s="591"/>
      <c r="F7" s="591"/>
      <c r="G7" s="591"/>
      <c r="H7" s="591"/>
      <c r="I7" s="591"/>
    </row>
    <row r="8" spans="2:9" ht="15.75">
      <c r="B8" s="592" t="str">
        <f>inputPrYr!D4</f>
        <v>Brown County</v>
      </c>
      <c r="C8" s="591"/>
      <c r="D8" s="591"/>
      <c r="E8" s="591"/>
      <c r="F8" s="591"/>
      <c r="G8" s="591"/>
      <c r="H8" s="591"/>
      <c r="I8" s="591"/>
    </row>
    <row r="9" spans="2:9" ht="15.75">
      <c r="B9" s="591"/>
      <c r="C9" s="591"/>
      <c r="D9" s="591"/>
      <c r="E9" s="591"/>
      <c r="F9" s="591"/>
      <c r="G9" s="591"/>
      <c r="H9" s="591"/>
      <c r="I9" s="591"/>
    </row>
    <row r="10" spans="2:9" ht="39" customHeight="1">
      <c r="B10" s="808" t="s">
        <v>804</v>
      </c>
      <c r="C10" s="808"/>
      <c r="D10" s="808"/>
      <c r="E10" s="808"/>
      <c r="F10" s="808"/>
      <c r="G10" s="808"/>
      <c r="H10" s="808"/>
      <c r="I10" s="808"/>
    </row>
    <row r="11" spans="2:9" ht="15.75">
      <c r="B11" s="591"/>
      <c r="C11" s="591"/>
      <c r="D11" s="591"/>
      <c r="E11" s="591"/>
      <c r="F11" s="591"/>
      <c r="G11" s="591"/>
      <c r="H11" s="591"/>
      <c r="I11" s="591"/>
    </row>
    <row r="12" spans="2:9" ht="15.75">
      <c r="B12" s="593" t="s">
        <v>805</v>
      </c>
      <c r="C12" s="591"/>
      <c r="D12" s="591"/>
      <c r="E12" s="591"/>
      <c r="F12" s="591"/>
      <c r="G12" s="591"/>
      <c r="H12" s="591"/>
      <c r="I12" s="591"/>
    </row>
    <row r="13" spans="2:9" ht="15.75">
      <c r="B13" s="591"/>
      <c r="C13" s="591"/>
      <c r="D13" s="591"/>
      <c r="E13" s="594" t="s">
        <v>272</v>
      </c>
      <c r="F13" s="591"/>
      <c r="G13" s="594" t="s">
        <v>806</v>
      </c>
      <c r="H13" s="591"/>
      <c r="I13" s="591"/>
    </row>
    <row r="14" spans="2:9" ht="15.75">
      <c r="B14" s="591"/>
      <c r="C14" s="591"/>
      <c r="D14" s="591"/>
      <c r="E14" s="595">
        <f>inputPrYr!D9-1</f>
        <v>2012</v>
      </c>
      <c r="F14" s="591"/>
      <c r="G14" s="595">
        <f>inputPrYr!D9</f>
        <v>2013</v>
      </c>
      <c r="H14" s="591"/>
      <c r="I14" s="591"/>
    </row>
    <row r="15" spans="2:9" ht="15.75">
      <c r="B15" s="592" t="str">
        <f>blank1!B41</f>
        <v>Ad Valorem Tax</v>
      </c>
      <c r="C15" s="591"/>
      <c r="D15" s="591"/>
      <c r="E15" s="596">
        <f>blank1!D41</f>
        <v>0</v>
      </c>
      <c r="F15" s="591"/>
      <c r="G15" s="596">
        <f>blank1!E33</f>
        <v>0</v>
      </c>
      <c r="H15" s="591"/>
      <c r="I15" s="591"/>
    </row>
    <row r="16" spans="2:9" ht="15.75">
      <c r="B16" s="592" t="str">
        <f>blank1!B42</f>
        <v>Delinquent Tax</v>
      </c>
      <c r="C16" s="591"/>
      <c r="D16" s="591"/>
      <c r="E16" s="596">
        <f>blank1!D42</f>
        <v>0</v>
      </c>
      <c r="F16" s="591"/>
      <c r="G16" s="596">
        <f>blank1!E42</f>
        <v>0</v>
      </c>
      <c r="H16" s="591"/>
      <c r="I16" s="591"/>
    </row>
    <row r="17" spans="2:9" ht="15.75">
      <c r="B17" s="592" t="str">
        <f>blank1!B43</f>
        <v>Motor Vehicle Tax</v>
      </c>
      <c r="C17" s="591"/>
      <c r="D17" s="591"/>
      <c r="E17" s="596">
        <f>blank1!D43</f>
        <v>0</v>
      </c>
      <c r="F17" s="591"/>
      <c r="G17" s="596">
        <f>blank1!E43</f>
        <v>0</v>
      </c>
      <c r="H17" s="591"/>
      <c r="I17" s="591"/>
    </row>
    <row r="18" spans="2:9" ht="15.75">
      <c r="B18" s="592" t="str">
        <f>blank1!B44</f>
        <v>Recreational Vehicle Tax</v>
      </c>
      <c r="C18" s="591"/>
      <c r="D18" s="591"/>
      <c r="E18" s="596">
        <f>blank1!D44</f>
        <v>0</v>
      </c>
      <c r="F18" s="591"/>
      <c r="G18" s="596">
        <f>blank1!E44</f>
        <v>0</v>
      </c>
      <c r="H18" s="591"/>
      <c r="I18" s="591"/>
    </row>
    <row r="19" spans="2:9" ht="15.75">
      <c r="B19" s="592" t="str">
        <f>blank1!B45</f>
        <v>16/20M Vehicle Tax</v>
      </c>
      <c r="C19" s="591"/>
      <c r="D19" s="591"/>
      <c r="E19" s="596">
        <f>blank1!D45</f>
        <v>0</v>
      </c>
      <c r="F19" s="591"/>
      <c r="G19" s="596">
        <f>blank1!E45</f>
        <v>0</v>
      </c>
      <c r="H19" s="591"/>
      <c r="I19" s="591"/>
    </row>
    <row r="20" spans="2:9" ht="15.75">
      <c r="B20" s="591" t="s">
        <v>109</v>
      </c>
      <c r="C20" s="591"/>
      <c r="D20" s="591"/>
      <c r="E20" s="596">
        <v>0</v>
      </c>
      <c r="F20" s="591"/>
      <c r="G20" s="596">
        <v>0</v>
      </c>
      <c r="H20" s="591"/>
      <c r="I20" s="591"/>
    </row>
    <row r="21" spans="2:9" ht="15.75">
      <c r="B21" s="591"/>
      <c r="C21" s="591"/>
      <c r="D21" s="591"/>
      <c r="E21" s="596">
        <v>0</v>
      </c>
      <c r="F21" s="591"/>
      <c r="G21" s="596">
        <v>0</v>
      </c>
      <c r="H21" s="591"/>
      <c r="I21" s="591"/>
    </row>
    <row r="22" spans="2:9" ht="15.75">
      <c r="B22" s="591" t="s">
        <v>807</v>
      </c>
      <c r="C22" s="591"/>
      <c r="D22" s="591"/>
      <c r="E22" s="597">
        <f>SUM(E15:E21)</f>
        <v>0</v>
      </c>
      <c r="F22" s="591"/>
      <c r="G22" s="597">
        <f>SUM(G15:G21)</f>
        <v>0</v>
      </c>
      <c r="H22" s="591"/>
      <c r="I22" s="591"/>
    </row>
    <row r="23" spans="2:9" ht="15.75">
      <c r="B23" s="591" t="s">
        <v>808</v>
      </c>
      <c r="C23" s="591"/>
      <c r="D23" s="591"/>
      <c r="E23" s="598">
        <f>G22-E22</f>
        <v>0</v>
      </c>
      <c r="F23" s="591"/>
      <c r="G23" s="599"/>
      <c r="H23" s="591"/>
      <c r="I23" s="591"/>
    </row>
    <row r="24" spans="2:9" ht="15.75">
      <c r="B24" s="591" t="s">
        <v>809</v>
      </c>
      <c r="C24" s="591"/>
      <c r="D24" s="600" t="str">
        <f>IF((G22-E22)&gt;0,"Qualify","Not Qualify")</f>
        <v>Not Qualify</v>
      </c>
      <c r="E24" s="591"/>
      <c r="F24" s="591"/>
      <c r="G24" s="591"/>
      <c r="H24" s="591"/>
      <c r="I24" s="591"/>
    </row>
    <row r="25" spans="2:9" ht="15.75">
      <c r="B25" s="591"/>
      <c r="C25" s="591"/>
      <c r="D25" s="591"/>
      <c r="E25" s="591"/>
      <c r="F25" s="591"/>
      <c r="G25" s="591"/>
      <c r="H25" s="591"/>
      <c r="I25" s="591"/>
    </row>
    <row r="26" spans="2:9" ht="15.75">
      <c r="B26" s="593" t="s">
        <v>810</v>
      </c>
      <c r="C26" s="591"/>
      <c r="D26" s="591"/>
      <c r="E26" s="591"/>
      <c r="F26" s="591"/>
      <c r="G26" s="591"/>
      <c r="H26" s="591"/>
      <c r="I26" s="591"/>
    </row>
    <row r="27" spans="2:9" ht="15.75">
      <c r="B27" s="591" t="s">
        <v>811</v>
      </c>
      <c r="C27" s="591"/>
      <c r="D27" s="591"/>
      <c r="E27" s="596">
        <f>summ!D28</f>
        <v>5725170</v>
      </c>
      <c r="F27" s="591"/>
      <c r="G27" s="596">
        <f>summ!F28</f>
        <v>6192038</v>
      </c>
      <c r="H27" s="591"/>
      <c r="I27" s="591"/>
    </row>
    <row r="28" spans="2:9" ht="15.75">
      <c r="B28" s="591" t="s">
        <v>812</v>
      </c>
      <c r="C28" s="591"/>
      <c r="D28" s="591"/>
      <c r="E28" s="601" t="str">
        <f>IF(G27-E27&gt;0,"No","Yes")</f>
        <v>No</v>
      </c>
      <c r="F28" s="591"/>
      <c r="G28" s="591"/>
      <c r="H28" s="591"/>
      <c r="I28" s="591"/>
    </row>
    <row r="29" spans="2:9" ht="15.75">
      <c r="B29" s="591" t="s">
        <v>813</v>
      </c>
      <c r="C29" s="591"/>
      <c r="D29" s="591"/>
      <c r="E29" s="602">
        <f>summ!E24</f>
        <v>15.567000000000002</v>
      </c>
      <c r="F29" s="591"/>
      <c r="G29" s="602">
        <f>summ!H24</f>
        <v>14.411999999999999</v>
      </c>
      <c r="H29" s="591"/>
      <c r="I29" s="591"/>
    </row>
    <row r="30" spans="2:9" ht="15.75">
      <c r="B30" s="591" t="s">
        <v>814</v>
      </c>
      <c r="C30" s="591"/>
      <c r="D30" s="591"/>
      <c r="E30" s="603">
        <f>G29-E29</f>
        <v>-1.155000000000003</v>
      </c>
      <c r="F30" s="591"/>
      <c r="G30" s="591"/>
      <c r="H30" s="591"/>
      <c r="I30" s="591"/>
    </row>
    <row r="31" spans="2:9" ht="15.75">
      <c r="B31" s="591" t="s">
        <v>809</v>
      </c>
      <c r="C31" s="591"/>
      <c r="D31" s="604" t="str">
        <f>IF(E30&gt;=0,"Qualify","Not Qualify")</f>
        <v>Not Qualify</v>
      </c>
      <c r="E31" s="591"/>
      <c r="F31" s="591"/>
      <c r="G31" s="591"/>
      <c r="H31" s="591"/>
      <c r="I31" s="591"/>
    </row>
    <row r="32" spans="2:9" ht="15.75">
      <c r="B32" s="591"/>
      <c r="C32" s="591"/>
      <c r="D32" s="591"/>
      <c r="E32" s="591"/>
      <c r="F32" s="591"/>
      <c r="G32" s="591"/>
      <c r="H32" s="591"/>
      <c r="I32" s="591"/>
    </row>
    <row r="33" spans="2:9" ht="15.75">
      <c r="B33" s="591" t="s">
        <v>815</v>
      </c>
      <c r="C33" s="591"/>
      <c r="D33" s="591"/>
      <c r="E33" s="591"/>
      <c r="F33" s="605" t="str">
        <f>IF(D24="Not Qualify",IF(D31="Not Qualify",IF(D31="Not Qualify","Not Qualify","Qualify"),"Qualify"),"Qualify")</f>
        <v>Not Qualify</v>
      </c>
      <c r="G33" s="591"/>
      <c r="H33" s="591"/>
      <c r="I33" s="591"/>
    </row>
    <row r="34" spans="2:9" ht="15.75">
      <c r="B34" s="591"/>
      <c r="C34" s="591"/>
      <c r="D34" s="591"/>
      <c r="E34" s="591"/>
      <c r="F34" s="591"/>
      <c r="G34" s="591"/>
      <c r="H34" s="591"/>
      <c r="I34" s="591"/>
    </row>
    <row r="35" spans="2:9" ht="15.75">
      <c r="B35" s="591"/>
      <c r="C35" s="591"/>
      <c r="D35" s="591"/>
      <c r="E35" s="591"/>
      <c r="F35" s="591"/>
      <c r="G35" s="591"/>
      <c r="H35" s="591"/>
      <c r="I35" s="591"/>
    </row>
    <row r="36" spans="2:9" ht="37.5" customHeight="1">
      <c r="B36" s="808" t="s">
        <v>816</v>
      </c>
      <c r="C36" s="808"/>
      <c r="D36" s="808"/>
      <c r="E36" s="808"/>
      <c r="F36" s="808"/>
      <c r="G36" s="808"/>
      <c r="H36" s="808"/>
      <c r="I36" s="808"/>
    </row>
    <row r="37" spans="2:9" ht="15.75">
      <c r="B37" s="591"/>
      <c r="C37" s="591"/>
      <c r="D37" s="591"/>
      <c r="E37" s="591"/>
      <c r="F37" s="591"/>
      <c r="G37" s="591"/>
      <c r="H37" s="591"/>
      <c r="I37" s="591"/>
    </row>
    <row r="38" spans="2:9" ht="15.75">
      <c r="B38" s="591"/>
      <c r="C38" s="591"/>
      <c r="D38" s="591"/>
      <c r="E38" s="591"/>
      <c r="F38" s="591"/>
      <c r="G38" s="591"/>
      <c r="H38" s="591"/>
      <c r="I38" s="591"/>
    </row>
    <row r="39" spans="2:9" ht="15.75">
      <c r="B39" s="591"/>
      <c r="C39" s="591"/>
      <c r="D39" s="591"/>
      <c r="E39" s="591"/>
      <c r="F39" s="591"/>
      <c r="G39" s="591"/>
      <c r="H39" s="591"/>
      <c r="I39" s="591"/>
    </row>
    <row r="40" spans="2:9" ht="15.75">
      <c r="B40" s="591"/>
      <c r="C40" s="591"/>
      <c r="D40" s="591"/>
      <c r="E40" s="606" t="s">
        <v>817</v>
      </c>
      <c r="F40" s="607">
        <v>6</v>
      </c>
      <c r="G40" s="591"/>
      <c r="H40" s="591"/>
      <c r="I40" s="591"/>
    </row>
    <row r="41" spans="2:9" ht="15.75">
      <c r="B41" s="591"/>
      <c r="C41" s="591"/>
      <c r="D41" s="591"/>
      <c r="E41" s="591"/>
      <c r="F41" s="591"/>
      <c r="G41" s="591"/>
      <c r="H41" s="591"/>
      <c r="I41" s="591"/>
    </row>
    <row r="42" spans="2:9" ht="15.75">
      <c r="B42" s="591"/>
      <c r="C42" s="591"/>
      <c r="D42" s="591"/>
      <c r="E42" s="591"/>
      <c r="F42" s="591"/>
      <c r="G42" s="591"/>
      <c r="H42" s="591"/>
      <c r="I42" s="591"/>
    </row>
    <row r="43" spans="2:9" ht="15.75">
      <c r="B43" s="809" t="s">
        <v>818</v>
      </c>
      <c r="C43" s="810"/>
      <c r="D43" s="810"/>
      <c r="E43" s="810"/>
      <c r="F43" s="810"/>
      <c r="G43" s="810"/>
      <c r="H43" s="810"/>
      <c r="I43" s="810"/>
    </row>
    <row r="44" spans="2:9" ht="15.75">
      <c r="B44" s="591"/>
      <c r="C44" s="591"/>
      <c r="D44" s="591"/>
      <c r="E44" s="591"/>
      <c r="F44" s="591"/>
      <c r="G44" s="591"/>
      <c r="H44" s="591"/>
      <c r="I44" s="591"/>
    </row>
    <row r="45" spans="2:9" ht="15.75">
      <c r="B45" s="608" t="s">
        <v>819</v>
      </c>
      <c r="C45" s="591"/>
      <c r="D45" s="591"/>
      <c r="E45" s="591"/>
      <c r="F45" s="591"/>
      <c r="G45" s="591"/>
      <c r="H45" s="591"/>
      <c r="I45" s="591"/>
    </row>
    <row r="46" spans="2:9" ht="15.75">
      <c r="B46" s="608" t="str">
        <f>CONCATENATE("sources in your ",G14," library fund is not equal to or greater than the amount from the same")</f>
        <v>sources in your 2013 library fund is not equal to or greater than the amount from the same</v>
      </c>
      <c r="C46" s="591"/>
      <c r="D46" s="591"/>
      <c r="E46" s="591"/>
      <c r="F46" s="591"/>
      <c r="G46" s="591"/>
      <c r="H46" s="591"/>
      <c r="I46" s="591"/>
    </row>
    <row r="47" spans="2:9" ht="15.75">
      <c r="B47" s="608" t="str">
        <f>CONCATENATE("sources in ",E14,".")</f>
        <v>sources in 2012.</v>
      </c>
      <c r="C47" s="589"/>
      <c r="D47" s="589"/>
      <c r="E47" s="589"/>
      <c r="F47" s="589"/>
      <c r="G47" s="589"/>
      <c r="H47" s="589"/>
      <c r="I47" s="589"/>
    </row>
    <row r="48" spans="2:9" ht="15.75">
      <c r="B48" s="589"/>
      <c r="C48" s="589"/>
      <c r="D48" s="589"/>
      <c r="E48" s="589"/>
      <c r="F48" s="589"/>
      <c r="G48" s="589"/>
      <c r="H48" s="589"/>
      <c r="I48" s="589"/>
    </row>
    <row r="49" spans="2:9" ht="15.75">
      <c r="B49" s="608" t="s">
        <v>820</v>
      </c>
      <c r="C49" s="608"/>
      <c r="D49" s="609"/>
      <c r="E49" s="609"/>
      <c r="F49" s="609"/>
      <c r="G49" s="609"/>
      <c r="H49" s="609"/>
      <c r="I49" s="609"/>
    </row>
    <row r="50" spans="2:9" ht="15.75">
      <c r="B50" s="608" t="s">
        <v>821</v>
      </c>
      <c r="C50" s="608"/>
      <c r="D50" s="609"/>
      <c r="E50" s="609"/>
      <c r="F50" s="609"/>
      <c r="G50" s="609"/>
      <c r="H50" s="609"/>
      <c r="I50" s="609"/>
    </row>
    <row r="51" spans="2:9" ht="15.75">
      <c r="B51" s="608" t="s">
        <v>822</v>
      </c>
      <c r="C51" s="608"/>
      <c r="D51" s="609"/>
      <c r="E51" s="609"/>
      <c r="F51" s="609"/>
      <c r="G51" s="609"/>
      <c r="H51" s="609"/>
      <c r="I51" s="609"/>
    </row>
    <row r="52" spans="2:9" ht="15">
      <c r="B52" s="609"/>
      <c r="C52" s="609"/>
      <c r="D52" s="609"/>
      <c r="E52" s="609"/>
      <c r="F52" s="609"/>
      <c r="G52" s="609"/>
      <c r="H52" s="609"/>
      <c r="I52" s="609"/>
    </row>
    <row r="53" spans="2:9" ht="15.75">
      <c r="B53" s="610" t="s">
        <v>823</v>
      </c>
      <c r="C53" s="609"/>
      <c r="D53" s="609"/>
      <c r="E53" s="609"/>
      <c r="F53" s="609"/>
      <c r="G53" s="609"/>
      <c r="H53" s="609"/>
      <c r="I53" s="609"/>
    </row>
    <row r="54" spans="2:9" ht="15">
      <c r="B54" s="609"/>
      <c r="C54" s="609"/>
      <c r="D54" s="609"/>
      <c r="E54" s="609"/>
      <c r="F54" s="609"/>
      <c r="G54" s="609"/>
      <c r="H54" s="609"/>
      <c r="I54" s="609"/>
    </row>
    <row r="55" spans="2:9" ht="15.75">
      <c r="B55" s="608" t="s">
        <v>824</v>
      </c>
      <c r="C55" s="609"/>
      <c r="D55" s="609"/>
      <c r="E55" s="609"/>
      <c r="F55" s="609"/>
      <c r="G55" s="609"/>
      <c r="H55" s="609"/>
      <c r="I55" s="609"/>
    </row>
    <row r="56" spans="2:9" ht="15.75">
      <c r="B56" s="608" t="s">
        <v>825</v>
      </c>
      <c r="C56" s="609"/>
      <c r="D56" s="609"/>
      <c r="E56" s="609"/>
      <c r="F56" s="609"/>
      <c r="G56" s="609"/>
      <c r="H56" s="609"/>
      <c r="I56" s="609"/>
    </row>
    <row r="57" spans="2:9" ht="15">
      <c r="B57" s="609"/>
      <c r="C57" s="609"/>
      <c r="D57" s="609"/>
      <c r="E57" s="609"/>
      <c r="F57" s="609"/>
      <c r="G57" s="609"/>
      <c r="H57" s="609"/>
      <c r="I57" s="609"/>
    </row>
    <row r="58" spans="2:9" ht="15.75">
      <c r="B58" s="610" t="s">
        <v>826</v>
      </c>
      <c r="C58" s="608"/>
      <c r="D58" s="608"/>
      <c r="E58" s="608"/>
      <c r="F58" s="608"/>
      <c r="G58" s="609"/>
      <c r="H58" s="609"/>
      <c r="I58" s="609"/>
    </row>
    <row r="59" spans="2:9" ht="15.75">
      <c r="B59" s="608"/>
      <c r="C59" s="608"/>
      <c r="D59" s="608"/>
      <c r="E59" s="608"/>
      <c r="F59" s="608"/>
      <c r="G59" s="609"/>
      <c r="H59" s="609"/>
      <c r="I59" s="609"/>
    </row>
    <row r="60" spans="2:9" ht="15.75">
      <c r="B60" s="608" t="s">
        <v>827</v>
      </c>
      <c r="C60" s="608"/>
      <c r="D60" s="608"/>
      <c r="E60" s="608"/>
      <c r="F60" s="608"/>
      <c r="G60" s="609"/>
      <c r="H60" s="609"/>
      <c r="I60" s="609"/>
    </row>
    <row r="61" spans="2:9" ht="15.75">
      <c r="B61" s="608" t="s">
        <v>828</v>
      </c>
      <c r="C61" s="608"/>
      <c r="D61" s="608"/>
      <c r="E61" s="608"/>
      <c r="F61" s="608"/>
      <c r="G61" s="609"/>
      <c r="H61" s="609"/>
      <c r="I61" s="609"/>
    </row>
    <row r="62" spans="2:9" ht="15.75">
      <c r="B62" s="608" t="s">
        <v>829</v>
      </c>
      <c r="C62" s="608"/>
      <c r="D62" s="608"/>
      <c r="E62" s="608"/>
      <c r="F62" s="608"/>
      <c r="G62" s="609"/>
      <c r="H62" s="609"/>
      <c r="I62" s="609"/>
    </row>
    <row r="63" spans="2:9" ht="15.75">
      <c r="B63" s="608" t="s">
        <v>830</v>
      </c>
      <c r="C63" s="608"/>
      <c r="D63" s="608"/>
      <c r="E63" s="608"/>
      <c r="F63" s="608"/>
      <c r="G63" s="609"/>
      <c r="H63" s="609"/>
      <c r="I63" s="609"/>
    </row>
    <row r="64" spans="2:9" ht="15">
      <c r="B64" s="611"/>
      <c r="C64" s="611"/>
      <c r="D64" s="611"/>
      <c r="E64" s="611"/>
      <c r="F64" s="611"/>
      <c r="G64" s="609"/>
      <c r="H64" s="609"/>
      <c r="I64" s="609"/>
    </row>
    <row r="65" spans="2:9" ht="15.75">
      <c r="B65" s="608" t="s">
        <v>831</v>
      </c>
      <c r="C65" s="611"/>
      <c r="D65" s="611"/>
      <c r="E65" s="611"/>
      <c r="F65" s="611"/>
      <c r="G65" s="609"/>
      <c r="H65" s="609"/>
      <c r="I65" s="609"/>
    </row>
    <row r="66" spans="2:9" ht="15.75">
      <c r="B66" s="608" t="s">
        <v>832</v>
      </c>
      <c r="C66" s="611"/>
      <c r="D66" s="611"/>
      <c r="E66" s="611"/>
      <c r="F66" s="611"/>
      <c r="G66" s="609"/>
      <c r="H66" s="609"/>
      <c r="I66" s="609"/>
    </row>
    <row r="67" spans="2:9" ht="15">
      <c r="B67" s="611"/>
      <c r="C67" s="611"/>
      <c r="D67" s="611"/>
      <c r="E67" s="611"/>
      <c r="F67" s="611"/>
      <c r="G67" s="609"/>
      <c r="H67" s="609"/>
      <c r="I67" s="609"/>
    </row>
    <row r="68" spans="2:9" ht="15.75">
      <c r="B68" s="608" t="s">
        <v>833</v>
      </c>
      <c r="C68" s="611"/>
      <c r="D68" s="611"/>
      <c r="E68" s="611"/>
      <c r="F68" s="611"/>
      <c r="G68" s="609"/>
      <c r="H68" s="609"/>
      <c r="I68" s="609"/>
    </row>
    <row r="69" spans="2:9" ht="15.75">
      <c r="B69" s="608" t="s">
        <v>834</v>
      </c>
      <c r="C69" s="611"/>
      <c r="D69" s="611"/>
      <c r="E69" s="611"/>
      <c r="F69" s="611"/>
      <c r="G69" s="609"/>
      <c r="H69" s="609"/>
      <c r="I69" s="609"/>
    </row>
    <row r="70" spans="2:9" ht="15">
      <c r="B70" s="611"/>
      <c r="C70" s="611"/>
      <c r="D70" s="611"/>
      <c r="E70" s="611"/>
      <c r="F70" s="611"/>
      <c r="G70" s="609"/>
      <c r="H70" s="609"/>
      <c r="I70" s="609"/>
    </row>
    <row r="71" spans="2:9" ht="15.75">
      <c r="B71" s="610" t="s">
        <v>835</v>
      </c>
      <c r="C71" s="611"/>
      <c r="D71" s="611"/>
      <c r="E71" s="611"/>
      <c r="F71" s="611"/>
      <c r="G71" s="609"/>
      <c r="H71" s="609"/>
      <c r="I71" s="609"/>
    </row>
    <row r="72" spans="2:9" ht="15">
      <c r="B72" s="611"/>
      <c r="C72" s="611"/>
      <c r="D72" s="611"/>
      <c r="E72" s="611"/>
      <c r="F72" s="611"/>
      <c r="G72" s="609"/>
      <c r="H72" s="609"/>
      <c r="I72" s="609"/>
    </row>
    <row r="73" spans="2:9" ht="15.75">
      <c r="B73" s="608" t="s">
        <v>836</v>
      </c>
      <c r="C73" s="611"/>
      <c r="D73" s="611"/>
      <c r="E73" s="611"/>
      <c r="F73" s="611"/>
      <c r="G73" s="609"/>
      <c r="H73" s="609"/>
      <c r="I73" s="609"/>
    </row>
    <row r="74" spans="2:9" ht="15.75">
      <c r="B74" s="608" t="s">
        <v>837</v>
      </c>
      <c r="C74" s="611"/>
      <c r="D74" s="611"/>
      <c r="E74" s="611"/>
      <c r="F74" s="611"/>
      <c r="G74" s="609"/>
      <c r="H74" s="609"/>
      <c r="I74" s="609"/>
    </row>
    <row r="75" spans="2:9" ht="15">
      <c r="B75" s="611"/>
      <c r="C75" s="611"/>
      <c r="D75" s="611"/>
      <c r="E75" s="611"/>
      <c r="F75" s="611"/>
      <c r="G75" s="609"/>
      <c r="H75" s="609"/>
      <c r="I75" s="609"/>
    </row>
    <row r="76" spans="2:9" ht="15.75">
      <c r="B76" s="610" t="s">
        <v>838</v>
      </c>
      <c r="C76" s="611"/>
      <c r="D76" s="611"/>
      <c r="E76" s="611"/>
      <c r="F76" s="611"/>
      <c r="G76" s="609"/>
      <c r="H76" s="609"/>
      <c r="I76" s="609"/>
    </row>
    <row r="77" spans="2:9" ht="15">
      <c r="B77" s="611"/>
      <c r="C77" s="611"/>
      <c r="D77" s="611"/>
      <c r="E77" s="611"/>
      <c r="F77" s="611"/>
      <c r="G77" s="609"/>
      <c r="H77" s="609"/>
      <c r="I77" s="609"/>
    </row>
    <row r="78" spans="2:9" ht="15.75">
      <c r="B78" s="608" t="str">
        <f>CONCATENATE("If the ",G14," municipal budget has not been published and has not been submitted to the County")</f>
        <v>If the 2013 municipal budget has not been published and has not been submitted to the County</v>
      </c>
      <c r="C78" s="611"/>
      <c r="D78" s="611"/>
      <c r="E78" s="611"/>
      <c r="F78" s="611"/>
      <c r="G78" s="609"/>
      <c r="H78" s="609"/>
      <c r="I78" s="609"/>
    </row>
    <row r="79" spans="2:9" ht="15.75">
      <c r="B79" s="608" t="s">
        <v>839</v>
      </c>
      <c r="C79" s="611"/>
      <c r="D79" s="611"/>
      <c r="E79" s="611"/>
      <c r="F79" s="611"/>
      <c r="G79" s="609"/>
      <c r="H79" s="609"/>
      <c r="I79" s="609"/>
    </row>
    <row r="80" spans="2:9" ht="15">
      <c r="B80" s="611"/>
      <c r="C80" s="611"/>
      <c r="D80" s="611"/>
      <c r="E80" s="611"/>
      <c r="F80" s="611"/>
      <c r="G80" s="609"/>
      <c r="H80" s="609"/>
      <c r="I80" s="609"/>
    </row>
    <row r="81" spans="2:9" ht="15.75">
      <c r="B81" s="610" t="s">
        <v>418</v>
      </c>
      <c r="C81" s="611"/>
      <c r="D81" s="611"/>
      <c r="E81" s="611"/>
      <c r="F81" s="611"/>
      <c r="G81" s="609"/>
      <c r="H81" s="609"/>
      <c r="I81" s="609"/>
    </row>
    <row r="82" spans="2:9" ht="15">
      <c r="B82" s="611"/>
      <c r="C82" s="611"/>
      <c r="D82" s="611"/>
      <c r="E82" s="611"/>
      <c r="F82" s="611"/>
      <c r="G82" s="609"/>
      <c r="H82" s="609"/>
      <c r="I82" s="609"/>
    </row>
    <row r="83" spans="2:9" ht="15.75">
      <c r="B83" s="608" t="s">
        <v>840</v>
      </c>
      <c r="C83" s="611"/>
      <c r="D83" s="611"/>
      <c r="E83" s="611"/>
      <c r="F83" s="611"/>
      <c r="G83" s="609"/>
      <c r="H83" s="609"/>
      <c r="I83" s="609"/>
    </row>
    <row r="84" spans="2:9" ht="15.75">
      <c r="B84" s="608" t="str">
        <f>CONCATENATE("Budget Year ",G14," is equal to or greater than that for Current Year Estimate ",E14,".")</f>
        <v>Budget Year 2013 is equal to or greater than that for Current Year Estimate 2012.</v>
      </c>
      <c r="C84" s="611"/>
      <c r="D84" s="611"/>
      <c r="E84" s="611"/>
      <c r="F84" s="611"/>
      <c r="G84" s="609"/>
      <c r="H84" s="609"/>
      <c r="I84" s="609"/>
    </row>
    <row r="85" spans="2:9" ht="15">
      <c r="B85" s="611"/>
      <c r="C85" s="611"/>
      <c r="D85" s="611"/>
      <c r="E85" s="611"/>
      <c r="F85" s="611"/>
      <c r="G85" s="609"/>
      <c r="H85" s="609"/>
      <c r="I85" s="609"/>
    </row>
    <row r="86" spans="2:9" ht="15.75">
      <c r="B86" s="608" t="s">
        <v>841</v>
      </c>
      <c r="C86" s="611"/>
      <c r="D86" s="611"/>
      <c r="E86" s="611"/>
      <c r="F86" s="611"/>
      <c r="G86" s="609"/>
      <c r="H86" s="609"/>
      <c r="I86" s="609"/>
    </row>
    <row r="87" spans="2:9" ht="15.75">
      <c r="B87" s="608" t="s">
        <v>842</v>
      </c>
      <c r="C87" s="611"/>
      <c r="D87" s="611"/>
      <c r="E87" s="611"/>
      <c r="F87" s="611"/>
      <c r="G87" s="609"/>
      <c r="H87" s="609"/>
      <c r="I87" s="609"/>
    </row>
    <row r="88" spans="2:9" ht="15.75">
      <c r="B88" s="608" t="s">
        <v>843</v>
      </c>
      <c r="C88" s="611"/>
      <c r="D88" s="611"/>
      <c r="E88" s="611"/>
      <c r="F88" s="611"/>
      <c r="G88" s="609"/>
      <c r="H88" s="609"/>
      <c r="I88" s="609"/>
    </row>
    <row r="89" spans="2:9" ht="15.75">
      <c r="B89" s="608" t="str">
        <f>CONCATENATE("purpose for the previous (",E14,") year.")</f>
        <v>purpose for the previous (2012) year.</v>
      </c>
      <c r="C89" s="611"/>
      <c r="D89" s="611"/>
      <c r="E89" s="611"/>
      <c r="F89" s="611"/>
      <c r="G89" s="609"/>
      <c r="H89" s="609"/>
      <c r="I89" s="609"/>
    </row>
    <row r="90" spans="2:9" ht="15">
      <c r="B90" s="611"/>
      <c r="C90" s="611"/>
      <c r="D90" s="611"/>
      <c r="E90" s="611"/>
      <c r="F90" s="611"/>
      <c r="G90" s="609"/>
      <c r="H90" s="609"/>
      <c r="I90" s="609"/>
    </row>
    <row r="91" spans="2:9" ht="15.75">
      <c r="B91" s="608" t="str">
        <f>CONCATENATE("Next, look to see if delinquent tax for ",G14," is budgeted. Often this line is budgeted at $0 or left")</f>
        <v>Next, look to see if delinquent tax for 2013 is budgeted. Often this line is budgeted at $0 or left</v>
      </c>
      <c r="C91" s="611"/>
      <c r="D91" s="611"/>
      <c r="E91" s="611"/>
      <c r="F91" s="611"/>
      <c r="G91" s="609"/>
      <c r="H91" s="609"/>
      <c r="I91" s="609"/>
    </row>
    <row r="92" spans="2:9" ht="15.75">
      <c r="B92" s="608" t="s">
        <v>844</v>
      </c>
      <c r="C92" s="611"/>
      <c r="D92" s="611"/>
      <c r="E92" s="611"/>
      <c r="F92" s="611"/>
      <c r="G92" s="609"/>
      <c r="H92" s="609"/>
      <c r="I92" s="609"/>
    </row>
    <row r="93" spans="2:9" ht="15.75">
      <c r="B93" s="608" t="s">
        <v>845</v>
      </c>
      <c r="C93" s="611"/>
      <c r="D93" s="611"/>
      <c r="E93" s="611"/>
      <c r="F93" s="611"/>
      <c r="G93" s="609"/>
      <c r="H93" s="609"/>
      <c r="I93" s="609"/>
    </row>
    <row r="94" spans="2:9" ht="15.75">
      <c r="B94" s="608" t="s">
        <v>846</v>
      </c>
      <c r="C94" s="611"/>
      <c r="D94" s="611"/>
      <c r="E94" s="611"/>
      <c r="F94" s="611"/>
      <c r="G94" s="609"/>
      <c r="H94" s="609"/>
      <c r="I94" s="609"/>
    </row>
    <row r="95" spans="2:9" ht="15">
      <c r="B95" s="611"/>
      <c r="C95" s="611"/>
      <c r="D95" s="611"/>
      <c r="E95" s="611"/>
      <c r="F95" s="611"/>
      <c r="G95" s="609"/>
      <c r="H95" s="609"/>
      <c r="I95" s="609"/>
    </row>
    <row r="96" spans="2:9" ht="15.75">
      <c r="B96" s="610" t="s">
        <v>847</v>
      </c>
      <c r="C96" s="611"/>
      <c r="D96" s="611"/>
      <c r="E96" s="611"/>
      <c r="F96" s="611"/>
      <c r="G96" s="609"/>
      <c r="H96" s="609"/>
      <c r="I96" s="609"/>
    </row>
    <row r="97" spans="2:9" ht="15">
      <c r="B97" s="611"/>
      <c r="C97" s="611"/>
      <c r="D97" s="611"/>
      <c r="E97" s="611"/>
      <c r="F97" s="611"/>
      <c r="G97" s="609"/>
      <c r="H97" s="609"/>
      <c r="I97" s="609"/>
    </row>
    <row r="98" spans="2:9" ht="15.75">
      <c r="B98" s="608" t="s">
        <v>848</v>
      </c>
      <c r="C98" s="611"/>
      <c r="D98" s="611"/>
      <c r="E98" s="611"/>
      <c r="F98" s="611"/>
      <c r="G98" s="609"/>
      <c r="H98" s="609"/>
      <c r="I98" s="609"/>
    </row>
    <row r="99" spans="2:9" ht="15.75">
      <c r="B99" s="608" t="s">
        <v>849</v>
      </c>
      <c r="C99" s="611"/>
      <c r="D99" s="611"/>
      <c r="E99" s="611"/>
      <c r="F99" s="611"/>
      <c r="G99" s="609"/>
      <c r="H99" s="609"/>
      <c r="I99" s="609"/>
    </row>
    <row r="100" spans="2:9" ht="15">
      <c r="B100" s="611"/>
      <c r="C100" s="611"/>
      <c r="D100" s="611"/>
      <c r="E100" s="611"/>
      <c r="F100" s="611"/>
      <c r="G100" s="609"/>
      <c r="H100" s="609"/>
      <c r="I100" s="609"/>
    </row>
    <row r="101" spans="2:9" ht="15.75">
      <c r="B101" s="608" t="s">
        <v>850</v>
      </c>
      <c r="C101" s="611"/>
      <c r="D101" s="611"/>
      <c r="E101" s="611"/>
      <c r="F101" s="611"/>
      <c r="G101" s="609"/>
      <c r="H101" s="609"/>
      <c r="I101" s="609"/>
    </row>
    <row r="102" spans="2:9" ht="15.75">
      <c r="B102" s="608" t="s">
        <v>851</v>
      </c>
      <c r="C102" s="611"/>
      <c r="D102" s="611"/>
      <c r="E102" s="611"/>
      <c r="F102" s="611"/>
      <c r="G102" s="609"/>
      <c r="H102" s="609"/>
      <c r="I102" s="609"/>
    </row>
    <row r="103" spans="2:9" ht="15.75">
      <c r="B103" s="608" t="s">
        <v>852</v>
      </c>
      <c r="C103" s="611"/>
      <c r="D103" s="611"/>
      <c r="E103" s="611"/>
      <c r="F103" s="611"/>
      <c r="G103" s="609"/>
      <c r="H103" s="609"/>
      <c r="I103" s="609"/>
    </row>
    <row r="104" spans="2:9" ht="15.75">
      <c r="B104" s="608" t="s">
        <v>853</v>
      </c>
      <c r="C104" s="611"/>
      <c r="D104" s="611"/>
      <c r="E104" s="611"/>
      <c r="F104" s="611"/>
      <c r="G104" s="609"/>
      <c r="H104" s="609"/>
      <c r="I104" s="609"/>
    </row>
    <row r="105" spans="2:9" ht="15.75">
      <c r="B105" s="742" t="s">
        <v>933</v>
      </c>
      <c r="C105" s="743"/>
      <c r="D105" s="743"/>
      <c r="E105" s="743"/>
      <c r="F105" s="743"/>
      <c r="G105" s="609"/>
      <c r="H105" s="609"/>
      <c r="I105" s="609"/>
    </row>
    <row r="108" ht="15">
      <c r="G108" s="61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6"/>
  <sheetViews>
    <sheetView zoomScale="90" zoomScaleNormal="90" zoomScalePageLayoutView="0" workbookViewId="0" topLeftCell="A36">
      <selection activeCell="E39" sqref="E39"/>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2" t="str">
        <f>inputPrYr!D3</f>
        <v>Morrill Township</v>
      </c>
      <c r="C1" s="65"/>
      <c r="D1" s="65"/>
      <c r="E1" s="223">
        <f>inputPrYr!D9</f>
        <v>2013</v>
      </c>
    </row>
    <row r="2" spans="2:5" ht="15.75">
      <c r="B2" s="542" t="s">
        <v>762</v>
      </c>
      <c r="C2" s="65"/>
      <c r="D2" s="65"/>
      <c r="E2" s="309"/>
    </row>
    <row r="3" spans="2:5" ht="15.75">
      <c r="B3" s="65"/>
      <c r="C3" s="77"/>
      <c r="D3" s="77"/>
      <c r="E3" s="310"/>
    </row>
    <row r="4" spans="2:5" ht="15.75">
      <c r="B4" s="71" t="s">
        <v>270</v>
      </c>
      <c r="C4" s="390" t="s">
        <v>271</v>
      </c>
      <c r="D4" s="393" t="s">
        <v>272</v>
      </c>
      <c r="E4" s="73" t="s">
        <v>273</v>
      </c>
    </row>
    <row r="5" spans="2:5" ht="15.75">
      <c r="B5" s="486" t="str">
        <f>inputPrYr!B20</f>
        <v>General</v>
      </c>
      <c r="C5" s="391" t="str">
        <f>CONCATENATE("Actual for ",$E$1-2,"")</f>
        <v>Actual for 2011</v>
      </c>
      <c r="D5" s="391" t="str">
        <f>CONCATENATE("Estimate for ",$E$1-1,"")</f>
        <v>Estimate for 2012</v>
      </c>
      <c r="E5" s="78" t="str">
        <f>CONCATENATE("Year for ",$E$1,"")</f>
        <v>Year for 2013</v>
      </c>
    </row>
    <row r="6" spans="2:5" ht="15.75">
      <c r="B6" s="79" t="s">
        <v>67</v>
      </c>
      <c r="C6" s="311">
        <v>2512</v>
      </c>
      <c r="D6" s="392">
        <f>C42</f>
        <v>1319</v>
      </c>
      <c r="E6" s="259">
        <f>D42</f>
        <v>0</v>
      </c>
    </row>
    <row r="7" spans="2:5" ht="15.75">
      <c r="B7" s="79" t="s">
        <v>69</v>
      </c>
      <c r="C7" s="392"/>
      <c r="D7" s="392"/>
      <c r="E7" s="313"/>
    </row>
    <row r="8" spans="2:5" ht="15.75">
      <c r="B8" s="79" t="s">
        <v>276</v>
      </c>
      <c r="C8" s="311">
        <v>18318</v>
      </c>
      <c r="D8" s="392">
        <f>IF(inputPrYr!H19&gt;0,inputPrYr!G20,inputPrYr!E20)</f>
        <v>9815</v>
      </c>
      <c r="E8" s="313" t="s">
        <v>255</v>
      </c>
    </row>
    <row r="9" spans="2:5" ht="15.75">
      <c r="B9" s="79" t="s">
        <v>277</v>
      </c>
      <c r="C9" s="311"/>
      <c r="D9" s="311"/>
      <c r="E9" s="169"/>
    </row>
    <row r="10" spans="2:5" ht="15.75">
      <c r="B10" s="79" t="s">
        <v>278</v>
      </c>
      <c r="C10" s="311"/>
      <c r="D10" s="311">
        <v>1058</v>
      </c>
      <c r="E10" s="259">
        <f>mvalloc!G11</f>
        <v>745</v>
      </c>
    </row>
    <row r="11" spans="2:5" ht="15.75">
      <c r="B11" s="79" t="s">
        <v>279</v>
      </c>
      <c r="C11" s="311"/>
      <c r="D11" s="311">
        <v>16</v>
      </c>
      <c r="E11" s="259">
        <f>mvalloc!I11</f>
        <v>13</v>
      </c>
    </row>
    <row r="12" spans="2:5" ht="15.75">
      <c r="B12" s="314" t="s">
        <v>18</v>
      </c>
      <c r="C12" s="311"/>
      <c r="D12" s="311">
        <v>91</v>
      </c>
      <c r="E12" s="259">
        <f>mvalloc!J11</f>
        <v>97</v>
      </c>
    </row>
    <row r="13" spans="2:5" ht="15.75">
      <c r="B13" s="314" t="s">
        <v>109</v>
      </c>
      <c r="C13" s="311"/>
      <c r="D13" s="311"/>
      <c r="E13" s="259">
        <f>inputOth!E71</f>
        <v>0</v>
      </c>
    </row>
    <row r="14" spans="2:5" ht="15.75">
      <c r="B14" s="79" t="s">
        <v>280</v>
      </c>
      <c r="C14" s="311"/>
      <c r="D14" s="311">
        <v>4666</v>
      </c>
      <c r="E14" s="259">
        <f>inputOth!E32</f>
        <v>4528</v>
      </c>
    </row>
    <row r="15" spans="2:5" ht="15.75">
      <c r="B15" s="316"/>
      <c r="C15" s="311"/>
      <c r="D15" s="311"/>
      <c r="E15" s="169"/>
    </row>
    <row r="16" spans="2:5" ht="15.75">
      <c r="B16" s="315"/>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IF(E20*0.1+E48&lt;E18,"Exceed 10% Rule","")</f>
      </c>
    </row>
    <row r="20" spans="2:5" ht="15.75">
      <c r="B20" s="319" t="s">
        <v>283</v>
      </c>
      <c r="C20" s="395">
        <f>SUM(C8:C18)</f>
        <v>18318</v>
      </c>
      <c r="D20" s="395">
        <f>SUM(D8:D18)</f>
        <v>15646</v>
      </c>
      <c r="E20" s="320">
        <f>SUM(E8:E18)</f>
        <v>5383</v>
      </c>
    </row>
    <row r="21" spans="2:5" ht="15.75">
      <c r="B21" s="97" t="s">
        <v>284</v>
      </c>
      <c r="C21" s="395">
        <f>C20+C6</f>
        <v>20830</v>
      </c>
      <c r="D21" s="395">
        <f>D20+D6</f>
        <v>16965</v>
      </c>
      <c r="E21" s="320">
        <f>E20+E6</f>
        <v>5383</v>
      </c>
    </row>
    <row r="22" spans="2:5" ht="15.75">
      <c r="B22" s="79" t="s">
        <v>285</v>
      </c>
      <c r="C22" s="392"/>
      <c r="D22" s="392"/>
      <c r="E22" s="259"/>
    </row>
    <row r="23" spans="2:5" ht="15.75">
      <c r="B23" s="315"/>
      <c r="C23" s="311"/>
      <c r="D23" s="311"/>
      <c r="E23" s="169"/>
    </row>
    <row r="24" spans="2:5" ht="15.75">
      <c r="B24" s="316" t="s">
        <v>50</v>
      </c>
      <c r="C24" s="311">
        <v>328</v>
      </c>
      <c r="D24" s="311">
        <v>600</v>
      </c>
      <c r="E24" s="169">
        <v>600</v>
      </c>
    </row>
    <row r="25" spans="2:5" ht="15.75">
      <c r="B25" s="316" t="s">
        <v>74</v>
      </c>
      <c r="C25" s="311"/>
      <c r="D25" s="311"/>
      <c r="E25" s="169"/>
    </row>
    <row r="26" spans="2:5" ht="15.75">
      <c r="B26" s="316" t="s">
        <v>51</v>
      </c>
      <c r="C26" s="311"/>
      <c r="D26" s="311"/>
      <c r="E26" s="169"/>
    </row>
    <row r="27" spans="2:5" ht="15.75">
      <c r="B27" s="316" t="s">
        <v>951</v>
      </c>
      <c r="C27" s="311">
        <v>3500</v>
      </c>
      <c r="D27" s="311"/>
      <c r="E27" s="169"/>
    </row>
    <row r="28" spans="2:5" ht="15.75">
      <c r="B28" s="315" t="s">
        <v>52</v>
      </c>
      <c r="C28" s="311">
        <v>3183</v>
      </c>
      <c r="D28" s="311"/>
      <c r="E28" s="169"/>
    </row>
    <row r="29" spans="2:5" ht="15.75">
      <c r="B29" s="315" t="s">
        <v>953</v>
      </c>
      <c r="C29" s="311"/>
      <c r="D29" s="311">
        <v>8865</v>
      </c>
      <c r="E29" s="169">
        <v>7000</v>
      </c>
    </row>
    <row r="30" spans="2:5" ht="15.75">
      <c r="B30" s="316" t="s">
        <v>76</v>
      </c>
      <c r="C30" s="311"/>
      <c r="D30" s="311">
        <v>7500</v>
      </c>
      <c r="E30" s="169">
        <v>7500</v>
      </c>
    </row>
    <row r="31" spans="2:5" ht="15.75">
      <c r="B31" s="316"/>
      <c r="C31" s="311"/>
      <c r="D31" s="311"/>
      <c r="E31" s="169"/>
    </row>
    <row r="32" spans="2:5" ht="15.75">
      <c r="B32" s="316" t="s">
        <v>54</v>
      </c>
      <c r="C32" s="311">
        <v>10000</v>
      </c>
      <c r="D32" s="311"/>
      <c r="E32" s="169"/>
    </row>
    <row r="33" spans="2:10" ht="15.75">
      <c r="B33" s="316" t="s">
        <v>952</v>
      </c>
      <c r="C33" s="311">
        <v>2500</v>
      </c>
      <c r="D33" s="311"/>
      <c r="E33" s="169"/>
      <c r="G33" s="509"/>
      <c r="H33" s="544"/>
      <c r="I33" s="549"/>
      <c r="J33" s="510"/>
    </row>
    <row r="34" spans="2:10" ht="15.75">
      <c r="B34" s="314" t="s">
        <v>188</v>
      </c>
      <c r="C34" s="311"/>
      <c r="D34" s="311"/>
      <c r="E34" s="169"/>
      <c r="G34" s="511" t="s">
        <v>731</v>
      </c>
      <c r="H34" s="549"/>
      <c r="I34" s="549"/>
      <c r="J34" s="512">
        <v>0</v>
      </c>
    </row>
    <row r="35" spans="2:10" ht="15.75">
      <c r="B35" s="314" t="s">
        <v>189</v>
      </c>
      <c r="C35" s="394">
        <f>IF(AND($C$34&gt;0,$C$8&gt;0),"Not Authorized","")</f>
      </c>
      <c r="D35" s="394">
        <f>IF(AND($D$34&gt;0,$D$8&gt;0),"Not Authorized","")</f>
      </c>
      <c r="E35" s="321">
        <f>IF(AND(E48&gt;0,$E$34&gt;0),"Not Authorized","")</f>
      </c>
      <c r="G35" s="509" t="s">
        <v>732</v>
      </c>
      <c r="H35" s="544"/>
      <c r="I35" s="544"/>
      <c r="J35" s="720">
        <f>IF(J34=0,"",ROUND((J34+E48-G47)/inputOth!E11*1000,3)-G52)</f>
      </c>
    </row>
    <row r="36" spans="2:10" ht="15.75">
      <c r="B36" s="79" t="s">
        <v>190</v>
      </c>
      <c r="C36" s="311"/>
      <c r="D36" s="311"/>
      <c r="E36" s="169"/>
      <c r="G36" s="721" t="str">
        <f>CONCATENATE("",E1," Tot Exp/Non-Appr Must Be:")</f>
        <v>2013 Tot Exp/Non-Appr Must Be:</v>
      </c>
      <c r="H36" s="539"/>
      <c r="I36" s="717"/>
      <c r="J36" s="722">
        <f>IF(J34&gt;0,IF(E45&lt;E17,IF(J34=G47,E45,((J34-G47)*(1-D47))+E17),E45+(J34-G47)),0)</f>
        <v>0</v>
      </c>
    </row>
    <row r="37" spans="2:10" ht="15.75">
      <c r="B37" s="79" t="s">
        <v>768</v>
      </c>
      <c r="C37" s="394">
        <f>IF(C21*0.25&lt;C36,"Exceeds 25%","")</f>
      </c>
      <c r="D37" s="394">
        <f>IF(D21*0.25&lt;D36,"Exceeds 25%","")</f>
      </c>
      <c r="E37" s="321">
        <f>IF(E21*0.25+E48&lt;E36,"Exceeds 25%","")</f>
      </c>
      <c r="G37" s="723" t="s">
        <v>858</v>
      </c>
      <c r="H37" s="724"/>
      <c r="I37" s="724"/>
      <c r="J37" s="725">
        <f>IF(J34&gt;0,J36-E45,0)</f>
        <v>0</v>
      </c>
    </row>
    <row r="38" spans="2:5" ht="15.75">
      <c r="B38" s="314" t="s">
        <v>230</v>
      </c>
      <c r="C38" s="311"/>
      <c r="D38" s="311"/>
      <c r="E38" s="180">
        <f>nhood!E6</f>
      </c>
    </row>
    <row r="39" spans="2:10" ht="15.75">
      <c r="B39" s="314" t="s">
        <v>228</v>
      </c>
      <c r="C39" s="311"/>
      <c r="D39" s="311"/>
      <c r="E39" s="169"/>
      <c r="G39" s="817" t="str">
        <f>CONCATENATE("Projected Carryover Into ",E1+1,"")</f>
        <v>Projected Carryover Into 2014</v>
      </c>
      <c r="H39" s="818"/>
      <c r="I39" s="818"/>
      <c r="J39" s="819"/>
    </row>
    <row r="40" spans="2:10" ht="15.75">
      <c r="B40" s="314" t="s">
        <v>729</v>
      </c>
      <c r="C40" s="394">
        <f>IF(C41*0.1&lt;C39,"Exceed 10% Rule","")</f>
      </c>
      <c r="D40" s="394">
        <f>IF(D41*0.1&lt;D39,"Exceed 10% Rule","")</f>
      </c>
      <c r="E40" s="321">
        <f>IF(E41*0.1&lt;E39,"Exceed 10% Rule","")</f>
      </c>
      <c r="G40" s="543"/>
      <c r="H40" s="544"/>
      <c r="I40" s="544"/>
      <c r="J40" s="545"/>
    </row>
    <row r="41" spans="2:10" ht="15.75">
      <c r="B41" s="97" t="s">
        <v>286</v>
      </c>
      <c r="C41" s="395">
        <f>SUM(C23:C34,C36,C38:C39)</f>
        <v>19511</v>
      </c>
      <c r="D41" s="395">
        <f>SUM(D23:D34,D36,D38:D39)</f>
        <v>16965</v>
      </c>
      <c r="E41" s="320">
        <f>SUM(E23:E34,E38:E39,E36)</f>
        <v>15100</v>
      </c>
      <c r="G41" s="546">
        <f>D42</f>
        <v>0</v>
      </c>
      <c r="H41" s="547" t="str">
        <f>CONCATENATE("",E1-1," Ending Cash Balance (est.)")</f>
        <v>2012 Ending Cash Balance (est.)</v>
      </c>
      <c r="I41" s="548"/>
      <c r="J41" s="545"/>
    </row>
    <row r="42" spans="2:10" ht="15.75">
      <c r="B42" s="79" t="s">
        <v>68</v>
      </c>
      <c r="C42" s="396">
        <f>C21-C41</f>
        <v>1319</v>
      </c>
      <c r="D42" s="396">
        <f>D21-D41</f>
        <v>0</v>
      </c>
      <c r="E42" s="313" t="s">
        <v>255</v>
      </c>
      <c r="G42" s="546">
        <f>E20</f>
        <v>5383</v>
      </c>
      <c r="H42" s="549" t="str">
        <f>CONCATENATE("",E1," Non-AV Receipts (est.)")</f>
        <v>2013 Non-AV Receipts (est.)</v>
      </c>
      <c r="I42" s="548"/>
      <c r="J42" s="545"/>
    </row>
    <row r="43" spans="2:11" ht="15.75">
      <c r="B43" s="115" t="str">
        <f>CONCATENATE("",E1-2,"/",E1-1," Budget Authority Amount:")</f>
        <v>2011/2012 Budget Authority Amount:</v>
      </c>
      <c r="C43" s="336">
        <f>inputOth!B83</f>
        <v>18100</v>
      </c>
      <c r="D43" s="68">
        <f>inputPrYr!D20</f>
        <v>18100</v>
      </c>
      <c r="E43" s="313" t="s">
        <v>255</v>
      </c>
      <c r="F43" s="322"/>
      <c r="G43" s="550">
        <f>IF(D47&gt;0,E46,E48)</f>
        <v>9717</v>
      </c>
      <c r="H43" s="549" t="str">
        <f>CONCATENATE("",E1," Ad Valorem Tax (est.)")</f>
        <v>2013 Ad Valorem Tax (est.)</v>
      </c>
      <c r="I43" s="548"/>
      <c r="J43" s="545"/>
      <c r="K43" s="726">
        <f>IF(G43=E48,"","Note: Does not include Delinquent Taxes")</f>
      </c>
    </row>
    <row r="44" spans="2:10" ht="15.75">
      <c r="B44" s="115"/>
      <c r="C44" s="811" t="s">
        <v>726</v>
      </c>
      <c r="D44" s="812"/>
      <c r="E44" s="169"/>
      <c r="F44" s="322">
        <f>IF(E41/0.95-E41&lt;E44,"Exceeds 5%","")</f>
      </c>
      <c r="G44" s="546">
        <f>SUM(G41:G43)</f>
        <v>15100</v>
      </c>
      <c r="H44" s="549" t="str">
        <f>CONCATENATE("Total ",E1," Resources Available")</f>
        <v>Total 2013 Resources Available</v>
      </c>
      <c r="I44" s="548"/>
      <c r="J44" s="545"/>
    </row>
    <row r="45" spans="2:10" ht="15.75">
      <c r="B45" s="501" t="str">
        <f>CONCATENATE(C65,"      ",D65)</f>
        <v>See Tab A      </v>
      </c>
      <c r="C45" s="813" t="s">
        <v>727</v>
      </c>
      <c r="D45" s="814"/>
      <c r="E45" s="259">
        <f>E41+E44</f>
        <v>15100</v>
      </c>
      <c r="G45" s="551"/>
      <c r="H45" s="549"/>
      <c r="I45" s="549"/>
      <c r="J45" s="545"/>
    </row>
    <row r="46" spans="2:10" ht="15.75">
      <c r="B46" s="501" t="str">
        <f>CONCATENATE(C66,"       ",D66)</f>
        <v>       </v>
      </c>
      <c r="C46" s="504"/>
      <c r="D46" s="503" t="s">
        <v>288</v>
      </c>
      <c r="E46" s="180">
        <f>IF(E45-E21&gt;0,E45-E21,0)</f>
        <v>9717</v>
      </c>
      <c r="G46" s="550">
        <f>ROUND(C41*0.05+C41,0)</f>
        <v>20487</v>
      </c>
      <c r="H46" s="549" t="str">
        <f>CONCATENATE("Less ",E1-2," Expenditures + 5%")</f>
        <v>Less 2011 Expenditures + 5%</v>
      </c>
      <c r="I46" s="548"/>
      <c r="J46" s="545"/>
    </row>
    <row r="47" spans="2:10" ht="15.75">
      <c r="B47" s="208"/>
      <c r="C47" s="502" t="s">
        <v>728</v>
      </c>
      <c r="D47" s="719">
        <f>inputOth!$E$77</f>
        <v>0</v>
      </c>
      <c r="E47" s="259">
        <f>ROUND(IF(D47&gt;0,(E46*D47),0),0)</f>
        <v>0</v>
      </c>
      <c r="G47" s="552">
        <f>G44-G46</f>
        <v>-5387</v>
      </c>
      <c r="H47" s="553" t="str">
        <f>CONCATENATE("Projected ",E1+1," Carryover (est.)")</f>
        <v>Projected 2014 Carryover (est.)</v>
      </c>
      <c r="I47" s="554"/>
      <c r="J47" s="555"/>
    </row>
    <row r="48" spans="2:5" ht="15.75">
      <c r="B48" s="65"/>
      <c r="C48" s="815" t="str">
        <f>CONCATENATE("Amount of  ",$E$1-1," Ad Valorem Tax")</f>
        <v>Amount of  2012 Ad Valorem Tax</v>
      </c>
      <c r="D48" s="816"/>
      <c r="E48" s="180">
        <f>E46+E47</f>
        <v>9717</v>
      </c>
    </row>
    <row r="49" spans="2:10" ht="15.75">
      <c r="B49" s="65"/>
      <c r="C49" s="65"/>
      <c r="D49" s="65"/>
      <c r="E49" s="65"/>
      <c r="G49" s="820" t="s">
        <v>859</v>
      </c>
      <c r="H49" s="821"/>
      <c r="I49" s="821"/>
      <c r="J49" s="822"/>
    </row>
    <row r="50" spans="2:11" s="324" customFormat="1" ht="15.75">
      <c r="B50" s="70"/>
      <c r="C50" s="70"/>
      <c r="D50" s="266"/>
      <c r="E50" s="70"/>
      <c r="G50" s="727"/>
      <c r="H50" s="547"/>
      <c r="I50" s="718"/>
      <c r="J50" s="728"/>
      <c r="K50" s="154"/>
    </row>
    <row r="51" spans="2:11" s="325" customFormat="1" ht="15.75">
      <c r="B51" s="65"/>
      <c r="C51" s="65"/>
      <c r="D51" s="188"/>
      <c r="E51" s="65"/>
      <c r="G51" s="729">
        <f>summ!H18</f>
        <v>1.569</v>
      </c>
      <c r="H51" s="547" t="str">
        <f>CONCATENATE("",E1," Fund Mill Rate")</f>
        <v>2013 Fund Mill Rate</v>
      </c>
      <c r="I51" s="718"/>
      <c r="J51" s="728"/>
      <c r="K51" s="154"/>
    </row>
    <row r="52" spans="2:10" ht="15.75">
      <c r="B52" s="208" t="s">
        <v>269</v>
      </c>
      <c r="C52" s="373">
        <v>6</v>
      </c>
      <c r="D52" s="65"/>
      <c r="E52" s="65"/>
      <c r="G52" s="730">
        <f>summ!E18</f>
        <v>1.714</v>
      </c>
      <c r="H52" s="547" t="str">
        <f>CONCATENATE("",E1-1," Fund Mill Rate")</f>
        <v>2012 Fund Mill Rate</v>
      </c>
      <c r="I52" s="718"/>
      <c r="J52" s="728"/>
    </row>
    <row r="53" spans="7:10" ht="15.75">
      <c r="G53" s="731">
        <f>summ!H24</f>
        <v>14.411999999999999</v>
      </c>
      <c r="H53" s="547" t="str">
        <f>CONCATENATE("Total ",E1," Mill Rate")</f>
        <v>Total 2013 Mill Rate</v>
      </c>
      <c r="I53" s="718"/>
      <c r="J53" s="728"/>
    </row>
    <row r="54" spans="2:10" ht="15.75">
      <c r="B54" s="107"/>
      <c r="G54" s="730">
        <f>summ!E24</f>
        <v>15.567000000000002</v>
      </c>
      <c r="H54" s="732" t="str">
        <f>CONCATENATE("Total ",E1-1," Mill Rate")</f>
        <v>Total 2012 Mill Rate</v>
      </c>
      <c r="I54" s="733"/>
      <c r="J54" s="734"/>
    </row>
    <row r="65" spans="3:4" ht="15.75" hidden="1">
      <c r="C65" s="154" t="str">
        <f>IF(C41&gt;C43,"See Tab A","")</f>
        <v>See Tab A</v>
      </c>
      <c r="D65" s="154">
        <f>IF(D41&gt;D43,"See Tab C","")</f>
      </c>
    </row>
    <row r="66" spans="3:4" ht="15.75" hidden="1">
      <c r="C66" s="154">
        <f>IF(C42&lt;0,"See Tab B","")</f>
      </c>
      <c r="D66" s="154">
        <f>IF(D42&lt;0,"See Tab D","")</f>
      </c>
    </row>
  </sheetData>
  <sheetProtection/>
  <mergeCells count="5">
    <mergeCell ref="C44:D44"/>
    <mergeCell ref="C45:D45"/>
    <mergeCell ref="C48:D48"/>
    <mergeCell ref="G39:J39"/>
    <mergeCell ref="G49:J49"/>
  </mergeCells>
  <conditionalFormatting sqref="C18">
    <cfRule type="cellIs" priority="2" dxfId="173" operator="greaterThan" stopIfTrue="1">
      <formula>$C$20*0.1</formula>
    </cfRule>
  </conditionalFormatting>
  <conditionalFormatting sqref="D18">
    <cfRule type="cellIs" priority="3" dxfId="173" operator="greaterThan" stopIfTrue="1">
      <formula>$D$20*0.1</formula>
    </cfRule>
  </conditionalFormatting>
  <conditionalFormatting sqref="E44">
    <cfRule type="cellIs" priority="4" dxfId="173" operator="greaterThan" stopIfTrue="1">
      <formula>$E$41/0.95-$E$41</formula>
    </cfRule>
  </conditionalFormatting>
  <conditionalFormatting sqref="E39">
    <cfRule type="cellIs" priority="5" dxfId="173" operator="greaterThan" stopIfTrue="1">
      <formula>$E$41*0.1</formula>
    </cfRule>
  </conditionalFormatting>
  <conditionalFormatting sqref="D39">
    <cfRule type="cellIs" priority="6" dxfId="173" operator="greaterThan" stopIfTrue="1">
      <formula>$D$41*0.1</formula>
    </cfRule>
  </conditionalFormatting>
  <conditionalFormatting sqref="C39">
    <cfRule type="cellIs" priority="7" dxfId="173" operator="greaterThan" stopIfTrue="1">
      <formula>$C$41*0.1</formula>
    </cfRule>
  </conditionalFormatting>
  <conditionalFormatting sqref="C41">
    <cfRule type="cellIs" priority="8" dxfId="173" operator="greaterThan" stopIfTrue="1">
      <formula>$C$43</formula>
    </cfRule>
  </conditionalFormatting>
  <conditionalFormatting sqref="C42">
    <cfRule type="cellIs" priority="9" dxfId="173" operator="lessThan" stopIfTrue="1">
      <formula>0</formula>
    </cfRule>
  </conditionalFormatting>
  <conditionalFormatting sqref="D41">
    <cfRule type="cellIs" priority="10" dxfId="10" operator="greaterThan" stopIfTrue="1">
      <formula>$D$43</formula>
    </cfRule>
  </conditionalFormatting>
  <conditionalFormatting sqref="C36">
    <cfRule type="cellIs" priority="11" dxfId="173" operator="greaterThan" stopIfTrue="1">
      <formula>$C$21*0.25</formula>
    </cfRule>
  </conditionalFormatting>
  <conditionalFormatting sqref="D36">
    <cfRule type="cellIs" priority="12" dxfId="173" operator="greaterThan" stopIfTrue="1">
      <formula>$D$21*0.25</formula>
    </cfRule>
  </conditionalFormatting>
  <conditionalFormatting sqref="D34">
    <cfRule type="expression" priority="13" dxfId="173" stopIfTrue="1">
      <formula>$D$8&gt;0</formula>
    </cfRule>
  </conditionalFormatting>
  <conditionalFormatting sqref="C34">
    <cfRule type="expression" priority="15" dxfId="173" stopIfTrue="1">
      <formula>$C$8&gt;0</formula>
    </cfRule>
  </conditionalFormatting>
  <conditionalFormatting sqref="E36">
    <cfRule type="cellIs" priority="16" dxfId="173" operator="greaterThan" stopIfTrue="1">
      <formula>$E$21*0.25+$E$48</formula>
    </cfRule>
  </conditionalFormatting>
  <conditionalFormatting sqref="E34">
    <cfRule type="expression" priority="17" dxfId="173" stopIfTrue="1">
      <formula>$E$48&gt;0</formula>
    </cfRule>
  </conditionalFormatting>
  <conditionalFormatting sqref="D42">
    <cfRule type="cellIs" priority="1" dxfId="0" operator="lessThan" stopIfTrue="1">
      <formula>0</formula>
    </cfRule>
  </conditionalFormatting>
  <conditionalFormatting sqref="E18">
    <cfRule type="cellIs" priority="23" dxfId="173" operator="greaterThan" stopIfTrue="1">
      <formula>$E$20*0.1+$E$48</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86"/>
  <sheetViews>
    <sheetView zoomScalePageLayoutView="0" workbookViewId="0" topLeftCell="A1">
      <selection activeCell="C73" sqref="C73"/>
    </sheetView>
  </sheetViews>
  <sheetFormatPr defaultColWidth="8.796875" defaultRowHeight="15.75"/>
  <cols>
    <col min="1" max="1" width="2.19921875" style="616" customWidth="1"/>
    <col min="2" max="2" width="28.59765625" style="616" customWidth="1"/>
    <col min="3" max="4" width="14.19921875" style="616" customWidth="1"/>
    <col min="5" max="5" width="14.59765625" style="616" customWidth="1"/>
    <col min="6" max="6" width="7.296875" style="616" customWidth="1"/>
    <col min="7" max="7" width="9.19921875" style="616" customWidth="1"/>
    <col min="8" max="8" width="8.796875" style="616" customWidth="1"/>
    <col min="9" max="9" width="4.5" style="616" customWidth="1"/>
    <col min="10" max="10" width="9" style="616" customWidth="1"/>
    <col min="11" max="16384" width="8.796875" style="616" customWidth="1"/>
  </cols>
  <sheetData>
    <row r="1" spans="2:5" ht="15.75">
      <c r="B1" s="613" t="str">
        <f>inputPrYr!D3</f>
        <v>Morrill Township</v>
      </c>
      <c r="C1" s="613"/>
      <c r="D1" s="614"/>
      <c r="E1" s="615">
        <f>inputPrYr!D9</f>
        <v>2013</v>
      </c>
    </row>
    <row r="2" spans="2:5" ht="15.75">
      <c r="B2" s="614"/>
      <c r="C2" s="614"/>
      <c r="D2" s="614"/>
      <c r="E2" s="617"/>
    </row>
    <row r="3" spans="2:5" ht="15.75">
      <c r="B3" s="618" t="s">
        <v>762</v>
      </c>
      <c r="C3" s="618"/>
      <c r="D3" s="619"/>
      <c r="E3" s="620"/>
    </row>
    <row r="4" spans="2:5" ht="15.75">
      <c r="B4" s="621" t="s">
        <v>270</v>
      </c>
      <c r="C4" s="622" t="s">
        <v>854</v>
      </c>
      <c r="D4" s="623" t="s">
        <v>855</v>
      </c>
      <c r="E4" s="624" t="s">
        <v>856</v>
      </c>
    </row>
    <row r="5" spans="2:5" ht="15.75">
      <c r="B5" s="625" t="str">
        <f>inputPrYr!B21</f>
        <v>Debt Service</v>
      </c>
      <c r="C5" s="626" t="str">
        <f>CONCATENATE("Actual for ",$E$1-2,"")</f>
        <v>Actual for 2011</v>
      </c>
      <c r="D5" s="627" t="str">
        <f>CONCATENATE("Estimate for ",$E$1-1,"")</f>
        <v>Estimate for 2012</v>
      </c>
      <c r="E5" s="628" t="str">
        <f>CONCATENATE("Year for ",$E$1,"")</f>
        <v>Year for 2013</v>
      </c>
    </row>
    <row r="6" spans="2:5" ht="15.75">
      <c r="B6" s="629" t="s">
        <v>92</v>
      </c>
      <c r="C6" s="630"/>
      <c r="D6" s="631">
        <f>C27</f>
        <v>0</v>
      </c>
      <c r="E6" s="632">
        <f>D27</f>
        <v>0</v>
      </c>
    </row>
    <row r="7" spans="2:5" ht="15.75">
      <c r="B7" s="629" t="s">
        <v>69</v>
      </c>
      <c r="C7" s="633"/>
      <c r="D7" s="631"/>
      <c r="E7" s="632"/>
    </row>
    <row r="8" spans="2:5" ht="15.75">
      <c r="B8" s="629" t="s">
        <v>276</v>
      </c>
      <c r="C8" s="634"/>
      <c r="D8" s="631">
        <f>IF(inputPrYr!H19&gt;0,inputPrYr!G21,inputPrYr!E21)</f>
        <v>0</v>
      </c>
      <c r="E8" s="635" t="s">
        <v>255</v>
      </c>
    </row>
    <row r="9" spans="2:5" ht="15.75">
      <c r="B9" s="629" t="s">
        <v>277</v>
      </c>
      <c r="C9" s="634"/>
      <c r="D9" s="636"/>
      <c r="E9" s="637"/>
    </row>
    <row r="10" spans="2:5" ht="15.75">
      <c r="B10" s="629" t="s">
        <v>278</v>
      </c>
      <c r="C10" s="634"/>
      <c r="D10" s="636"/>
      <c r="E10" s="632">
        <f>mvalloc!G12</f>
        <v>0</v>
      </c>
    </row>
    <row r="11" spans="2:5" ht="15.75">
      <c r="B11" s="629" t="s">
        <v>279</v>
      </c>
      <c r="C11" s="634"/>
      <c r="D11" s="636"/>
      <c r="E11" s="632">
        <f>mvalloc!I12</f>
        <v>0</v>
      </c>
    </row>
    <row r="12" spans="2:5" ht="15.75">
      <c r="B12" s="638" t="s">
        <v>48</v>
      </c>
      <c r="C12" s="634"/>
      <c r="D12" s="636"/>
      <c r="E12" s="632">
        <f>mvalloc!J12</f>
        <v>0</v>
      </c>
    </row>
    <row r="13" spans="2:5" ht="15.75">
      <c r="B13" s="639"/>
      <c r="C13" s="634"/>
      <c r="D13" s="636"/>
      <c r="E13" s="640"/>
    </row>
    <row r="14" spans="2:5" ht="15.75">
      <c r="B14" s="639"/>
      <c r="C14" s="634"/>
      <c r="D14" s="636"/>
      <c r="E14" s="637"/>
    </row>
    <row r="15" spans="2:5" ht="15.75">
      <c r="B15" s="641" t="s">
        <v>282</v>
      </c>
      <c r="C15" s="634"/>
      <c r="D15" s="636"/>
      <c r="E15" s="637"/>
    </row>
    <row r="16" spans="2:5" ht="15.75">
      <c r="B16" s="629" t="s">
        <v>228</v>
      </c>
      <c r="C16" s="642"/>
      <c r="D16" s="636"/>
      <c r="E16" s="637"/>
    </row>
    <row r="17" spans="2:5" ht="15.75">
      <c r="B17" s="629" t="s">
        <v>857</v>
      </c>
      <c r="C17" s="643">
        <f>IF(C18*0.1&lt;C16,"Exceed 10% Rule","")</f>
      </c>
      <c r="D17" s="643">
        <f>IF(D18*0.1&lt;D16,"Exceeds 10% Rule","")</f>
      </c>
      <c r="E17" s="644">
        <f>IF(E18*0.1&lt;E16,"Exceed 10% Rule","")</f>
      </c>
    </row>
    <row r="18" spans="2:5" ht="15.75">
      <c r="B18" s="645" t="s">
        <v>283</v>
      </c>
      <c r="C18" s="646">
        <f>SUM(C8:C16)</f>
        <v>0</v>
      </c>
      <c r="D18" s="646">
        <f>SUM(D8:D16)</f>
        <v>0</v>
      </c>
      <c r="E18" s="647">
        <f>SUM(E9:E16)</f>
        <v>0</v>
      </c>
    </row>
    <row r="19" spans="2:5" ht="15.75">
      <c r="B19" s="645" t="s">
        <v>284</v>
      </c>
      <c r="C19" s="646">
        <f>C6+C18</f>
        <v>0</v>
      </c>
      <c r="D19" s="646">
        <f>D6+D18</f>
        <v>0</v>
      </c>
      <c r="E19" s="647">
        <f>E6+E18</f>
        <v>0</v>
      </c>
    </row>
    <row r="20" spans="2:5" ht="15.75">
      <c r="B20" s="629" t="s">
        <v>285</v>
      </c>
      <c r="C20" s="629"/>
      <c r="D20" s="631"/>
      <c r="E20" s="632"/>
    </row>
    <row r="21" spans="2:5" ht="15.75">
      <c r="B21" s="639"/>
      <c r="C21" s="634"/>
      <c r="D21" s="636"/>
      <c r="E21" s="637"/>
    </row>
    <row r="22" spans="2:10" ht="15.75">
      <c r="B22" s="639"/>
      <c r="C22" s="634"/>
      <c r="D22" s="636"/>
      <c r="E22" s="637"/>
      <c r="G22" s="659" t="s">
        <v>858</v>
      </c>
      <c r="H22" s="660"/>
      <c r="I22" s="660"/>
      <c r="J22" s="661" t="e">
        <f>IF(#REF!&gt;0,#REF!-E30,0)</f>
        <v>#REF!</v>
      </c>
    </row>
    <row r="23" spans="2:5" ht="15.75">
      <c r="B23" s="662" t="s">
        <v>230</v>
      </c>
      <c r="C23" s="634"/>
      <c r="D23" s="636"/>
      <c r="E23" s="632">
        <f>nhood!E7</f>
      </c>
    </row>
    <row r="24" spans="2:10" ht="15.75">
      <c r="B24" s="662" t="s">
        <v>228</v>
      </c>
      <c r="C24" s="642"/>
      <c r="D24" s="636"/>
      <c r="E24" s="637"/>
      <c r="G24" s="823" t="str">
        <f>CONCATENATE("Projected Carryover Into ",E1+1,"")</f>
        <v>Projected Carryover Into 2014</v>
      </c>
      <c r="H24" s="833"/>
      <c r="I24" s="833"/>
      <c r="J24" s="827"/>
    </row>
    <row r="25" spans="2:10" ht="15.75">
      <c r="B25" s="662" t="s">
        <v>729</v>
      </c>
      <c r="C25" s="643">
        <f>IF(C26*0.1&lt;C24,"Exceed 10% Rule","")</f>
      </c>
      <c r="D25" s="643">
        <f>IF(D26*0.1&lt;D24,"Exceed 10% Rule","")</f>
      </c>
      <c r="E25" s="644">
        <f>IF(E26*0.1&lt;E24,"Exceed 10% Rule","")</f>
      </c>
      <c r="G25" s="648"/>
      <c r="H25" s="650"/>
      <c r="I25" s="650"/>
      <c r="J25" s="663"/>
    </row>
    <row r="26" spans="2:10" ht="15.75">
      <c r="B26" s="645" t="s">
        <v>286</v>
      </c>
      <c r="C26" s="664">
        <f>SUM(C21:C24)</f>
        <v>0</v>
      </c>
      <c r="D26" s="664">
        <f>SUM(D21:D24)</f>
        <v>0</v>
      </c>
      <c r="E26" s="665">
        <f>SUM(E21:E24)</f>
        <v>0</v>
      </c>
      <c r="G26" s="666">
        <f>D27</f>
        <v>0</v>
      </c>
      <c r="H26" s="667" t="str">
        <f>CONCATENATE("",E1-1," Ending Cash Balance (est.)")</f>
        <v>2012 Ending Cash Balance (est.)</v>
      </c>
      <c r="I26" s="668"/>
      <c r="J26" s="663"/>
    </row>
    <row r="27" spans="2:10" ht="15.75">
      <c r="B27" s="629" t="s">
        <v>68</v>
      </c>
      <c r="C27" s="669">
        <f>C19-C26</f>
        <v>0</v>
      </c>
      <c r="D27" s="669">
        <f>D19-D26</f>
        <v>0</v>
      </c>
      <c r="E27" s="635" t="s">
        <v>255</v>
      </c>
      <c r="F27" s="670"/>
      <c r="G27" s="666">
        <f>E18</f>
        <v>0</v>
      </c>
      <c r="H27" s="650" t="str">
        <f>CONCATENATE("",E1," Non-AV Receipts (est.)")</f>
        <v>2013 Non-AV Receipts (est.)</v>
      </c>
      <c r="I27" s="668"/>
      <c r="J27" s="663"/>
    </row>
    <row r="28" spans="2:11" ht="15.75">
      <c r="B28" s="671" t="str">
        <f>CONCATENATE("",E1-2,"/",E1-1," Budget Authority Amount:")</f>
        <v>2011/2012 Budget Authority Amount:</v>
      </c>
      <c r="C28" s="672">
        <f>inputOth!B84</f>
        <v>0</v>
      </c>
      <c r="D28" s="673">
        <f>inputPrYr!D21</f>
        <v>0</v>
      </c>
      <c r="E28" s="635" t="s">
        <v>255</v>
      </c>
      <c r="F28" s="674"/>
      <c r="G28" s="675">
        <f>IF(E32&gt;0,E31,E33)</f>
        <v>0</v>
      </c>
      <c r="H28" s="650" t="str">
        <f>CONCATENATE("",E1," Ad Valorem Tax (est.)")</f>
        <v>2013 Ad Valorem Tax (est.)</v>
      </c>
      <c r="I28" s="668"/>
      <c r="J28" s="663"/>
      <c r="K28" s="676">
        <f>IF(G28=E33,"","Note: Does not include Delinquent Taxes")</f>
      </c>
    </row>
    <row r="29" spans="2:10" ht="15.75">
      <c r="B29" s="671"/>
      <c r="C29" s="811" t="s">
        <v>726</v>
      </c>
      <c r="D29" s="812"/>
      <c r="E29" s="637"/>
      <c r="F29" s="677">
        <f>IF(E26/0.95-E26&lt;E29,"Exceeds 5%","")</f>
      </c>
      <c r="G29" s="666">
        <f>SUM(G26:G28)</f>
        <v>0</v>
      </c>
      <c r="H29" s="650" t="str">
        <f>CONCATENATE("Total ",E1," Resources Available")</f>
        <v>Total 2013 Resources Available</v>
      </c>
      <c r="I29" s="668"/>
      <c r="J29" s="663"/>
    </row>
    <row r="30" spans="2:10" ht="15.75">
      <c r="B30" s="678" t="str">
        <f>CONCATENATE(C83,"     ",D83)</f>
        <v>     </v>
      </c>
      <c r="C30" s="813" t="s">
        <v>727</v>
      </c>
      <c r="D30" s="814"/>
      <c r="E30" s="632">
        <f>E26+E29</f>
        <v>0</v>
      </c>
      <c r="F30" s="670"/>
      <c r="G30" s="679"/>
      <c r="H30" s="650"/>
      <c r="I30" s="650"/>
      <c r="J30" s="663"/>
    </row>
    <row r="31" spans="2:10" ht="15.75">
      <c r="B31" s="678" t="str">
        <f>CONCATENATE(C84,"     ",D84)</f>
        <v>     </v>
      </c>
      <c r="C31" s="680"/>
      <c r="D31" s="617" t="s">
        <v>288</v>
      </c>
      <c r="E31" s="681">
        <f>IF(E30-E19&gt;0,E30-E19,0)</f>
        <v>0</v>
      </c>
      <c r="F31" s="670"/>
      <c r="G31" s="675">
        <f>C26</f>
        <v>0</v>
      </c>
      <c r="H31" s="650" t="str">
        <f>CONCATENATE("Less ",E1-2," Expenditures")</f>
        <v>Less 2011 Expenditures</v>
      </c>
      <c r="I31" s="650"/>
      <c r="J31" s="663"/>
    </row>
    <row r="32" spans="2:10" ht="15.75">
      <c r="B32" s="617"/>
      <c r="C32" s="502" t="s">
        <v>728</v>
      </c>
      <c r="D32" s="682">
        <f>inputOth!E77</f>
        <v>0</v>
      </c>
      <c r="E32" s="632">
        <f>ROUND(IF(D32&gt;0,(E31*D32),0),0)</f>
        <v>0</v>
      </c>
      <c r="F32" s="670"/>
      <c r="G32" s="683">
        <f>G29-G31</f>
        <v>0</v>
      </c>
      <c r="H32" s="684" t="str">
        <f>CONCATENATE("Projected ",E1+1," carryover (est.)")</f>
        <v>Projected 2014 carryover (est.)</v>
      </c>
      <c r="I32" s="685"/>
      <c r="J32" s="686"/>
    </row>
    <row r="33" spans="2:6" ht="16.5" thickBot="1">
      <c r="B33" s="614"/>
      <c r="C33" s="828" t="str">
        <f>CONCATENATE("Amount of  ",E1-1," Ad Valorem Tax")</f>
        <v>Amount of  2012 Ad Valorem Tax</v>
      </c>
      <c r="D33" s="829"/>
      <c r="E33" s="688">
        <f>SUM(E31:E32)</f>
        <v>0</v>
      </c>
      <c r="F33" s="670"/>
    </row>
    <row r="34" spans="2:10" ht="16.5" thickTop="1">
      <c r="B34" s="614"/>
      <c r="C34" s="828"/>
      <c r="D34" s="829"/>
      <c r="E34" s="689"/>
      <c r="F34" s="670"/>
      <c r="G34" s="830" t="s">
        <v>859</v>
      </c>
      <c r="H34" s="831"/>
      <c r="I34" s="831"/>
      <c r="J34" s="832"/>
    </row>
    <row r="35" spans="2:10" ht="15.75">
      <c r="B35" s="614"/>
      <c r="C35" s="687"/>
      <c r="D35" s="614"/>
      <c r="E35" s="614"/>
      <c r="F35" s="670"/>
      <c r="G35" s="690"/>
      <c r="H35" s="667"/>
      <c r="I35" s="691"/>
      <c r="J35" s="692"/>
    </row>
    <row r="36" spans="2:10" ht="15.75">
      <c r="B36" s="621"/>
      <c r="C36" s="621"/>
      <c r="D36" s="619"/>
      <c r="E36" s="619"/>
      <c r="F36" s="670"/>
      <c r="G36" s="693" t="e">
        <f>summ!#REF!</f>
        <v>#REF!</v>
      </c>
      <c r="H36" s="667" t="str">
        <f>CONCATENATE("",E1," Fund Mill Rate")</f>
        <v>2013 Fund Mill Rate</v>
      </c>
      <c r="I36" s="691"/>
      <c r="J36" s="692"/>
    </row>
    <row r="37" spans="2:10" ht="15.75">
      <c r="B37" s="621" t="s">
        <v>270</v>
      </c>
      <c r="C37" s="622" t="s">
        <v>854</v>
      </c>
      <c r="D37" s="623" t="s">
        <v>855</v>
      </c>
      <c r="E37" s="624" t="s">
        <v>856</v>
      </c>
      <c r="F37" s="670"/>
      <c r="G37" s="694" t="e">
        <f>summ!#REF!</f>
        <v>#REF!</v>
      </c>
      <c r="H37" s="667" t="str">
        <f>CONCATENATE("",E1-1," Fund Mill Rate")</f>
        <v>2012 Fund Mill Rate</v>
      </c>
      <c r="I37" s="691"/>
      <c r="J37" s="692"/>
    </row>
    <row r="38" spans="2:10" ht="15.75">
      <c r="B38" s="695" t="str">
        <f>inputPrYr!B22</f>
        <v>Library</v>
      </c>
      <c r="C38" s="626" t="str">
        <f>CONCATENATE("Actual for ",$E$1-2,"")</f>
        <v>Actual for 2011</v>
      </c>
      <c r="D38" s="627" t="str">
        <f>CONCATENATE("Estimate for ",$E$1-1,"")</f>
        <v>Estimate for 2012</v>
      </c>
      <c r="E38" s="628" t="str">
        <f>CONCATENATE("Year for ",$E$1,"")</f>
        <v>Year for 2013</v>
      </c>
      <c r="F38" s="670"/>
      <c r="G38" s="696">
        <f>summ!H24</f>
        <v>14.411999999999999</v>
      </c>
      <c r="H38" s="667" t="str">
        <f>CONCATENATE("Total ",E1," Mill Rate")</f>
        <v>Total 2013 Mill Rate</v>
      </c>
      <c r="I38" s="691"/>
      <c r="J38" s="692"/>
    </row>
    <row r="39" spans="2:10" ht="15.75">
      <c r="B39" s="629" t="s">
        <v>92</v>
      </c>
      <c r="C39" s="634">
        <v>0</v>
      </c>
      <c r="D39" s="631">
        <f>C64</f>
        <v>0</v>
      </c>
      <c r="E39" s="632">
        <f>D64</f>
        <v>0</v>
      </c>
      <c r="F39" s="670"/>
      <c r="G39" s="694">
        <f>summ!E24</f>
        <v>15.567000000000002</v>
      </c>
      <c r="H39" s="697" t="str">
        <f>CONCATENATE("Total ",E1-1," Mill Rate")</f>
        <v>Total 2012 Mill Rate</v>
      </c>
      <c r="I39" s="698"/>
      <c r="J39" s="699"/>
    </row>
    <row r="40" spans="2:6" ht="15.75">
      <c r="B40" s="700" t="s">
        <v>69</v>
      </c>
      <c r="C40" s="629"/>
      <c r="D40" s="631"/>
      <c r="E40" s="632"/>
      <c r="F40" s="670"/>
    </row>
    <row r="41" spans="2:6" ht="15.75">
      <c r="B41" s="629" t="s">
        <v>276</v>
      </c>
      <c r="C41" s="642"/>
      <c r="D41" s="631">
        <f>IF(inputPrYr!H19&gt;0,inputPrYr!G22,inputPrYr!E22)</f>
        <v>0</v>
      </c>
      <c r="E41" s="635" t="s">
        <v>255</v>
      </c>
      <c r="F41" s="670"/>
    </row>
    <row r="42" spans="2:6" ht="15.75">
      <c r="B42" s="629" t="s">
        <v>277</v>
      </c>
      <c r="C42" s="642"/>
      <c r="D42" s="636"/>
      <c r="E42" s="637"/>
      <c r="F42" s="670"/>
    </row>
    <row r="43" spans="2:6" ht="15.75">
      <c r="B43" s="629" t="s">
        <v>278</v>
      </c>
      <c r="C43" s="642"/>
      <c r="D43" s="636"/>
      <c r="E43" s="632">
        <f>mvalloc!G13</f>
        <v>0</v>
      </c>
      <c r="F43" s="670"/>
    </row>
    <row r="44" spans="2:6" ht="15.75">
      <c r="B44" s="629" t="s">
        <v>279</v>
      </c>
      <c r="C44" s="642"/>
      <c r="D44" s="636"/>
      <c r="E44" s="632">
        <f>mvalloc!I13</f>
        <v>0</v>
      </c>
      <c r="F44" s="670"/>
    </row>
    <row r="45" spans="2:5" ht="15.75">
      <c r="B45" s="638" t="s">
        <v>48</v>
      </c>
      <c r="C45" s="642"/>
      <c r="D45" s="636"/>
      <c r="E45" s="632">
        <f>mvalloc!J13</f>
        <v>0</v>
      </c>
    </row>
    <row r="46" spans="2:5" ht="15.75">
      <c r="B46" s="639"/>
      <c r="C46" s="642"/>
      <c r="D46" s="636"/>
      <c r="E46" s="640"/>
    </row>
    <row r="47" spans="2:5" ht="15.75">
      <c r="B47" s="639"/>
      <c r="C47" s="642"/>
      <c r="D47" s="636"/>
      <c r="E47" s="637"/>
    </row>
    <row r="48" spans="2:5" ht="15.75">
      <c r="B48" s="639"/>
      <c r="C48" s="642"/>
      <c r="D48" s="636"/>
      <c r="E48" s="637"/>
    </row>
    <row r="49" spans="2:5" ht="15.75">
      <c r="B49" s="641" t="s">
        <v>282</v>
      </c>
      <c r="C49" s="642"/>
      <c r="D49" s="636"/>
      <c r="E49" s="637"/>
    </row>
    <row r="50" spans="2:5" ht="15.75">
      <c r="B50" s="629" t="s">
        <v>228</v>
      </c>
      <c r="C50" s="642"/>
      <c r="D50" s="642"/>
      <c r="E50" s="701"/>
    </row>
    <row r="51" spans="2:5" ht="15.75">
      <c r="B51" s="629" t="s">
        <v>857</v>
      </c>
      <c r="C51" s="643">
        <f>IF(C52*0.1&lt;C50,"Exceed 10% Rule","")</f>
      </c>
      <c r="D51" s="643">
        <f>IF(D52*0.1&lt;D50,"Exceeds 10% Rule","")</f>
      </c>
      <c r="E51" s="644">
        <f>IF(E52*0.1&lt;E50,"Exceed 10% Rule","")</f>
      </c>
    </row>
    <row r="52" spans="2:5" ht="15.75">
      <c r="B52" s="645" t="s">
        <v>283</v>
      </c>
      <c r="C52" s="664">
        <f>SUM(C41:C50)</f>
        <v>0</v>
      </c>
      <c r="D52" s="664">
        <f>SUM(D41:D50)</f>
        <v>0</v>
      </c>
      <c r="E52" s="665">
        <f>SUM(E42:E50)</f>
        <v>0</v>
      </c>
    </row>
    <row r="53" spans="2:5" ht="15.75">
      <c r="B53" s="645" t="s">
        <v>284</v>
      </c>
      <c r="C53" s="664">
        <f>C39+C52</f>
        <v>0</v>
      </c>
      <c r="D53" s="664">
        <f>D39+D52</f>
        <v>0</v>
      </c>
      <c r="E53" s="665">
        <f>E39+E52</f>
        <v>0</v>
      </c>
    </row>
    <row r="54" spans="2:5" ht="15.75">
      <c r="B54" s="629" t="s">
        <v>285</v>
      </c>
      <c r="C54" s="629"/>
      <c r="D54" s="631"/>
      <c r="E54" s="632"/>
    </row>
    <row r="55" spans="2:5" ht="15.75">
      <c r="B55" s="639"/>
      <c r="C55" s="634"/>
      <c r="D55" s="636"/>
      <c r="E55" s="637"/>
    </row>
    <row r="56" spans="2:10" ht="15.75">
      <c r="B56" s="639"/>
      <c r="C56" s="634"/>
      <c r="D56" s="636"/>
      <c r="E56" s="637"/>
      <c r="G56" s="823" t="str">
        <f>CONCATENATE("Desired Carryover Into ",E1+1,"")</f>
        <v>Desired Carryover Into 2014</v>
      </c>
      <c r="H56" s="824"/>
      <c r="I56" s="824"/>
      <c r="J56" s="825"/>
    </row>
    <row r="57" spans="2:10" ht="15.75">
      <c r="B57" s="639"/>
      <c r="C57" s="634"/>
      <c r="D57" s="636"/>
      <c r="E57" s="637"/>
      <c r="G57" s="648"/>
      <c r="H57" s="649"/>
      <c r="I57" s="650"/>
      <c r="J57" s="651"/>
    </row>
    <row r="58" spans="2:10" ht="15.75">
      <c r="B58" s="639"/>
      <c r="C58" s="634"/>
      <c r="D58" s="636"/>
      <c r="E58" s="637"/>
      <c r="G58" s="655" t="str">
        <f>CONCATENATE("",E1," Tot Exp/Non-Appr Must Be:")</f>
        <v>2013 Tot Exp/Non-Appr Must Be:</v>
      </c>
      <c r="H58" s="656"/>
      <c r="I58" s="657"/>
      <c r="J58" s="658" t="e">
        <f>IF(#REF!&gt;0,IF(E67&lt;E53,IF(#REF!=G69,E67,((#REF!-G69)*(1-D69))+E53),E67+(#REF!-G69)),0)</f>
        <v>#REF!</v>
      </c>
    </row>
    <row r="59" spans="2:10" ht="15.75">
      <c r="B59" s="639"/>
      <c r="C59" s="634"/>
      <c r="D59" s="636"/>
      <c r="E59" s="637"/>
      <c r="G59" s="659" t="s">
        <v>858</v>
      </c>
      <c r="H59" s="660"/>
      <c r="I59" s="660"/>
      <c r="J59" s="661" t="e">
        <f>IF(#REF!&gt;0,J58-E67,0)</f>
        <v>#REF!</v>
      </c>
    </row>
    <row r="60" spans="2:6" ht="15.75">
      <c r="B60" s="638" t="s">
        <v>230</v>
      </c>
      <c r="C60" s="634"/>
      <c r="D60" s="636"/>
      <c r="E60" s="632">
        <f>nhood!E8</f>
      </c>
      <c r="F60" s="670"/>
    </row>
    <row r="61" spans="2:10" ht="15.75">
      <c r="B61" s="638" t="s">
        <v>228</v>
      </c>
      <c r="C61" s="642"/>
      <c r="D61" s="636"/>
      <c r="E61" s="637"/>
      <c r="F61" s="670"/>
      <c r="G61" s="823" t="str">
        <f>CONCATENATE("Projected Carryover Into ",E1+1,"")</f>
        <v>Projected Carryover Into 2014</v>
      </c>
      <c r="H61" s="826"/>
      <c r="I61" s="826"/>
      <c r="J61" s="827"/>
    </row>
    <row r="62" spans="2:10" ht="15.75">
      <c r="B62" s="638" t="s">
        <v>729</v>
      </c>
      <c r="C62" s="643">
        <f>IF(C63*0.1&lt;C61,"Exceed 10% Rule","")</f>
      </c>
      <c r="D62" s="643">
        <f>IF(D63*0.1&lt;D61,"Exceed 10% Rule","")</f>
      </c>
      <c r="E62" s="644">
        <f>IF(E63*0.1&lt;E61,"Exceed 10% Rule","")</f>
      </c>
      <c r="F62" s="670"/>
      <c r="G62" s="702"/>
      <c r="H62" s="649"/>
      <c r="I62" s="649"/>
      <c r="J62" s="703"/>
    </row>
    <row r="63" spans="2:10" ht="15.75">
      <c r="B63" s="645" t="s">
        <v>286</v>
      </c>
      <c r="C63" s="664">
        <f>SUM(C55:C61)</f>
        <v>0</v>
      </c>
      <c r="D63" s="664">
        <f>SUM(D55:D61)</f>
        <v>0</v>
      </c>
      <c r="E63" s="665">
        <f>SUM(E55:E61)</f>
        <v>0</v>
      </c>
      <c r="F63" s="670"/>
      <c r="G63" s="666">
        <f>D64</f>
        <v>0</v>
      </c>
      <c r="H63" s="667" t="str">
        <f>CONCATENATE("",E1-1," Ending Cash Balance (est.)")</f>
        <v>2012 Ending Cash Balance (est.)</v>
      </c>
      <c r="I63" s="668"/>
      <c r="J63" s="703"/>
    </row>
    <row r="64" spans="2:10" ht="15.75">
      <c r="B64" s="629" t="s">
        <v>68</v>
      </c>
      <c r="C64" s="669">
        <f>C53-C63</f>
        <v>0</v>
      </c>
      <c r="D64" s="669">
        <f>D53-D63</f>
        <v>0</v>
      </c>
      <c r="E64" s="635" t="s">
        <v>255</v>
      </c>
      <c r="F64" s="670"/>
      <c r="G64" s="666">
        <f>E52</f>
        <v>0</v>
      </c>
      <c r="H64" s="650" t="str">
        <f>CONCATENATE("",E1," Non-AV Receipts (est.)")</f>
        <v>2013 Non-AV Receipts (est.)</v>
      </c>
      <c r="I64" s="668"/>
      <c r="J64" s="703"/>
    </row>
    <row r="65" spans="2:11" ht="15.75">
      <c r="B65" s="671" t="str">
        <f>CONCATENATE("",E1-2,"/",E1-1," Budget Authority Amount:")</f>
        <v>2011/2012 Budget Authority Amount:</v>
      </c>
      <c r="C65" s="672">
        <f>inputOth!B85</f>
        <v>0</v>
      </c>
      <c r="D65" s="672">
        <f>inputPrYr!D22</f>
        <v>0</v>
      </c>
      <c r="E65" s="635" t="s">
        <v>255</v>
      </c>
      <c r="F65" s="674"/>
      <c r="G65" s="675">
        <f>IF(E69&gt;0,E68,E70)</f>
        <v>0</v>
      </c>
      <c r="H65" s="650" t="str">
        <f>CONCATENATE("",E1," Ad Valorem Tax (est.)")</f>
        <v>2013 Ad Valorem Tax (est.)</v>
      </c>
      <c r="I65" s="668"/>
      <c r="J65" s="703"/>
      <c r="K65" s="676">
        <f>IF(G65=E70,"","Note: Does not include Delinquent Taxes")</f>
      </c>
    </row>
    <row r="66" spans="2:10" ht="15.75">
      <c r="B66" s="671"/>
      <c r="C66" s="811" t="s">
        <v>726</v>
      </c>
      <c r="D66" s="812"/>
      <c r="E66" s="637"/>
      <c r="F66" s="704">
        <f>IF(E63/0.95-E63&lt;E66,"Exceeds 5%","")</f>
      </c>
      <c r="G66" s="705">
        <f>SUM(G63:G65)</f>
        <v>0</v>
      </c>
      <c r="H66" s="650" t="str">
        <f>CONCATENATE("Total ",E1," Resources Available")</f>
        <v>Total 2013 Resources Available</v>
      </c>
      <c r="I66" s="706"/>
      <c r="J66" s="703"/>
    </row>
    <row r="67" spans="2:10" ht="15.75">
      <c r="B67" s="678" t="str">
        <f>CONCATENATE(C85,"     ",D85)</f>
        <v>     </v>
      </c>
      <c r="C67" s="813" t="s">
        <v>727</v>
      </c>
      <c r="D67" s="814"/>
      <c r="E67" s="632">
        <f>E63+E66</f>
        <v>0</v>
      </c>
      <c r="F67" s="670"/>
      <c r="G67" s="707"/>
      <c r="H67" s="708"/>
      <c r="I67" s="649"/>
      <c r="J67" s="703"/>
    </row>
    <row r="68" spans="2:10" ht="15.75">
      <c r="B68" s="678" t="str">
        <f>CONCATENATE(C86,"     ",D86)</f>
        <v>     </v>
      </c>
      <c r="C68" s="680"/>
      <c r="D68" s="617" t="s">
        <v>288</v>
      </c>
      <c r="E68" s="681">
        <f>IF(E67-E53&gt;0,E67-E53,0)</f>
        <v>0</v>
      </c>
      <c r="F68" s="670"/>
      <c r="G68" s="675">
        <f>ROUND(C63*0.05+C63,0)</f>
        <v>0</v>
      </c>
      <c r="H68" s="650" t="str">
        <f>CONCATENATE("Less ",E1-2," Expenditures + 5%")</f>
        <v>Less 2011 Expenditures + 5%</v>
      </c>
      <c r="I68" s="706"/>
      <c r="J68" s="703"/>
    </row>
    <row r="69" spans="2:10" ht="15.75">
      <c r="B69" s="617"/>
      <c r="C69" s="502" t="s">
        <v>728</v>
      </c>
      <c r="D69" s="682">
        <f>inputOth!E77</f>
        <v>0</v>
      </c>
      <c r="E69" s="632">
        <f>ROUND(IF(E68&gt;0,(E68*D69),0),0)</f>
        <v>0</v>
      </c>
      <c r="F69" s="670"/>
      <c r="G69" s="683">
        <f>G66-G68</f>
        <v>0</v>
      </c>
      <c r="H69" s="684" t="str">
        <f>CONCATENATE("Projected ",E1+1," carryover (est.)")</f>
        <v>Projected 2014 carryover (est.)</v>
      </c>
      <c r="I69" s="709"/>
      <c r="J69" s="710"/>
    </row>
    <row r="70" spans="2:6" ht="16.5" thickBot="1">
      <c r="B70" s="614"/>
      <c r="C70" s="828" t="str">
        <f>CONCATENATE("Amount of  ",E1-1," Ad Valorem Tax")</f>
        <v>Amount of  2012 Ad Valorem Tax</v>
      </c>
      <c r="D70" s="829"/>
      <c r="E70" s="688">
        <f>E68+E69</f>
        <v>0</v>
      </c>
      <c r="F70" s="711" t="str">
        <f>IF('[1]Library Grant'!F33="","",IF('[1]Library Grant'!F33="Qualify","Qualifies for State Library Grant","See 'Library Grant' tab"))</f>
        <v>Qualifies for State Library Grant</v>
      </c>
    </row>
    <row r="71" spans="2:10" ht="16.5" thickTop="1">
      <c r="B71" s="617"/>
      <c r="C71" s="828"/>
      <c r="D71" s="829"/>
      <c r="E71" s="689"/>
      <c r="F71" s="670"/>
      <c r="G71" s="830" t="s">
        <v>859</v>
      </c>
      <c r="H71" s="831"/>
      <c r="I71" s="831"/>
      <c r="J71" s="832"/>
    </row>
    <row r="72" spans="2:10" ht="15.75">
      <c r="B72" s="617"/>
      <c r="C72" s="617"/>
      <c r="D72" s="617"/>
      <c r="E72" s="617"/>
      <c r="G72" s="690"/>
      <c r="H72" s="667"/>
      <c r="I72" s="691"/>
      <c r="J72" s="692"/>
    </row>
    <row r="73" spans="2:10" ht="15.75">
      <c r="B73" s="617" t="s">
        <v>269</v>
      </c>
      <c r="C73" s="712"/>
      <c r="D73" s="617"/>
      <c r="E73" s="617"/>
      <c r="F73" s="670"/>
      <c r="G73" s="693" t="e">
        <f>summ!#REF!</f>
        <v>#REF!</v>
      </c>
      <c r="H73" s="667" t="str">
        <f>CONCATENATE("",E1," Fund Mill Rate")</f>
        <v>2013 Fund Mill Rate</v>
      </c>
      <c r="I73" s="691"/>
      <c r="J73" s="692"/>
    </row>
    <row r="74" spans="7:10" ht="15.75">
      <c r="G74" s="694" t="e">
        <f>summ!#REF!</f>
        <v>#REF!</v>
      </c>
      <c r="H74" s="667" t="str">
        <f>CONCATENATE("",E1-1," Fund Mill Rate")</f>
        <v>2012 Fund Mill Rate</v>
      </c>
      <c r="I74" s="691"/>
      <c r="J74" s="692"/>
    </row>
    <row r="75" spans="7:10" ht="15.75">
      <c r="G75" s="696">
        <f>summ!H24</f>
        <v>14.411999999999999</v>
      </c>
      <c r="H75" s="667" t="str">
        <f>CONCATENATE("Total ",E1," Mill Rate")</f>
        <v>Total 2013 Mill Rate</v>
      </c>
      <c r="I75" s="691"/>
      <c r="J75" s="692"/>
    </row>
    <row r="76" spans="7:10" ht="15.75">
      <c r="G76" s="694">
        <f>summ!E24</f>
        <v>15.567000000000002</v>
      </c>
      <c r="H76" s="697" t="str">
        <f>CONCATENATE("Total ",E1-1," Mill Rate")</f>
        <v>Total 2012 Mill Rate</v>
      </c>
      <c r="I76" s="698"/>
      <c r="J76" s="699"/>
    </row>
    <row r="77" spans="7:10" ht="15.75">
      <c r="G77" s="713"/>
      <c r="H77" s="713"/>
      <c r="I77" s="713"/>
      <c r="J77" s="713"/>
    </row>
    <row r="78" spans="3:4" ht="15.75">
      <c r="C78" s="714" t="s">
        <v>860</v>
      </c>
      <c r="D78" s="714" t="s">
        <v>860</v>
      </c>
    </row>
    <row r="79" spans="3:4" ht="15.75">
      <c r="C79" s="714" t="s">
        <v>860</v>
      </c>
      <c r="D79" s="714" t="s">
        <v>860</v>
      </c>
    </row>
    <row r="81" spans="3:4" ht="15.75">
      <c r="C81" s="714" t="s">
        <v>860</v>
      </c>
      <c r="D81" s="714" t="s">
        <v>860</v>
      </c>
    </row>
    <row r="82" spans="3:4" ht="15.75">
      <c r="C82" s="714" t="s">
        <v>860</v>
      </c>
      <c r="D82" s="714" t="s">
        <v>860</v>
      </c>
    </row>
    <row r="83" spans="3:4" ht="15.75" hidden="1">
      <c r="C83" s="715">
        <f>IF(C26&gt;C28,"See Tab A","")</f>
      </c>
      <c r="D83" s="715">
        <f>IF(D26&gt;D28,"See Tab C","")</f>
      </c>
    </row>
    <row r="84" spans="3:4" ht="15.75" hidden="1">
      <c r="C84" s="715">
        <f>IF(C27&lt;0,"See Tab B","")</f>
      </c>
      <c r="D84" s="715">
        <f>IF(D27&lt;0,"See Tab D","")</f>
      </c>
    </row>
    <row r="85" spans="3:4" ht="15.75" hidden="1">
      <c r="C85" s="716">
        <f>IF(C63&gt;C65,"See Tab A","")</f>
      </c>
      <c r="D85" s="716">
        <f>IF(D63&gt;D65,"See Tab C","")</f>
      </c>
    </row>
    <row r="86" spans="3:4" ht="15.75" hidden="1">
      <c r="C86" s="716">
        <f>IF(C64&lt;0,"See Tab B","")</f>
      </c>
      <c r="D86" s="716">
        <f>IF(D64&lt;0,"See Tab D","")</f>
      </c>
    </row>
  </sheetData>
  <sheetProtection/>
  <mergeCells count="13">
    <mergeCell ref="G24:J24"/>
    <mergeCell ref="C29:D29"/>
    <mergeCell ref="C30:D30"/>
    <mergeCell ref="C33:D33"/>
    <mergeCell ref="C34:D34"/>
    <mergeCell ref="G34:J34"/>
    <mergeCell ref="G56:J56"/>
    <mergeCell ref="G61:J61"/>
    <mergeCell ref="C66:D66"/>
    <mergeCell ref="C67:D67"/>
    <mergeCell ref="C70:D70"/>
    <mergeCell ref="C71:D71"/>
    <mergeCell ref="G71:J71"/>
  </mergeCells>
  <conditionalFormatting sqref="C63">
    <cfRule type="cellIs" priority="16" dxfId="0" operator="greaterThan" stopIfTrue="1">
      <formula>$C$65</formula>
    </cfRule>
  </conditionalFormatting>
  <conditionalFormatting sqref="C64:D64 C27:D27">
    <cfRule type="cellIs" priority="15" dxfId="0" operator="lessThan" stopIfTrue="1">
      <formula>0</formula>
    </cfRule>
  </conditionalFormatting>
  <conditionalFormatting sqref="D63">
    <cfRule type="cellIs" priority="14" dxfId="0" operator="greaterThan" stopIfTrue="1">
      <formula>$D$65</formula>
    </cfRule>
  </conditionalFormatting>
  <conditionalFormatting sqref="C26">
    <cfRule type="cellIs" priority="13" dxfId="0" operator="greaterThan" stopIfTrue="1">
      <formula>$C$28</formula>
    </cfRule>
  </conditionalFormatting>
  <conditionalFormatting sqref="D26">
    <cfRule type="cellIs" priority="12" dxfId="0" operator="greaterThan" stopIfTrue="1">
      <formula>$D$28</formula>
    </cfRule>
  </conditionalFormatting>
  <conditionalFormatting sqref="C24">
    <cfRule type="cellIs" priority="11" dxfId="0" operator="greaterThan" stopIfTrue="1">
      <formula>$C$26*0.1</formula>
    </cfRule>
  </conditionalFormatting>
  <conditionalFormatting sqref="D24">
    <cfRule type="cellIs" priority="10" dxfId="0" operator="greaterThan" stopIfTrue="1">
      <formula>$D$26*0.1</formula>
    </cfRule>
  </conditionalFormatting>
  <conditionalFormatting sqref="E24">
    <cfRule type="cellIs" priority="9" dxfId="0" operator="greaterThan" stopIfTrue="1">
      <formula>$E$26*0.1</formula>
    </cfRule>
  </conditionalFormatting>
  <conditionalFormatting sqref="C50:E50 C16">
    <cfRule type="cellIs" priority="8" dxfId="0" operator="greaterThan" stopIfTrue="1">
      <formula>$C$18*0.1</formula>
    </cfRule>
  </conditionalFormatting>
  <conditionalFormatting sqref="D16">
    <cfRule type="cellIs" priority="7" dxfId="0" operator="greaterThan" stopIfTrue="1">
      <formula>$D$18*0.1</formula>
    </cfRule>
  </conditionalFormatting>
  <conditionalFormatting sqref="C61">
    <cfRule type="cellIs" priority="5" dxfId="0" operator="greaterThan" stopIfTrue="1">
      <formula>$C$63*0.1</formula>
    </cfRule>
  </conditionalFormatting>
  <conditionalFormatting sqref="D61">
    <cfRule type="cellIs" priority="4" dxfId="0" operator="greaterThan" stopIfTrue="1">
      <formula>$D$63*0.1</formula>
    </cfRule>
  </conditionalFormatting>
  <conditionalFormatting sqref="E61">
    <cfRule type="cellIs" priority="3" dxfId="0" operator="greaterThan" stopIfTrue="1">
      <formula>$E$63*0.1</formula>
    </cfRule>
  </conditionalFormatting>
  <conditionalFormatting sqref="E29">
    <cfRule type="cellIs" priority="2" dxfId="0" operator="greaterThan" stopIfTrue="1">
      <formula>$E$26/0.95-$E$26</formula>
    </cfRule>
  </conditionalFormatting>
  <conditionalFormatting sqref="E66">
    <cfRule type="cellIs" priority="1" dxfId="0" operator="greaterThan" stopIfTrue="1">
      <formula>$E$63/0.98-$E$63</formula>
    </cfRule>
  </conditionalFormatting>
  <conditionalFormatting sqref="E16">
    <cfRule type="cellIs" priority="19" dxfId="0" operator="greaterThan" stopIfTrue="1">
      <formula>$E$18*0.1+$E$33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90" zoomScaleNormal="90" zoomScalePageLayoutView="0" workbookViewId="0" topLeftCell="A38">
      <selection activeCell="E31" sqref="E31"/>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Morrill Township</v>
      </c>
      <c r="C1" s="65"/>
      <c r="D1" s="65"/>
      <c r="E1" s="223">
        <f>inputPrYr!D9</f>
        <v>2013</v>
      </c>
    </row>
    <row r="2" spans="2:5" ht="15.75">
      <c r="B2" s="542" t="s">
        <v>762</v>
      </c>
      <c r="C2" s="65"/>
      <c r="D2" s="206"/>
      <c r="E2" s="67"/>
    </row>
    <row r="3" spans="2:5" ht="15.75">
      <c r="B3" s="71" t="s">
        <v>270</v>
      </c>
      <c r="C3" s="69"/>
      <c r="D3" s="69"/>
      <c r="E3" s="69"/>
    </row>
    <row r="4" spans="2:5" ht="15.75">
      <c r="B4" s="65"/>
      <c r="C4" s="390" t="s">
        <v>271</v>
      </c>
      <c r="D4" s="393" t="s">
        <v>272</v>
      </c>
      <c r="E4" s="73" t="s">
        <v>273</v>
      </c>
    </row>
    <row r="5" spans="2:5" ht="15.75">
      <c r="B5" s="486" t="str">
        <f>inputPrYr!B23</f>
        <v>Road</v>
      </c>
      <c r="C5" s="391" t="str">
        <f>gen!C5</f>
        <v>Actual for 2011</v>
      </c>
      <c r="D5" s="391" t="str">
        <f>gen!D5</f>
        <v>Estimate for 2012</v>
      </c>
      <c r="E5" s="78" t="str">
        <f>gen!E5</f>
        <v>Year for 2013</v>
      </c>
    </row>
    <row r="6" spans="2:5" ht="15.75">
      <c r="B6" s="79" t="s">
        <v>67</v>
      </c>
      <c r="C6" s="311">
        <v>20264</v>
      </c>
      <c r="D6" s="392">
        <f>C46</f>
        <v>2921</v>
      </c>
      <c r="E6" s="259">
        <f>D46</f>
        <v>1355</v>
      </c>
    </row>
    <row r="7" spans="2:5" ht="15.75">
      <c r="B7" s="79" t="s">
        <v>69</v>
      </c>
      <c r="C7" s="392"/>
      <c r="D7" s="392"/>
      <c r="E7" s="313"/>
    </row>
    <row r="8" spans="2:5" ht="15.75">
      <c r="B8" s="79" t="s">
        <v>276</v>
      </c>
      <c r="C8" s="311">
        <v>58635</v>
      </c>
      <c r="D8" s="392">
        <f>IF(inputPrYr!H19&gt;0,inputPrYr!G23,inputPrYr!E23)</f>
        <v>55396</v>
      </c>
      <c r="E8" s="313" t="s">
        <v>255</v>
      </c>
    </row>
    <row r="9" spans="2:5" ht="15.75">
      <c r="B9" s="79" t="s">
        <v>277</v>
      </c>
      <c r="C9" s="311"/>
      <c r="D9" s="311"/>
      <c r="E9" s="169"/>
    </row>
    <row r="10" spans="2:5" ht="15.75">
      <c r="B10" s="79" t="s">
        <v>278</v>
      </c>
      <c r="C10" s="311"/>
      <c r="D10" s="311">
        <v>4038</v>
      </c>
      <c r="E10" s="259">
        <f>mvalloc!G14</f>
        <v>4206</v>
      </c>
    </row>
    <row r="11" spans="2:5" ht="15.75">
      <c r="B11" s="79" t="s">
        <v>279</v>
      </c>
      <c r="C11" s="311"/>
      <c r="D11" s="311">
        <v>68</v>
      </c>
      <c r="E11" s="259">
        <f>mvalloc!I14</f>
        <v>72</v>
      </c>
    </row>
    <row r="12" spans="2:5" ht="15.75">
      <c r="B12" s="79" t="s">
        <v>48</v>
      </c>
      <c r="C12" s="311"/>
      <c r="D12" s="311">
        <v>347</v>
      </c>
      <c r="E12" s="259">
        <f>mvalloc!J14</f>
        <v>548</v>
      </c>
    </row>
    <row r="13" spans="2:5" ht="15.75">
      <c r="B13" s="79" t="s">
        <v>49</v>
      </c>
      <c r="C13" s="311"/>
      <c r="D13" s="311">
        <v>4079</v>
      </c>
      <c r="E13" s="259">
        <f>inputOth!E72</f>
        <v>4035</v>
      </c>
    </row>
    <row r="14" spans="2:5" ht="15.75">
      <c r="B14" s="316" t="s">
        <v>941</v>
      </c>
      <c r="C14" s="311"/>
      <c r="D14" s="311">
        <v>1000</v>
      </c>
      <c r="E14" s="169"/>
    </row>
    <row r="15" spans="2:5" ht="15.75">
      <c r="B15" s="316" t="s">
        <v>954</v>
      </c>
      <c r="C15" s="311">
        <v>36</v>
      </c>
      <c r="D15" s="311"/>
      <c r="E15" s="169"/>
    </row>
    <row r="16" spans="2:5" ht="15.75">
      <c r="B16" s="316" t="s">
        <v>961</v>
      </c>
      <c r="C16" s="311"/>
      <c r="D16" s="311"/>
      <c r="E16" s="169">
        <v>5383</v>
      </c>
    </row>
    <row r="17" spans="2:5" ht="15.75">
      <c r="B17" s="316"/>
      <c r="C17" s="311"/>
      <c r="D17" s="311"/>
      <c r="E17" s="169"/>
    </row>
    <row r="18" spans="2:5" ht="15.75">
      <c r="B18" s="316"/>
      <c r="C18" s="311"/>
      <c r="D18" s="311"/>
      <c r="E18" s="169"/>
    </row>
    <row r="19" spans="2:5" ht="15.75">
      <c r="B19" s="316" t="s">
        <v>282</v>
      </c>
      <c r="C19" s="311">
        <v>145</v>
      </c>
      <c r="D19" s="311">
        <v>50</v>
      </c>
      <c r="E19" s="169">
        <v>50</v>
      </c>
    </row>
    <row r="20" spans="2:5" ht="15.75">
      <c r="B20" s="317" t="s">
        <v>228</v>
      </c>
      <c r="C20" s="311"/>
      <c r="D20" s="311"/>
      <c r="E20" s="169"/>
    </row>
    <row r="21" spans="2:5" ht="15.75">
      <c r="B21" s="317" t="s">
        <v>229</v>
      </c>
      <c r="C21" s="394">
        <f>IF(C22*0.1&lt;C20,"Exceed 10% Rule","")</f>
      </c>
      <c r="D21" s="394">
        <f>IF(D22*0.1&lt;D20,"Exceed 10% Rule","")</f>
      </c>
      <c r="E21" s="321">
        <f>IF(E22*0.1+E52&lt;E20,"Exceed 10% Rule","")</f>
      </c>
    </row>
    <row r="22" spans="2:5" ht="15.75">
      <c r="B22" s="319" t="s">
        <v>283</v>
      </c>
      <c r="C22" s="395">
        <f>SUM(C8:C20)</f>
        <v>58816</v>
      </c>
      <c r="D22" s="395">
        <f>SUM(D8:D20)</f>
        <v>64978</v>
      </c>
      <c r="E22" s="320">
        <f>SUM(E8:E20)</f>
        <v>14294</v>
      </c>
    </row>
    <row r="23" spans="2:5" ht="15.75">
      <c r="B23" s="97" t="s">
        <v>284</v>
      </c>
      <c r="C23" s="395">
        <f>C22+C6</f>
        <v>79080</v>
      </c>
      <c r="D23" s="395">
        <f>D22+D6</f>
        <v>67899</v>
      </c>
      <c r="E23" s="320">
        <f>E22+E6</f>
        <v>15649</v>
      </c>
    </row>
    <row r="24" spans="2:5" ht="15.75">
      <c r="B24" s="79" t="s">
        <v>285</v>
      </c>
      <c r="C24" s="392"/>
      <c r="D24" s="392"/>
      <c r="E24" s="259"/>
    </row>
    <row r="25" spans="2:5" ht="15.75">
      <c r="B25" s="316"/>
      <c r="C25" s="311"/>
      <c r="D25" s="311"/>
      <c r="E25" s="169"/>
    </row>
    <row r="26" spans="2:5" ht="15.75">
      <c r="B26" s="316" t="s">
        <v>50</v>
      </c>
      <c r="C26" s="311">
        <f>446+492+633</f>
        <v>1571</v>
      </c>
      <c r="D26" s="311">
        <v>1600</v>
      </c>
      <c r="E26" s="169">
        <v>1600</v>
      </c>
    </row>
    <row r="27" spans="2:5" ht="15.75">
      <c r="B27" s="316" t="s">
        <v>74</v>
      </c>
      <c r="C27" s="311">
        <f>1853+2813+2282</f>
        <v>6948</v>
      </c>
      <c r="D27" s="311">
        <v>6000</v>
      </c>
      <c r="E27" s="169">
        <v>10000</v>
      </c>
    </row>
    <row r="28" spans="2:5" ht="15.75">
      <c r="B28" s="315" t="s">
        <v>51</v>
      </c>
      <c r="C28" s="311">
        <f>1431+175+9</f>
        <v>1615</v>
      </c>
      <c r="D28" s="311">
        <v>600</v>
      </c>
      <c r="E28" s="169">
        <v>3000</v>
      </c>
    </row>
    <row r="29" spans="2:5" ht="15.75">
      <c r="B29" s="316" t="s">
        <v>75</v>
      </c>
      <c r="C29" s="311"/>
      <c r="D29" s="311"/>
      <c r="E29" s="169"/>
    </row>
    <row r="30" spans="2:5" ht="15.75">
      <c r="B30" s="316" t="s">
        <v>54</v>
      </c>
      <c r="C30" s="311">
        <v>18080</v>
      </c>
      <c r="D30" s="311">
        <v>29994</v>
      </c>
      <c r="E30" s="169">
        <f>66093-30101-9717+1000+600</f>
        <v>27875</v>
      </c>
    </row>
    <row r="31" spans="2:5" ht="15.75">
      <c r="B31" s="316" t="s">
        <v>52</v>
      </c>
      <c r="C31" s="311"/>
      <c r="D31" s="311"/>
      <c r="E31" s="169"/>
    </row>
    <row r="32" spans="2:5" ht="15.75">
      <c r="B32" s="316" t="s">
        <v>942</v>
      </c>
      <c r="C32" s="311">
        <f>1376+302+3426</f>
        <v>5104</v>
      </c>
      <c r="D32" s="311">
        <v>5000</v>
      </c>
      <c r="E32" s="169">
        <v>7000</v>
      </c>
    </row>
    <row r="33" spans="2:5" ht="15.75">
      <c r="B33" s="316" t="s">
        <v>955</v>
      </c>
      <c r="C33" s="311">
        <f>26+25+23+69+23+23+22+22+22+22+22+22</f>
        <v>321</v>
      </c>
      <c r="D33" s="311">
        <v>600</v>
      </c>
      <c r="E33" s="169">
        <v>600</v>
      </c>
    </row>
    <row r="34" spans="2:5" ht="15.75">
      <c r="B34" s="316" t="s">
        <v>956</v>
      </c>
      <c r="C34" s="311">
        <f>28+34+29+36+34+33+39+35+33+56+28+37</f>
        <v>422</v>
      </c>
      <c r="D34" s="311">
        <v>500</v>
      </c>
      <c r="E34" s="169">
        <v>500</v>
      </c>
    </row>
    <row r="35" spans="2:10" ht="15.75">
      <c r="B35" s="316" t="s">
        <v>943</v>
      </c>
      <c r="C35" s="311">
        <f>1917+2080+1660</f>
        <v>5657</v>
      </c>
      <c r="D35" s="311">
        <v>7000</v>
      </c>
      <c r="E35" s="169">
        <v>700</v>
      </c>
      <c r="G35" s="817" t="str">
        <f>CONCATENATE("Desired Carryover Into ",E1+1,"")</f>
        <v>Desired Carryover Into 2014</v>
      </c>
      <c r="H35" s="818"/>
      <c r="I35" s="818"/>
      <c r="J35" s="819"/>
    </row>
    <row r="36" spans="2:10" ht="15.75">
      <c r="B36" s="316" t="s">
        <v>957</v>
      </c>
      <c r="C36" s="311">
        <f>8994+1741+3249</f>
        <v>13984</v>
      </c>
      <c r="D36" s="311">
        <v>10000</v>
      </c>
      <c r="E36" s="169">
        <v>16000</v>
      </c>
      <c r="G36" s="745"/>
      <c r="H36" s="746"/>
      <c r="I36" s="746"/>
      <c r="J36" s="747"/>
    </row>
    <row r="37" spans="2:10" ht="15.75">
      <c r="B37" s="316" t="s">
        <v>944</v>
      </c>
      <c r="C37" s="311">
        <v>125</v>
      </c>
      <c r="D37" s="311">
        <v>250</v>
      </c>
      <c r="E37" s="169">
        <v>250</v>
      </c>
      <c r="G37" s="509"/>
      <c r="H37" s="544"/>
      <c r="I37" s="549"/>
      <c r="J37" s="510"/>
    </row>
    <row r="38" spans="2:10" ht="15.75">
      <c r="B38" s="315" t="s">
        <v>76</v>
      </c>
      <c r="C38" s="311">
        <v>5104</v>
      </c>
      <c r="D38" s="311">
        <v>5000</v>
      </c>
      <c r="E38" s="169">
        <v>5500</v>
      </c>
      <c r="G38" s="511" t="s">
        <v>731</v>
      </c>
      <c r="H38" s="549"/>
      <c r="I38" s="549"/>
      <c r="J38" s="512">
        <v>0</v>
      </c>
    </row>
    <row r="39" spans="2:10" ht="15.75">
      <c r="B39" s="315"/>
      <c r="C39" s="311"/>
      <c r="D39" s="311"/>
      <c r="E39" s="169"/>
      <c r="G39" s="509" t="s">
        <v>732</v>
      </c>
      <c r="H39" s="544"/>
      <c r="I39" s="544"/>
      <c r="J39" s="720">
        <f>IF(J38=0,"",ROUND((J38+E52-G51)/inputOth!E11*1000,3)-G56)</f>
      </c>
    </row>
    <row r="40" spans="2:10" ht="15.75">
      <c r="B40" s="79" t="s">
        <v>53</v>
      </c>
      <c r="C40" s="311">
        <v>16600</v>
      </c>
      <c r="D40" s="311"/>
      <c r="E40" s="169"/>
      <c r="G40" s="721" t="str">
        <f>CONCATENATE("",E1," Tot Exp/Non-Appr Must Be:")</f>
        <v>2013 Tot Exp/Non-Appr Must Be:</v>
      </c>
      <c r="H40" s="539"/>
      <c r="I40" s="717"/>
      <c r="J40" s="722">
        <f>IF(J38&gt;0,IF(E49&lt;E23,IF(J38=G51,E49,((J38-G51)*(1-D51))+E23),E49+(J38-G51)),0)</f>
        <v>0</v>
      </c>
    </row>
    <row r="41" spans="2:10" ht="15.75">
      <c r="B41" s="79" t="s">
        <v>733</v>
      </c>
      <c r="C41" s="394">
        <f>IF(C23*0.25&lt;C40,"Exceeds 25%","")</f>
      </c>
      <c r="D41" s="394">
        <f>IF(D23*0.25&lt;D40,"Exceeds 25%","")</f>
      </c>
      <c r="E41" s="321">
        <f>IF(E23*0.25+E52&lt;E40,"Exceeds 25%","")</f>
      </c>
      <c r="G41" s="723" t="s">
        <v>858</v>
      </c>
      <c r="H41" s="724"/>
      <c r="I41" s="724"/>
      <c r="J41" s="725">
        <f>IF(J38&gt;0,J40-E49,0)</f>
        <v>0</v>
      </c>
    </row>
    <row r="42" spans="2:5" ht="15.75">
      <c r="B42" s="314" t="s">
        <v>230</v>
      </c>
      <c r="C42" s="311"/>
      <c r="D42" s="311"/>
      <c r="E42" s="180">
        <f>nhood!E9</f>
      </c>
    </row>
    <row r="43" spans="2:10" ht="15.75">
      <c r="B43" s="314" t="s">
        <v>228</v>
      </c>
      <c r="C43" s="311">
        <v>628</v>
      </c>
      <c r="D43" s="311"/>
      <c r="E43" s="169"/>
      <c r="G43" s="817" t="str">
        <f>CONCATENATE("Projected Carryover Into ",E1+1,"")</f>
        <v>Projected Carryover Into 2014</v>
      </c>
      <c r="H43" s="818"/>
      <c r="I43" s="818"/>
      <c r="J43" s="819"/>
    </row>
    <row r="44" spans="2:10" ht="15.75">
      <c r="B44" s="314" t="s">
        <v>729</v>
      </c>
      <c r="C44" s="394">
        <f>IF(C45*0.1&lt;C43,"Exceed 10% Rule","")</f>
      </c>
      <c r="D44" s="394">
        <f>IF(D45*0.1&lt;D43,"Exceed 10% Rule","")</f>
      </c>
      <c r="E44" s="321">
        <f>IF(E45*0.1&lt;E43,"Exceed 10% Rule","")</f>
      </c>
      <c r="G44" s="543"/>
      <c r="H44" s="544"/>
      <c r="I44" s="544"/>
      <c r="J44" s="545"/>
    </row>
    <row r="45" spans="2:10" ht="15.75">
      <c r="B45" s="97" t="s">
        <v>286</v>
      </c>
      <c r="C45" s="395">
        <f>SUM(C25:C43)</f>
        <v>76159</v>
      </c>
      <c r="D45" s="395">
        <f>SUM(D25:D43)</f>
        <v>66544</v>
      </c>
      <c r="E45" s="320">
        <f>SUM(E25:E40,E43)</f>
        <v>73025</v>
      </c>
      <c r="G45" s="546">
        <f>D46</f>
        <v>1355</v>
      </c>
      <c r="H45" s="547" t="str">
        <f>CONCATENATE("",E1-1," Ending Cash Balance (est.)")</f>
        <v>2012 Ending Cash Balance (est.)</v>
      </c>
      <c r="I45" s="548"/>
      <c r="J45" s="545"/>
    </row>
    <row r="46" spans="2:10" ht="15.75">
      <c r="B46" s="79" t="s">
        <v>68</v>
      </c>
      <c r="C46" s="396">
        <f>C23-C45</f>
        <v>2921</v>
      </c>
      <c r="D46" s="396">
        <f>D23-D45</f>
        <v>1355</v>
      </c>
      <c r="E46" s="313" t="s">
        <v>255</v>
      </c>
      <c r="G46" s="546">
        <f>E22</f>
        <v>14294</v>
      </c>
      <c r="H46" s="549" t="str">
        <f>CONCATENATE("",E1," Non-AV Receipts (est.)")</f>
        <v>2013 Non-AV Receipts (est.)</v>
      </c>
      <c r="I46" s="548"/>
      <c r="J46" s="545"/>
    </row>
    <row r="47" spans="2:11" ht="15.75">
      <c r="B47" s="115" t="str">
        <f>CONCATENATE("",$E$1-2,"/",$E$1-1," Budget Authority Amount:")</f>
        <v>2011/2012 Budget Authority Amount:</v>
      </c>
      <c r="C47" s="336">
        <f>inputOth!B86</f>
        <v>66421</v>
      </c>
      <c r="D47" s="82">
        <f>inputPrYr!D23</f>
        <v>66544</v>
      </c>
      <c r="E47" s="313" t="s">
        <v>255</v>
      </c>
      <c r="F47" s="322"/>
      <c r="G47" s="550">
        <f>IF(D51&gt;0,E50,E52)</f>
        <v>57376</v>
      </c>
      <c r="H47" s="549" t="str">
        <f>CONCATENATE("",E1," Ad Valorem Tax (est.)")</f>
        <v>2013 Ad Valorem Tax (est.)</v>
      </c>
      <c r="I47" s="548"/>
      <c r="J47" s="545"/>
      <c r="K47" s="726">
        <f>IF(G47=E52,"","Note: Does not include Delinquent Taxes")</f>
      </c>
    </row>
    <row r="48" spans="2:10" ht="15.75">
      <c r="B48" s="115"/>
      <c r="C48" s="811" t="s">
        <v>726</v>
      </c>
      <c r="D48" s="812"/>
      <c r="E48" s="169"/>
      <c r="F48" s="735">
        <f>IF(E45/0.95-E45&lt;E48,"Exceeds 5%","")</f>
      </c>
      <c r="G48" s="546">
        <f>SUM(G45:G47)</f>
        <v>73025</v>
      </c>
      <c r="H48" s="549" t="str">
        <f>CONCATENATE("Total ",E1," Resources Available")</f>
        <v>Total 2013 Resources Available</v>
      </c>
      <c r="I48" s="548"/>
      <c r="J48" s="545"/>
    </row>
    <row r="49" spans="2:10" ht="15.75">
      <c r="B49" s="501" t="str">
        <f>CONCATENATE(C74,"     ",D74)</f>
        <v>See Tab A     </v>
      </c>
      <c r="C49" s="813" t="s">
        <v>727</v>
      </c>
      <c r="D49" s="814"/>
      <c r="E49" s="259">
        <f>E45+E48</f>
        <v>73025</v>
      </c>
      <c r="G49" s="551"/>
      <c r="H49" s="549"/>
      <c r="I49" s="549"/>
      <c r="J49" s="545"/>
    </row>
    <row r="50" spans="2:10" ht="15.75">
      <c r="B50" s="501" t="str">
        <f>CONCATENATE(C75,"     ",D75)</f>
        <v>     </v>
      </c>
      <c r="C50" s="504"/>
      <c r="D50" s="503" t="s">
        <v>288</v>
      </c>
      <c r="E50" s="180">
        <f>IF(E49-E23&gt;0,E49-E23,0)</f>
        <v>57376</v>
      </c>
      <c r="G50" s="550">
        <f>ROUND(C45*0.05+C45,0)</f>
        <v>79967</v>
      </c>
      <c r="H50" s="549" t="str">
        <f>CONCATENATE("Less ",E1-2," Expenditures + 5%")</f>
        <v>Less 2011 Expenditures + 5%</v>
      </c>
      <c r="I50" s="548"/>
      <c r="J50" s="545"/>
    </row>
    <row r="51" spans="2:10" ht="15.75">
      <c r="B51" s="208"/>
      <c r="C51" s="502" t="s">
        <v>728</v>
      </c>
      <c r="D51" s="719">
        <f>inputOth!$E$77</f>
        <v>0</v>
      </c>
      <c r="E51" s="259">
        <f>ROUND(IF(D51&gt;0,(E50*D51),0),0)</f>
        <v>0</v>
      </c>
      <c r="G51" s="552">
        <f>G48-G50</f>
        <v>-6942</v>
      </c>
      <c r="H51" s="553" t="str">
        <f>CONCATENATE("Projected ",E1+1," Carryover (est.)")</f>
        <v>Projected 2014 Carryover (est.)</v>
      </c>
      <c r="I51" s="554"/>
      <c r="J51" s="555"/>
    </row>
    <row r="52" spans="2:5" ht="15.75">
      <c r="B52" s="65"/>
      <c r="C52" s="815" t="str">
        <f>CONCATENATE("Amount of  ",$E$1-1," Ad Valorem Tax")</f>
        <v>Amount of  2012 Ad Valorem Tax</v>
      </c>
      <c r="D52" s="816"/>
      <c r="E52" s="180">
        <f>E50+E51</f>
        <v>57376</v>
      </c>
    </row>
    <row r="53" spans="2:10" ht="15.75">
      <c r="B53" s="65"/>
      <c r="C53" s="65"/>
      <c r="D53" s="65"/>
      <c r="E53" s="65"/>
      <c r="G53" s="820" t="s">
        <v>859</v>
      </c>
      <c r="H53" s="821"/>
      <c r="I53" s="821"/>
      <c r="J53" s="822"/>
    </row>
    <row r="54" spans="2:10" ht="15.75">
      <c r="B54" s="65"/>
      <c r="C54" s="65"/>
      <c r="D54" s="65"/>
      <c r="E54" s="65"/>
      <c r="G54" s="727"/>
      <c r="H54" s="547"/>
      <c r="I54" s="718"/>
      <c r="J54" s="728"/>
    </row>
    <row r="55" spans="2:10" ht="15.75">
      <c r="B55" s="155" t="s">
        <v>290</v>
      </c>
      <c r="C55" s="203">
        <f>E1-2</f>
        <v>2011</v>
      </c>
      <c r="D55" s="65"/>
      <c r="E55" s="65"/>
      <c r="G55" s="729">
        <f>summ!H19</f>
        <v>11.413</v>
      </c>
      <c r="H55" s="547" t="str">
        <f>CONCATENATE("",E1," Fund Mill Rate")</f>
        <v>2013 Fund Mill Rate</v>
      </c>
      <c r="I55" s="718"/>
      <c r="J55" s="728"/>
    </row>
    <row r="56" spans="2:10" ht="15.75">
      <c r="B56" s="76" t="s">
        <v>291</v>
      </c>
      <c r="C56" s="78" t="s">
        <v>292</v>
      </c>
      <c r="D56" s="65"/>
      <c r="E56" s="65"/>
      <c r="G56" s="730">
        <f>summ!E19</f>
        <v>12.127</v>
      </c>
      <c r="H56" s="547" t="str">
        <f>CONCATENATE("",E1-1," Fund Mill Rate")</f>
        <v>2012 Fund Mill Rate</v>
      </c>
      <c r="I56" s="718"/>
      <c r="J56" s="728"/>
    </row>
    <row r="57" spans="2:10" ht="15.75">
      <c r="B57" s="103" t="s">
        <v>274</v>
      </c>
      <c r="C57" s="500">
        <v>42360</v>
      </c>
      <c r="D57" s="65"/>
      <c r="E57" s="65"/>
      <c r="G57" s="731">
        <f>summ!H24</f>
        <v>14.411999999999999</v>
      </c>
      <c r="H57" s="547" t="str">
        <f>CONCATENATE("Total ",E1," Mill Rate")</f>
        <v>Total 2013 Mill Rate</v>
      </c>
      <c r="I57" s="718"/>
      <c r="J57" s="728"/>
    </row>
    <row r="58" spans="2:10" ht="15.75">
      <c r="B58" s="103" t="s">
        <v>293</v>
      </c>
      <c r="C58" s="336"/>
      <c r="D58" s="65"/>
      <c r="E58" s="65"/>
      <c r="G58" s="730">
        <f>summ!E24</f>
        <v>15.567000000000002</v>
      </c>
      <c r="H58" s="732" t="str">
        <f>CONCATENATE("Total ",E1-1," Mill Rate")</f>
        <v>Total 2012 Mill Rate</v>
      </c>
      <c r="I58" s="733"/>
      <c r="J58" s="734"/>
    </row>
    <row r="59" spans="2:5" ht="15.75">
      <c r="B59" s="103" t="s">
        <v>294</v>
      </c>
      <c r="C59" s="495">
        <f>IF(C40&gt;0,C40,0)</f>
        <v>16600</v>
      </c>
      <c r="D59" s="327">
        <f>IF(C40&gt;(C23*0.25),"Exceeds 25% of Resources Available","")</f>
      </c>
      <c r="E59" s="65"/>
    </row>
    <row r="60" spans="2:5" ht="15.75">
      <c r="B60" s="103" t="s">
        <v>192</v>
      </c>
      <c r="C60" s="494">
        <f>IF(gen!C34&gt;0,gen!C34,0)</f>
        <v>0</v>
      </c>
      <c r="D60" s="834">
        <f>IF(AND(gen!C34&gt;0,gen!C36&gt;0),"Not Auth. Two General Transfers - Only One","")</f>
      </c>
      <c r="E60" s="65"/>
    </row>
    <row r="61" spans="2:5" ht="15.75">
      <c r="B61" s="103" t="s">
        <v>193</v>
      </c>
      <c r="C61" s="495">
        <f>IF(gen!C36&gt;0,gen!C36,0)</f>
        <v>0</v>
      </c>
      <c r="D61" s="835"/>
      <c r="E61" s="65"/>
    </row>
    <row r="62" spans="2:5" ht="15.75">
      <c r="B62" s="171"/>
      <c r="C62" s="500"/>
      <c r="D62" s="65"/>
      <c r="E62" s="65"/>
    </row>
    <row r="63" spans="2:5" ht="15.75">
      <c r="B63" s="171" t="s">
        <v>282</v>
      </c>
      <c r="C63" s="500">
        <v>430</v>
      </c>
      <c r="D63" s="65"/>
      <c r="E63" s="65"/>
    </row>
    <row r="64" spans="2:5" ht="15.75">
      <c r="B64" s="171" t="s">
        <v>281</v>
      </c>
      <c r="C64" s="500"/>
      <c r="D64" s="65"/>
      <c r="E64" s="65"/>
    </row>
    <row r="65" spans="2:5" ht="15.75">
      <c r="B65" s="328" t="s">
        <v>284</v>
      </c>
      <c r="C65" s="493">
        <f>SUM(C57,C59:C64)</f>
        <v>59390</v>
      </c>
      <c r="D65" s="65"/>
      <c r="E65" s="65"/>
    </row>
    <row r="66" spans="2:5" ht="15.75">
      <c r="B66" s="328" t="s">
        <v>286</v>
      </c>
      <c r="C66" s="500"/>
      <c r="D66" s="65"/>
      <c r="E66" s="65"/>
    </row>
    <row r="67" spans="2:5" ht="15.75">
      <c r="B67" s="328" t="s">
        <v>287</v>
      </c>
      <c r="C67" s="493">
        <f>C65-C66</f>
        <v>59390</v>
      </c>
      <c r="D67" s="65"/>
      <c r="E67" s="65"/>
    </row>
    <row r="68" spans="2:5" ht="15.75">
      <c r="B68" s="65"/>
      <c r="C68" s="65"/>
      <c r="D68" s="65"/>
      <c r="E68" s="65"/>
    </row>
    <row r="69" spans="2:5" ht="15.75">
      <c r="B69" s="208" t="s">
        <v>269</v>
      </c>
      <c r="C69" s="330">
        <v>7</v>
      </c>
      <c r="D69" s="65"/>
      <c r="E69" s="65"/>
    </row>
    <row r="71" ht="15.75">
      <c r="B71" s="107"/>
    </row>
    <row r="74" spans="3:4" ht="15.75" hidden="1">
      <c r="C74" s="154" t="str">
        <f>IF(C45&gt;C47,"See Tab A","")</f>
        <v>See Tab A</v>
      </c>
      <c r="D74" s="154">
        <f>IF(D45&gt;D47,"See Tab C","")</f>
      </c>
    </row>
    <row r="75" spans="3:4" ht="15.75" hidden="1">
      <c r="C75" s="154">
        <f>IF(C46&lt;0,"See Tab B","")</f>
      </c>
      <c r="D75" s="154">
        <f>IF(D46&lt;0,"See Tab D","")</f>
      </c>
    </row>
  </sheetData>
  <sheetProtection/>
  <mergeCells count="7">
    <mergeCell ref="D60:D61"/>
    <mergeCell ref="C48:D48"/>
    <mergeCell ref="C49:D49"/>
    <mergeCell ref="C52:D52"/>
    <mergeCell ref="G35:J35"/>
    <mergeCell ref="G43:J43"/>
    <mergeCell ref="G53:J53"/>
  </mergeCells>
  <conditionalFormatting sqref="C43">
    <cfRule type="cellIs" priority="2" dxfId="173" operator="greaterThan" stopIfTrue="1">
      <formula>$C$45*0.1</formula>
    </cfRule>
  </conditionalFormatting>
  <conditionalFormatting sqref="D43">
    <cfRule type="cellIs" priority="3" dxfId="173" operator="greaterThan" stopIfTrue="1">
      <formula>$D$45*0.1</formula>
    </cfRule>
  </conditionalFormatting>
  <conditionalFormatting sqref="E43">
    <cfRule type="cellIs" priority="4" dxfId="173" operator="greaterThan" stopIfTrue="1">
      <formula>$E$45*0.1</formula>
    </cfRule>
  </conditionalFormatting>
  <conditionalFormatting sqref="C20">
    <cfRule type="cellIs" priority="5" dxfId="173" operator="greaterThan" stopIfTrue="1">
      <formula>$C$22*0.1</formula>
    </cfRule>
  </conditionalFormatting>
  <conditionalFormatting sqref="D20">
    <cfRule type="cellIs" priority="6" dxfId="173" operator="greaterThan" stopIfTrue="1">
      <formula>$D$22*0.1</formula>
    </cfRule>
  </conditionalFormatting>
  <conditionalFormatting sqref="C40">
    <cfRule type="cellIs" priority="7" dxfId="173" operator="greaterThan" stopIfTrue="1">
      <formula>$C$23*0.25</formula>
    </cfRule>
  </conditionalFormatting>
  <conditionalFormatting sqref="E48">
    <cfRule type="cellIs" priority="8" dxfId="173" operator="greaterThan" stopIfTrue="1">
      <formula>$E$45/0.95-$E$45</formula>
    </cfRule>
  </conditionalFormatting>
  <conditionalFormatting sqref="C46">
    <cfRule type="cellIs" priority="9" dxfId="173" operator="lessThan" stopIfTrue="1">
      <formula>0</formula>
    </cfRule>
  </conditionalFormatting>
  <conditionalFormatting sqref="C45">
    <cfRule type="cellIs" priority="10" dxfId="10" operator="greaterThan" stopIfTrue="1">
      <formula>$C$47</formula>
    </cfRule>
  </conditionalFormatting>
  <conditionalFormatting sqref="D45">
    <cfRule type="cellIs" priority="11" dxfId="10" operator="greaterThan" stopIfTrue="1">
      <formula>$D$47</formula>
    </cfRule>
  </conditionalFormatting>
  <conditionalFormatting sqref="D40">
    <cfRule type="cellIs" priority="12" dxfId="173" operator="greaterThan" stopIfTrue="1">
      <formula>$D$23*0.25</formula>
    </cfRule>
  </conditionalFormatting>
  <conditionalFormatting sqref="E40">
    <cfRule type="cellIs" priority="13" dxfId="173" operator="greaterThan" stopIfTrue="1">
      <formula>$E$23*0.25+$E$52</formula>
    </cfRule>
  </conditionalFormatting>
  <conditionalFormatting sqref="E20">
    <cfRule type="cellIs" priority="14" dxfId="173" operator="greaterThan" stopIfTrue="1">
      <formula>$E$22*0.1+$E$52</formula>
    </cfRule>
  </conditionalFormatting>
  <conditionalFormatting sqref="D46">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88"/>
  <sheetViews>
    <sheetView zoomScale="80" zoomScaleNormal="80" zoomScalePageLayoutView="0" workbookViewId="0" topLeftCell="A1">
      <selection activeCell="C6" sqref="C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Morrill Township</v>
      </c>
      <c r="C1" s="71" t="s">
        <v>295</v>
      </c>
      <c r="D1" s="65"/>
      <c r="E1" s="223">
        <f>inputPrYr!D9</f>
        <v>2013</v>
      </c>
    </row>
    <row r="2" spans="2:5" ht="15.75">
      <c r="B2" s="542" t="s">
        <v>762</v>
      </c>
      <c r="C2" s="65"/>
      <c r="D2" s="65"/>
      <c r="E2" s="331"/>
    </row>
    <row r="3" spans="2:5" ht="15.75">
      <c r="B3" s="65"/>
      <c r="C3" s="69"/>
      <c r="D3" s="69"/>
      <c r="E3" s="65"/>
    </row>
    <row r="4" spans="2:5" ht="15.75">
      <c r="B4" s="71" t="s">
        <v>270</v>
      </c>
      <c r="C4" s="390" t="s">
        <v>271</v>
      </c>
      <c r="D4" s="393" t="s">
        <v>272</v>
      </c>
      <c r="E4" s="73" t="s">
        <v>273</v>
      </c>
    </row>
    <row r="5" spans="2:5" ht="15.75">
      <c r="B5" s="486" t="str">
        <f>inputPrYr!B24</f>
        <v>Special Road</v>
      </c>
      <c r="C5" s="391" t="str">
        <f>gen!C5</f>
        <v>Actual for 2011</v>
      </c>
      <c r="D5" s="391" t="str">
        <f>gen!D5</f>
        <v>Estimate for 2012</v>
      </c>
      <c r="E5" s="78" t="str">
        <f>gen!E5</f>
        <v>Year for 2013</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IF(inputPrYr!H19&gt;0,inputPrYr!G24,inputPrYr!E24)</f>
        <v>0</v>
      </c>
      <c r="E8" s="313" t="s">
        <v>255</v>
      </c>
    </row>
    <row r="9" spans="2:5" ht="15.75">
      <c r="B9" s="79" t="s">
        <v>277</v>
      </c>
      <c r="C9" s="311"/>
      <c r="D9" s="311"/>
      <c r="E9" s="169"/>
    </row>
    <row r="10" spans="2:5" ht="15.75">
      <c r="B10" s="79" t="s">
        <v>278</v>
      </c>
      <c r="C10" s="311"/>
      <c r="D10" s="311"/>
      <c r="E10" s="259">
        <f>mvalloc!G15</f>
        <v>0</v>
      </c>
    </row>
    <row r="11" spans="2:5" ht="15.75">
      <c r="B11" s="79" t="s">
        <v>279</v>
      </c>
      <c r="C11" s="311"/>
      <c r="D11" s="311"/>
      <c r="E11" s="259">
        <f>mvalloc!I15</f>
        <v>0</v>
      </c>
    </row>
    <row r="12" spans="2:5" ht="15.75">
      <c r="B12" s="314" t="s">
        <v>18</v>
      </c>
      <c r="C12" s="311"/>
      <c r="D12" s="311"/>
      <c r="E12" s="259">
        <f>mvalloc!J15</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23" t="str">
        <f>CONCATENATE("Desired Carryover Into ",E1+1,"")</f>
        <v>Desired Carryover Into 2014</v>
      </c>
      <c r="H24" s="824"/>
      <c r="I24" s="824"/>
      <c r="J24" s="825"/>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6"/>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2013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nhood!E10</f>
      </c>
      <c r="G30" s="616"/>
      <c r="H30" s="616"/>
      <c r="I30" s="616"/>
      <c r="J30" s="616"/>
      <c r="K30" s="616"/>
    </row>
    <row r="31" spans="2:11" ht="15.75">
      <c r="B31" s="314" t="s">
        <v>228</v>
      </c>
      <c r="C31" s="311"/>
      <c r="D31" s="311"/>
      <c r="E31" s="169"/>
      <c r="G31" s="823" t="str">
        <f>CONCATENATE("Projected Carryover Into ",E1+1,"")</f>
        <v>Projected Carryover Into 2014</v>
      </c>
      <c r="H31" s="833"/>
      <c r="I31" s="833"/>
      <c r="J31" s="827"/>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2012 Ending Cash Balance (est.)</v>
      </c>
      <c r="I33" s="668"/>
      <c r="J33" s="663"/>
      <c r="K33" s="616"/>
    </row>
    <row r="34" spans="2:11" ht="15.75">
      <c r="B34" s="79" t="s">
        <v>68</v>
      </c>
      <c r="C34" s="396">
        <f>C21-C33</f>
        <v>0</v>
      </c>
      <c r="D34" s="396">
        <f>D21-D33</f>
        <v>0</v>
      </c>
      <c r="E34" s="313" t="s">
        <v>255</v>
      </c>
      <c r="G34" s="666">
        <f>E20</f>
        <v>0</v>
      </c>
      <c r="H34" s="650" t="str">
        <f>CONCATENATE("",E1," Non-AV Receipts (est.)")</f>
        <v>2013 Non-AV Receipts (est.)</v>
      </c>
      <c r="I34" s="668"/>
      <c r="J34" s="663"/>
      <c r="K34" s="616"/>
    </row>
    <row r="35" spans="2:11" ht="15.75">
      <c r="B35" s="115" t="str">
        <f>CONCATENATE("",$E$1-2,"/",$E$1-1," Budget Authority Amount:")</f>
        <v>2011/2012 Budget Authority Amount:</v>
      </c>
      <c r="C35" s="336">
        <f>inputOth!$B87</f>
        <v>0</v>
      </c>
      <c r="D35" s="82">
        <f>inputPrYr!$D24</f>
        <v>0</v>
      </c>
      <c r="E35" s="313" t="s">
        <v>255</v>
      </c>
      <c r="F35" s="322"/>
      <c r="G35" s="675">
        <f>IF(E39&gt;0,E38,E40)</f>
        <v>0</v>
      </c>
      <c r="H35" s="650" t="str">
        <f>CONCATENATE("",E1," Ad Valorem Tax (est.)")</f>
        <v>2013 Ad Valorem Tax (est.)</v>
      </c>
      <c r="I35" s="668"/>
      <c r="J35" s="663"/>
      <c r="K35" s="676">
        <f>IF(G35=E40,"","Note: Does not include Delinquent Taxes")</f>
      </c>
    </row>
    <row r="36" spans="2:11" ht="15.75">
      <c r="B36" s="115"/>
      <c r="C36" s="811" t="s">
        <v>726</v>
      </c>
      <c r="D36" s="812"/>
      <c r="E36" s="169"/>
      <c r="F36" s="735">
        <f>IF(E33/0.95-E33&lt;E36,"Exceeds 5%","")</f>
      </c>
      <c r="G36" s="666">
        <f>SUM(G33:G35)</f>
        <v>0</v>
      </c>
      <c r="H36" s="650" t="str">
        <f>CONCATENATE("Total ",E1," Resources Available")</f>
        <v>Total 2013 Resources Available</v>
      </c>
      <c r="I36" s="668"/>
      <c r="J36" s="663"/>
      <c r="K36" s="616"/>
    </row>
    <row r="37" spans="2:11" ht="15.75">
      <c r="B37" s="501" t="str">
        <f>CONCATENATE(C83,"     ",D83)</f>
        <v>     </v>
      </c>
      <c r="C37" s="813" t="s">
        <v>727</v>
      </c>
      <c r="D37" s="814"/>
      <c r="E37" s="259">
        <f>E33+E36</f>
        <v>0</v>
      </c>
      <c r="G37" s="679"/>
      <c r="H37" s="650"/>
      <c r="I37" s="650"/>
      <c r="J37" s="663"/>
      <c r="K37" s="616"/>
    </row>
    <row r="38" spans="2:11" ht="15.75">
      <c r="B38" s="501" t="str">
        <f>CONCATENATE(C84,"     ",D84)</f>
        <v>     </v>
      </c>
      <c r="C38" s="504"/>
      <c r="D38" s="503" t="s">
        <v>288</v>
      </c>
      <c r="E38" s="180">
        <f>IF(E37-E21&gt;0,E37-E21,0)</f>
        <v>0</v>
      </c>
      <c r="G38" s="675">
        <f>C33*0.05+C33</f>
        <v>0</v>
      </c>
      <c r="H38" s="650" t="str">
        <f>CONCATENATE("Less ",E1-2," Expenditures + 5%")</f>
        <v>Less 2011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2014 carryover (est.)</v>
      </c>
      <c r="I39" s="685"/>
      <c r="J39" s="686"/>
      <c r="K39" s="616"/>
    </row>
    <row r="40" spans="2:11" ht="15.75">
      <c r="B40" s="65"/>
      <c r="C40" s="815" t="str">
        <f>CONCATENATE("Amount of  ",$E$1-1," Ad Valorem Tax")</f>
        <v>Amount of  2012 Ad Valorem Tax</v>
      </c>
      <c r="D40" s="816"/>
      <c r="E40" s="180">
        <f>E38+E39</f>
        <v>0</v>
      </c>
      <c r="G40" s="616"/>
      <c r="H40" s="616"/>
      <c r="I40" s="616"/>
      <c r="J40" s="616"/>
      <c r="K40" s="616"/>
    </row>
    <row r="41" spans="2:11" ht="15.75">
      <c r="B41" s="65"/>
      <c r="C41" s="561"/>
      <c r="D41" s="65"/>
      <c r="E41" s="65"/>
      <c r="G41" s="830" t="s">
        <v>859</v>
      </c>
      <c r="H41" s="831"/>
      <c r="I41" s="831"/>
      <c r="J41" s="832"/>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2013 Fund Mill Rate</v>
      </c>
      <c r="I43" s="691"/>
      <c r="J43" s="692"/>
      <c r="K43" s="616"/>
    </row>
    <row r="44" spans="2:11" ht="15.75">
      <c r="B44" s="65"/>
      <c r="C44" s="390" t="s">
        <v>271</v>
      </c>
      <c r="D44" s="393" t="s">
        <v>272</v>
      </c>
      <c r="E44" s="73" t="s">
        <v>273</v>
      </c>
      <c r="G44" s="694" t="e">
        <f>summ!#REF!</f>
        <v>#REF!</v>
      </c>
      <c r="H44" s="667" t="str">
        <f>CONCATENATE("",E1-1," Fund Mill Rate")</f>
        <v>2012 Fund Mill Rate</v>
      </c>
      <c r="I44" s="691"/>
      <c r="J44" s="692"/>
      <c r="K44" s="616"/>
    </row>
    <row r="45" spans="2:11" ht="15.75">
      <c r="B45" s="487" t="str">
        <f>inputPrYr!B25</f>
        <v>Noxious Weed</v>
      </c>
      <c r="C45" s="391" t="str">
        <f>C5</f>
        <v>Actual for 2011</v>
      </c>
      <c r="D45" s="391" t="str">
        <f>D5</f>
        <v>Estimate for 2012</v>
      </c>
      <c r="E45" s="78" t="str">
        <f>E5</f>
        <v>Year for 2013</v>
      </c>
      <c r="G45" s="696">
        <f>summ!H24</f>
        <v>14.411999999999999</v>
      </c>
      <c r="H45" s="667" t="str">
        <f>CONCATENATE("Total ",E1," Mill Rate")</f>
        <v>Total 2013 Mill Rate</v>
      </c>
      <c r="I45" s="691"/>
      <c r="J45" s="692"/>
      <c r="K45" s="616"/>
    </row>
    <row r="46" spans="2:11" ht="15.75">
      <c r="B46" s="79" t="s">
        <v>67</v>
      </c>
      <c r="C46" s="311"/>
      <c r="D46" s="392">
        <f>C72</f>
        <v>0</v>
      </c>
      <c r="E46" s="259">
        <f>D72</f>
        <v>0</v>
      </c>
      <c r="G46" s="694">
        <f>summ!E24</f>
        <v>15.567000000000002</v>
      </c>
      <c r="H46" s="697" t="str">
        <f>CONCATENATE("Total ",E1-1," Mill Rate")</f>
        <v>Total 2012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IF(inputPrYr!H19&gt;0,inputPrYr!G25,inputPrYr!E25)</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mvalloc!G16</f>
        <v>0</v>
      </c>
      <c r="G50" s="616"/>
      <c r="H50" s="616"/>
      <c r="I50" s="616"/>
      <c r="J50" s="616"/>
      <c r="K50" s="616"/>
    </row>
    <row r="51" spans="2:11" ht="15.75">
      <c r="B51" s="79" t="s">
        <v>279</v>
      </c>
      <c r="C51" s="311"/>
      <c r="D51" s="311"/>
      <c r="E51" s="259">
        <f>mvalloc!I16</f>
        <v>0</v>
      </c>
      <c r="G51" s="616"/>
      <c r="H51" s="616"/>
      <c r="I51" s="616"/>
      <c r="J51" s="616"/>
      <c r="K51" s="616"/>
    </row>
    <row r="52" spans="2:11" ht="15.75">
      <c r="B52" s="79" t="s">
        <v>48</v>
      </c>
      <c r="C52" s="311"/>
      <c r="D52" s="311"/>
      <c r="E52" s="259">
        <f>mvalloc!J16</f>
        <v>0</v>
      </c>
      <c r="G52" s="616"/>
      <c r="H52" s="616"/>
      <c r="I52" s="616"/>
      <c r="J52" s="616"/>
      <c r="K52" s="616"/>
    </row>
    <row r="53" spans="2:11" ht="15.75">
      <c r="B53" s="315"/>
      <c r="C53" s="311"/>
      <c r="D53" s="311"/>
      <c r="E53" s="169"/>
      <c r="G53" s="616"/>
      <c r="H53" s="616"/>
      <c r="I53" s="616"/>
      <c r="J53" s="616"/>
      <c r="K53" s="616"/>
    </row>
    <row r="54" spans="2:11" ht="15.75">
      <c r="B54" s="316"/>
      <c r="C54" s="311"/>
      <c r="D54" s="311"/>
      <c r="E54" s="169"/>
      <c r="G54" s="616"/>
      <c r="H54" s="616"/>
      <c r="I54" s="616"/>
      <c r="J54" s="616"/>
      <c r="K54" s="616"/>
    </row>
    <row r="55" spans="2:11" ht="15.75">
      <c r="B55" s="316" t="s">
        <v>282</v>
      </c>
      <c r="C55" s="311"/>
      <c r="D55" s="311"/>
      <c r="E55" s="169"/>
      <c r="G55" s="616"/>
      <c r="H55" s="616"/>
      <c r="I55" s="616"/>
      <c r="J55" s="616"/>
      <c r="K55" s="616"/>
    </row>
    <row r="56" spans="2:11" ht="15.75">
      <c r="B56" s="317" t="s">
        <v>228</v>
      </c>
      <c r="C56" s="311"/>
      <c r="D56" s="311"/>
      <c r="E56" s="169"/>
      <c r="G56" s="616"/>
      <c r="H56" s="616"/>
      <c r="I56" s="616"/>
      <c r="J56" s="616"/>
      <c r="K56" s="616"/>
    </row>
    <row r="57" spans="2:11" ht="15.75">
      <c r="B57" s="317" t="s">
        <v>229</v>
      </c>
      <c r="C57" s="394">
        <f>IF(C58*0.1&lt;C56,"Exceed 10% Rule","")</f>
      </c>
      <c r="D57" s="394">
        <f>IF(D58*0.1&lt;D56,"Exceed 10% Rule","")</f>
      </c>
      <c r="E57" s="321">
        <f>IF(E58*0.1+E78&lt;E56,"Exceed 10% Rule","")</f>
      </c>
      <c r="G57" s="616"/>
      <c r="H57" s="616"/>
      <c r="I57" s="616"/>
      <c r="J57" s="616"/>
      <c r="K57" s="616"/>
    </row>
    <row r="58" spans="2:11" ht="15.75">
      <c r="B58" s="319" t="s">
        <v>283</v>
      </c>
      <c r="C58" s="395">
        <f>SUM(C48:C56)</f>
        <v>0</v>
      </c>
      <c r="D58" s="395">
        <f>SUM(D48:D56)</f>
        <v>0</v>
      </c>
      <c r="E58" s="320">
        <f>SUM(E48:E56)</f>
        <v>0</v>
      </c>
      <c r="G58" s="616"/>
      <c r="H58" s="616"/>
      <c r="I58" s="616"/>
      <c r="J58" s="616"/>
      <c r="K58" s="616"/>
    </row>
    <row r="59" spans="2:11" ht="15.75">
      <c r="B59" s="97" t="s">
        <v>284</v>
      </c>
      <c r="C59" s="395">
        <f>C58+C46</f>
        <v>0</v>
      </c>
      <c r="D59" s="395">
        <f>D58+D46</f>
        <v>0</v>
      </c>
      <c r="E59" s="320">
        <f>E58+E46</f>
        <v>0</v>
      </c>
      <c r="G59" s="616"/>
      <c r="H59" s="616"/>
      <c r="I59" s="616"/>
      <c r="J59" s="616"/>
      <c r="K59" s="616"/>
    </row>
    <row r="60" spans="2:11" ht="15.75">
      <c r="B60" s="79" t="s">
        <v>285</v>
      </c>
      <c r="C60" s="392"/>
      <c r="D60" s="392"/>
      <c r="E60" s="259"/>
      <c r="G60" s="616"/>
      <c r="H60" s="616"/>
      <c r="I60" s="616"/>
      <c r="J60" s="616"/>
      <c r="K60" s="616"/>
    </row>
    <row r="61" spans="2:11" ht="15.75">
      <c r="B61" s="316"/>
      <c r="C61" s="311"/>
      <c r="D61" s="311"/>
      <c r="E61" s="169"/>
      <c r="G61" s="616"/>
      <c r="H61" s="616"/>
      <c r="I61" s="616"/>
      <c r="J61" s="616"/>
      <c r="K61" s="616"/>
    </row>
    <row r="62" spans="2:11" ht="15.75">
      <c r="B62" s="316" t="s">
        <v>74</v>
      </c>
      <c r="C62" s="311"/>
      <c r="D62" s="311"/>
      <c r="E62" s="169"/>
      <c r="G62" s="823" t="str">
        <f>CONCATENATE("Desired Carryover Into ",E1+1,"")</f>
        <v>Desired Carryover Into 2014</v>
      </c>
      <c r="H62" s="824"/>
      <c r="I62" s="824"/>
      <c r="J62" s="825"/>
      <c r="K62" s="616"/>
    </row>
    <row r="63" spans="2:11" ht="15.75">
      <c r="B63" s="316" t="s">
        <v>51</v>
      </c>
      <c r="C63" s="311"/>
      <c r="D63" s="311"/>
      <c r="E63" s="169"/>
      <c r="G63" s="648"/>
      <c r="H63" s="649"/>
      <c r="I63" s="650"/>
      <c r="J63" s="651"/>
      <c r="K63" s="616"/>
    </row>
    <row r="64" spans="2:11" ht="15.75">
      <c r="B64" s="316"/>
      <c r="C64" s="311"/>
      <c r="D64" s="311"/>
      <c r="E64" s="169"/>
      <c r="G64" s="652" t="s">
        <v>731</v>
      </c>
      <c r="H64" s="650"/>
      <c r="I64" s="650"/>
      <c r="J64" s="653">
        <v>0</v>
      </c>
      <c r="K64" s="616"/>
    </row>
    <row r="65" spans="2:11" ht="15.75">
      <c r="B65" s="316"/>
      <c r="C65" s="311"/>
      <c r="D65" s="311"/>
      <c r="E65" s="169"/>
      <c r="G65" s="648" t="s">
        <v>732</v>
      </c>
      <c r="H65" s="649"/>
      <c r="I65" s="649"/>
      <c r="J65" s="654">
        <f>IF(J64=0,"",ROUND((J64+E78-G77)/inputOth!E11*1000,3)-G82)</f>
      </c>
      <c r="K65" s="616"/>
    </row>
    <row r="66" spans="2:11" ht="15.75">
      <c r="B66" s="316"/>
      <c r="C66" s="311"/>
      <c r="D66" s="311"/>
      <c r="E66" s="169"/>
      <c r="G66" s="655" t="str">
        <f>CONCATENATE("",E1," Tot Exp/Non-Appr Must Be:")</f>
        <v>2013 Tot Exp/Non-Appr Must Be:</v>
      </c>
      <c r="H66" s="656"/>
      <c r="I66" s="657"/>
      <c r="J66" s="658">
        <f>IF(J64&gt;0,IF(E75&lt;E59,IF(J64=G77,E75,((J64-G77)*(1-D77))+E59),E75+(J64-G77)),0)</f>
        <v>0</v>
      </c>
      <c r="K66" s="616"/>
    </row>
    <row r="67" spans="2:11" ht="15.75">
      <c r="B67" s="316"/>
      <c r="C67" s="311"/>
      <c r="D67" s="311"/>
      <c r="E67" s="169"/>
      <c r="G67" s="659" t="s">
        <v>858</v>
      </c>
      <c r="H67" s="660"/>
      <c r="I67" s="660"/>
      <c r="J67" s="661">
        <f>IF(J64&gt;0,J66-E75,0)</f>
        <v>0</v>
      </c>
      <c r="K67" s="616"/>
    </row>
    <row r="68" spans="2:11" ht="15.75">
      <c r="B68" s="314" t="s">
        <v>230</v>
      </c>
      <c r="C68" s="311"/>
      <c r="D68" s="311"/>
      <c r="E68" s="180">
        <f>nhood!E11</f>
      </c>
      <c r="G68" s="616"/>
      <c r="H68" s="616"/>
      <c r="I68" s="616"/>
      <c r="J68" s="616"/>
      <c r="K68" s="616"/>
    </row>
    <row r="69" spans="2:11" ht="15.75">
      <c r="B69" s="314" t="s">
        <v>228</v>
      </c>
      <c r="C69" s="311"/>
      <c r="D69" s="311"/>
      <c r="E69" s="169"/>
      <c r="G69" s="823" t="str">
        <f>CONCATENATE("Projected Carryover Into ",E1+1,"")</f>
        <v>Projected Carryover Into 2014</v>
      </c>
      <c r="H69" s="826"/>
      <c r="I69" s="826"/>
      <c r="J69" s="827"/>
      <c r="K69" s="616"/>
    </row>
    <row r="70" spans="2:11" ht="15.75">
      <c r="B70" s="314" t="s">
        <v>729</v>
      </c>
      <c r="C70" s="394">
        <f>IF(C71*0.1&lt;C69,"Exceed 10% Rule","")</f>
      </c>
      <c r="D70" s="394">
        <f>IF(D71*0.1&lt;D69,"Exceed 10% Rule","")</f>
      </c>
      <c r="E70" s="321">
        <f>IF(E71*0.1&lt;E69,"Exceed 10% Rule","")</f>
      </c>
      <c r="G70" s="702"/>
      <c r="H70" s="649"/>
      <c r="I70" s="649"/>
      <c r="J70" s="703"/>
      <c r="K70" s="616"/>
    </row>
    <row r="71" spans="2:11" ht="15.75">
      <c r="B71" s="97" t="s">
        <v>286</v>
      </c>
      <c r="C71" s="395">
        <f>SUM(C61:C69)</f>
        <v>0</v>
      </c>
      <c r="D71" s="395">
        <f>SUM(D61:D69)</f>
        <v>0</v>
      </c>
      <c r="E71" s="320">
        <f>SUM(E61:E69)</f>
        <v>0</v>
      </c>
      <c r="G71" s="666">
        <f>D72</f>
        <v>0</v>
      </c>
      <c r="H71" s="667" t="str">
        <f>CONCATENATE("",E1-1," Ending Cash Balance (est.)")</f>
        <v>2012 Ending Cash Balance (est.)</v>
      </c>
      <c r="I71" s="668"/>
      <c r="J71" s="703"/>
      <c r="K71" s="616"/>
    </row>
    <row r="72" spans="2:11" ht="15.75">
      <c r="B72" s="79" t="s">
        <v>68</v>
      </c>
      <c r="C72" s="396">
        <f>C59-C71</f>
        <v>0</v>
      </c>
      <c r="D72" s="396">
        <f>D59-D71</f>
        <v>0</v>
      </c>
      <c r="E72" s="313" t="s">
        <v>255</v>
      </c>
      <c r="G72" s="666">
        <f>E58</f>
        <v>0</v>
      </c>
      <c r="H72" s="650" t="str">
        <f>CONCATENATE("",E1," Non-AV Receipts (est.)")</f>
        <v>2013 Non-AV Receipts (est.)</v>
      </c>
      <c r="I72" s="668"/>
      <c r="J72" s="703"/>
      <c r="K72" s="616"/>
    </row>
    <row r="73" spans="2:11" ht="15.75">
      <c r="B73" s="115" t="str">
        <f>CONCATENATE("",$E$1-2,"/",$E$1-1," Budget Authority Amount:")</f>
        <v>2011/2012 Budget Authority Amount:</v>
      </c>
      <c r="C73" s="336">
        <f>inputOth!$B88</f>
        <v>0</v>
      </c>
      <c r="D73" s="82">
        <f>inputPrYr!$D25</f>
        <v>0</v>
      </c>
      <c r="E73" s="313" t="s">
        <v>255</v>
      </c>
      <c r="F73" s="322"/>
      <c r="G73" s="675">
        <f>IF(E77&gt;0,E76,E78)</f>
        <v>0</v>
      </c>
      <c r="H73" s="650" t="str">
        <f>CONCATENATE("",E1," Ad Valorem Tax (est.)")</f>
        <v>2013 Ad Valorem Tax (est.)</v>
      </c>
      <c r="I73" s="668"/>
      <c r="J73" s="703"/>
      <c r="K73" s="676">
        <f>IF(G73=E78,"","Note: Does not include Delinquent Taxes")</f>
      </c>
    </row>
    <row r="74" spans="2:11" ht="15.75">
      <c r="B74" s="115"/>
      <c r="C74" s="811" t="s">
        <v>726</v>
      </c>
      <c r="D74" s="812"/>
      <c r="E74" s="169"/>
      <c r="F74" s="735">
        <f>IF(E71/0.95-E71&lt;E74,"Exceeds 5%","")</f>
      </c>
      <c r="G74" s="705">
        <f>SUM(G71:G73)</f>
        <v>0</v>
      </c>
      <c r="H74" s="650" t="str">
        <f>CONCATENATE("Total ",E1," Resources Available")</f>
        <v>Total 2013 Resources Available</v>
      </c>
      <c r="I74" s="706"/>
      <c r="J74" s="703"/>
      <c r="K74" s="616"/>
    </row>
    <row r="75" spans="2:11" ht="15.75">
      <c r="B75" s="501" t="str">
        <f>CONCATENATE(C85,"     ",D85)</f>
        <v>     </v>
      </c>
      <c r="C75" s="813" t="s">
        <v>727</v>
      </c>
      <c r="D75" s="814"/>
      <c r="E75" s="259">
        <f>E71+E74</f>
        <v>0</v>
      </c>
      <c r="G75" s="707"/>
      <c r="H75" s="708"/>
      <c r="I75" s="649"/>
      <c r="J75" s="703"/>
      <c r="K75" s="616"/>
    </row>
    <row r="76" spans="2:11" ht="15.75">
      <c r="B76" s="501" t="str">
        <f>CONCATENATE(C86,"     ",D86)</f>
        <v>     </v>
      </c>
      <c r="C76" s="504"/>
      <c r="D76" s="503" t="s">
        <v>288</v>
      </c>
      <c r="E76" s="180">
        <f>IF(E75-E59&gt;0,E75-E59,0)</f>
        <v>0</v>
      </c>
      <c r="G76" s="675">
        <f>ROUND(C71*0.05+C71,0)</f>
        <v>0</v>
      </c>
      <c r="H76" s="650" t="str">
        <f>CONCATENATE("Less ",E1-2," Expenditures + 5%")</f>
        <v>Less 2011 Expenditures + 5%</v>
      </c>
      <c r="I76" s="706"/>
      <c r="J76" s="703"/>
      <c r="K76" s="616"/>
    </row>
    <row r="77" spans="2:11" ht="15.75">
      <c r="B77" s="208"/>
      <c r="C77" s="502" t="s">
        <v>728</v>
      </c>
      <c r="D77" s="719">
        <f>inputOth!$E$77</f>
        <v>0</v>
      </c>
      <c r="E77" s="259">
        <f>ROUND(IF(D77&gt;0,(E76*D77),0),0)</f>
        <v>0</v>
      </c>
      <c r="G77" s="683">
        <f>G74-G76</f>
        <v>0</v>
      </c>
      <c r="H77" s="684" t="str">
        <f>CONCATENATE("Projected ",E1+1," carryover (est.)")</f>
        <v>Projected 2014 carryover (est.)</v>
      </c>
      <c r="I77" s="709"/>
      <c r="J77" s="710"/>
      <c r="K77" s="616"/>
    </row>
    <row r="78" spans="2:11" ht="15.75">
      <c r="B78" s="65"/>
      <c r="C78" s="815" t="str">
        <f>CONCATENATE("Amount of  ",$E$1-1," Ad Valorem Tax")</f>
        <v>Amount of  2012 Ad Valorem Tax</v>
      </c>
      <c r="D78" s="816"/>
      <c r="E78" s="180">
        <f>E76+E77</f>
        <v>0</v>
      </c>
      <c r="G78" s="616"/>
      <c r="H78" s="616"/>
      <c r="I78" s="616"/>
      <c r="J78" s="616"/>
      <c r="K78" s="616"/>
    </row>
    <row r="79" spans="2:11" ht="15.75">
      <c r="B79" s="208" t="s">
        <v>269</v>
      </c>
      <c r="C79" s="326"/>
      <c r="D79" s="65"/>
      <c r="E79" s="65"/>
      <c r="G79" s="830" t="s">
        <v>859</v>
      </c>
      <c r="H79" s="831"/>
      <c r="I79" s="831"/>
      <c r="J79" s="832"/>
      <c r="K79" s="616"/>
    </row>
    <row r="80" spans="2:11" ht="15.75">
      <c r="B80" s="111"/>
      <c r="G80" s="690"/>
      <c r="H80" s="667"/>
      <c r="I80" s="691"/>
      <c r="J80" s="692"/>
      <c r="K80" s="616"/>
    </row>
    <row r="81" spans="7:11" ht="15.75">
      <c r="G81" s="693">
        <f>summ!H20</f>
        <v>0.825</v>
      </c>
      <c r="H81" s="667" t="str">
        <f>CONCATENATE("",E1," Fund Mill Rate")</f>
        <v>2013 Fund Mill Rate</v>
      </c>
      <c r="I81" s="691"/>
      <c r="J81" s="692"/>
      <c r="K81" s="616"/>
    </row>
    <row r="82" spans="7:11" ht="15.75">
      <c r="G82" s="694">
        <f>summ!E20</f>
        <v>0.884</v>
      </c>
      <c r="H82" s="667" t="str">
        <f>CONCATENATE("",E1-1," Fund Mill Rate")</f>
        <v>2012 Fund Mill Rate</v>
      </c>
      <c r="I82" s="691"/>
      <c r="J82" s="692"/>
      <c r="K82" s="616"/>
    </row>
    <row r="83" spans="3:11" ht="15.75" hidden="1">
      <c r="C83" s="154">
        <f>IF(C33&gt;C35,"See Tab A","")</f>
      </c>
      <c r="D83" s="154">
        <f>IF(D33&gt;D35,"See Tab C","")</f>
      </c>
      <c r="G83" s="696">
        <f>'[1]summ'!I36</f>
        <v>0</v>
      </c>
      <c r="H83" s="667" t="str">
        <f>CONCATENATE("Total ",E1," Mill Rate")</f>
        <v>Total 2013 Mill Rate</v>
      </c>
      <c r="I83" s="691"/>
      <c r="J83" s="692"/>
      <c r="K83" s="616"/>
    </row>
    <row r="84" spans="3:11" ht="15.75" hidden="1">
      <c r="C84" s="154">
        <f>IF(C34&lt;0,"See Tab B","")</f>
      </c>
      <c r="D84" s="154">
        <f>IF(D34&lt;0,"See Tab D","")</f>
      </c>
      <c r="G84" s="694">
        <f>'[1]summ'!F36</f>
        <v>0</v>
      </c>
      <c r="H84" s="697" t="str">
        <f>CONCATENATE("Total ",E1-1," Mill Rate")</f>
        <v>Total 2012 Mill Rate</v>
      </c>
      <c r="I84" s="698"/>
      <c r="J84" s="699"/>
      <c r="K84" s="616"/>
    </row>
    <row r="85" spans="3:4" ht="15.75" hidden="1">
      <c r="C85" s="154">
        <f>IF(C71&gt;C73,"See Tab A","")</f>
      </c>
      <c r="D85" s="154">
        <f>IF(D71&gt;D73,"See Tab C","")</f>
      </c>
    </row>
    <row r="86" spans="3:4" ht="15.75" hidden="1">
      <c r="C86" s="154">
        <f>IF(C72&lt;0,"See Tab B","")</f>
      </c>
      <c r="D86" s="154">
        <f>IF(D72&lt;0,"See Tab D","")</f>
      </c>
    </row>
    <row r="87" spans="7:10" ht="15.75">
      <c r="G87" s="696">
        <f>summ!H24</f>
        <v>14.411999999999999</v>
      </c>
      <c r="H87" s="667" t="str">
        <f>CONCATENATE("Total ",E1," Mill Rate")</f>
        <v>Total 2013 Mill Rate</v>
      </c>
      <c r="I87" s="691"/>
      <c r="J87" s="692"/>
    </row>
    <row r="88" spans="7:10" ht="15.75">
      <c r="G88" s="694">
        <f>summ!E24</f>
        <v>15.567000000000002</v>
      </c>
      <c r="H88" s="697" t="str">
        <f>CONCATENATE("Total ",E1-1," Mill Rate")</f>
        <v>Total 2012 Mill Rate</v>
      </c>
      <c r="I88" s="698"/>
      <c r="J88" s="699"/>
    </row>
  </sheetData>
  <sheetProtection/>
  <mergeCells count="12">
    <mergeCell ref="C36:D36"/>
    <mergeCell ref="C37:D37"/>
    <mergeCell ref="C74:D74"/>
    <mergeCell ref="C75:D75"/>
    <mergeCell ref="C78:D78"/>
    <mergeCell ref="C40:D40"/>
    <mergeCell ref="G24:J24"/>
    <mergeCell ref="G31:J31"/>
    <mergeCell ref="G41:J41"/>
    <mergeCell ref="G62:J62"/>
    <mergeCell ref="G69:J69"/>
    <mergeCell ref="G79:J79"/>
  </mergeCells>
  <conditionalFormatting sqref="C69">
    <cfRule type="cellIs" priority="3" dxfId="173" operator="greaterThan" stopIfTrue="1">
      <formula>$C$71*0.1</formula>
    </cfRule>
  </conditionalFormatting>
  <conditionalFormatting sqref="D69">
    <cfRule type="cellIs" priority="4" dxfId="173" operator="greaterThan" stopIfTrue="1">
      <formula>$D$71*0.1</formula>
    </cfRule>
  </conditionalFormatting>
  <conditionalFormatting sqref="C56">
    <cfRule type="cellIs" priority="5" dxfId="173" operator="greaterThan" stopIfTrue="1">
      <formula>$C$58*0.1</formula>
    </cfRule>
  </conditionalFormatting>
  <conditionalFormatting sqref="D56">
    <cfRule type="cellIs" priority="6" dxfId="173" operator="greaterThan" stopIfTrue="1">
      <formula>$D$58*0.1</formula>
    </cfRule>
  </conditionalFormatting>
  <conditionalFormatting sqref="E56">
    <cfRule type="cellIs" priority="7" dxfId="173" operator="greaterThan" stopIfTrue="1">
      <formula>$E$58*0.1</formula>
    </cfRule>
  </conditionalFormatting>
  <conditionalFormatting sqref="E74">
    <cfRule type="cellIs" priority="8" dxfId="173" operator="greaterThan" stopIfTrue="1">
      <formula>$E$71/0.95-$E$71</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2 C34">
    <cfRule type="cellIs" priority="15" dxfId="173" operator="lessThan" stopIfTrue="1">
      <formula>0</formula>
    </cfRule>
  </conditionalFormatting>
  <conditionalFormatting sqref="C71">
    <cfRule type="cellIs" priority="16" dxfId="10" operator="greaterThan" stopIfTrue="1">
      <formula>$C$73</formula>
    </cfRule>
  </conditionalFormatting>
  <conditionalFormatting sqref="D71">
    <cfRule type="cellIs" priority="17" dxfId="10" operator="greaterThan" stopIfTrue="1">
      <formula>$D$73</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69">
    <cfRule type="cellIs" priority="21" dxfId="173" operator="greaterThan" stopIfTrue="1">
      <formula>$E$71*0.1</formula>
    </cfRule>
  </conditionalFormatting>
  <conditionalFormatting sqref="D72 D3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82"/>
  <sheetViews>
    <sheetView zoomScale="90" zoomScaleNormal="90" zoomScalePageLayoutView="0" workbookViewId="0" topLeftCell="A1">
      <selection activeCell="E36" sqref="E3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Morrill Township</v>
      </c>
      <c r="C1" s="65"/>
      <c r="D1" s="65"/>
      <c r="E1" s="223">
        <f>inputPrYr!D9</f>
        <v>2013</v>
      </c>
    </row>
    <row r="2" spans="2:5" ht="15.75">
      <c r="B2" s="542" t="s">
        <v>762</v>
      </c>
      <c r="C2" s="65"/>
      <c r="D2" s="206"/>
      <c r="E2" s="332"/>
    </row>
    <row r="3" spans="2:5" ht="15.75">
      <c r="B3" s="65"/>
      <c r="C3" s="69"/>
      <c r="D3" s="69"/>
      <c r="E3" s="69"/>
    </row>
    <row r="4" spans="2:5" ht="15.75">
      <c r="B4" s="71" t="s">
        <v>270</v>
      </c>
      <c r="C4" s="390" t="s">
        <v>271</v>
      </c>
      <c r="D4" s="393" t="s">
        <v>272</v>
      </c>
      <c r="E4" s="73" t="s">
        <v>273</v>
      </c>
    </row>
    <row r="5" spans="2:5" ht="15.75">
      <c r="B5" s="486" t="str">
        <f>inputPrYr!B26</f>
        <v>Fire Protection</v>
      </c>
      <c r="C5" s="391" t="str">
        <f>gen!C5</f>
        <v>Actual for 2011</v>
      </c>
      <c r="D5" s="391" t="str">
        <f>gen!D5</f>
        <v>Estimate for 2012</v>
      </c>
      <c r="E5" s="78" t="str">
        <f>gen!E5</f>
        <v>Year for 2013</v>
      </c>
    </row>
    <row r="6" spans="2:5" ht="15.75">
      <c r="B6" s="79" t="s">
        <v>67</v>
      </c>
      <c r="C6" s="311">
        <v>82</v>
      </c>
      <c r="D6" s="392">
        <f>C28</f>
        <v>83</v>
      </c>
      <c r="E6" s="259">
        <f>D28</f>
        <v>0</v>
      </c>
    </row>
    <row r="7" spans="2:5" ht="15.75">
      <c r="B7" s="79" t="s">
        <v>69</v>
      </c>
      <c r="C7" s="392"/>
      <c r="D7" s="392"/>
      <c r="E7" s="313"/>
    </row>
    <row r="8" spans="2:5" ht="15.75">
      <c r="B8" s="79" t="s">
        <v>276</v>
      </c>
      <c r="C8" s="311">
        <v>4501</v>
      </c>
      <c r="D8" s="392">
        <f>IF(inputPrYr!H19&gt;0,inputPrYr!G26,inputPrYr!E26)</f>
        <v>4036</v>
      </c>
      <c r="E8" s="313" t="s">
        <v>255</v>
      </c>
    </row>
    <row r="9" spans="2:5" ht="15.75">
      <c r="B9" s="79" t="s">
        <v>277</v>
      </c>
      <c r="C9" s="311"/>
      <c r="D9" s="311"/>
      <c r="E9" s="169"/>
    </row>
    <row r="10" spans="2:5" ht="15.75">
      <c r="B10" s="79" t="s">
        <v>278</v>
      </c>
      <c r="C10" s="311"/>
      <c r="D10" s="311">
        <v>331</v>
      </c>
      <c r="E10" s="259">
        <f>mvalloc!G17</f>
        <v>306</v>
      </c>
    </row>
    <row r="11" spans="2:5" ht="15.75">
      <c r="B11" s="79" t="s">
        <v>279</v>
      </c>
      <c r="C11" s="311"/>
      <c r="D11" s="311">
        <v>15</v>
      </c>
      <c r="E11" s="259">
        <f>mvalloc!I17</f>
        <v>5</v>
      </c>
    </row>
    <row r="12" spans="2:5" ht="15.75">
      <c r="B12" s="79" t="s">
        <v>48</v>
      </c>
      <c r="C12" s="311"/>
      <c r="D12" s="311">
        <v>35</v>
      </c>
      <c r="E12" s="259">
        <f>mvalloc!J17</f>
        <v>40</v>
      </c>
    </row>
    <row r="13" spans="2:5" ht="15.75">
      <c r="B13" s="315"/>
      <c r="C13" s="311"/>
      <c r="D13" s="311"/>
      <c r="E13" s="169"/>
    </row>
    <row r="14" spans="2:5" ht="15.75">
      <c r="B14" s="316"/>
      <c r="C14" s="311"/>
      <c r="D14" s="311"/>
      <c r="E14" s="169"/>
    </row>
    <row r="15" spans="2:5" ht="15.75">
      <c r="B15" s="316" t="s">
        <v>282</v>
      </c>
      <c r="C15" s="311"/>
      <c r="D15" s="311"/>
      <c r="E15" s="169"/>
    </row>
    <row r="16" spans="2:5" ht="15.75">
      <c r="B16" s="317" t="s">
        <v>228</v>
      </c>
      <c r="C16" s="311"/>
      <c r="D16" s="311"/>
      <c r="E16" s="169"/>
    </row>
    <row r="17" spans="2:5" ht="15.75">
      <c r="B17" s="317" t="s">
        <v>229</v>
      </c>
      <c r="C17" s="394">
        <f>IF(C18*0.1&lt;C16,"Exceed 10% Rule","")</f>
      </c>
      <c r="D17" s="394">
        <f>IF(D18*0.1&lt;D16,"Exceed 10% Rule","")</f>
      </c>
      <c r="E17" s="321">
        <f>IF(E18*0.1+E34&lt;E16,"Exceed 10% Rule","")</f>
      </c>
    </row>
    <row r="18" spans="2:5" ht="15.75">
      <c r="B18" s="319" t="s">
        <v>283</v>
      </c>
      <c r="C18" s="395">
        <f>SUM(C8:C16)</f>
        <v>4501</v>
      </c>
      <c r="D18" s="395">
        <f>SUM(D8:D16)</f>
        <v>4417</v>
      </c>
      <c r="E18" s="320">
        <f>SUM(E8:E16)</f>
        <v>351</v>
      </c>
    </row>
    <row r="19" spans="2:5" ht="15.75">
      <c r="B19" s="97" t="s">
        <v>284</v>
      </c>
      <c r="C19" s="395">
        <f>C18+C6</f>
        <v>4583</v>
      </c>
      <c r="D19" s="395">
        <f>D18+D6</f>
        <v>4500</v>
      </c>
      <c r="E19" s="320">
        <f>E18+E6</f>
        <v>351</v>
      </c>
    </row>
    <row r="20" spans="2:5" ht="15.75">
      <c r="B20" s="79" t="s">
        <v>285</v>
      </c>
      <c r="C20" s="392"/>
      <c r="D20" s="392"/>
      <c r="E20" s="259"/>
    </row>
    <row r="21" spans="2:5" ht="15.75">
      <c r="B21" s="316"/>
      <c r="C21" s="311"/>
      <c r="D21" s="311"/>
      <c r="E21" s="169"/>
    </row>
    <row r="22" spans="2:11" ht="15.75">
      <c r="B22" s="316" t="s">
        <v>958</v>
      </c>
      <c r="C22" s="311">
        <v>4500</v>
      </c>
      <c r="D22" s="311">
        <v>4500</v>
      </c>
      <c r="E22" s="169">
        <v>4500</v>
      </c>
      <c r="G22" s="823" t="str">
        <f>CONCATENATE("Desired Carryover Into ",E1+1,"")</f>
        <v>Desired Carryover Into 2014</v>
      </c>
      <c r="H22" s="824"/>
      <c r="I22" s="824"/>
      <c r="J22" s="825"/>
      <c r="K22" s="616"/>
    </row>
    <row r="23" spans="2:11" ht="15.75">
      <c r="B23" s="316"/>
      <c r="C23" s="311"/>
      <c r="D23" s="311"/>
      <c r="E23" s="169"/>
      <c r="G23" s="659" t="s">
        <v>858</v>
      </c>
      <c r="H23" s="660"/>
      <c r="I23" s="660"/>
      <c r="J23" s="661" t="e">
        <f>IF(#REF!&gt;0,#REF!-E31,0)</f>
        <v>#REF!</v>
      </c>
      <c r="K23" s="616"/>
    </row>
    <row r="24" spans="2:11" ht="15.75">
      <c r="B24" s="314" t="s">
        <v>230</v>
      </c>
      <c r="C24" s="311"/>
      <c r="D24" s="311"/>
      <c r="E24" s="180">
        <f>nhood!E12</f>
      </c>
      <c r="G24" s="616"/>
      <c r="H24" s="616"/>
      <c r="I24" s="616"/>
      <c r="J24" s="616"/>
      <c r="K24" s="616"/>
    </row>
    <row r="25" spans="2:11" ht="15.75">
      <c r="B25" s="314" t="s">
        <v>228</v>
      </c>
      <c r="C25" s="311"/>
      <c r="D25" s="311"/>
      <c r="E25" s="169"/>
      <c r="G25" s="823" t="str">
        <f>CONCATENATE("Projected Carryover Into ",E1+1,"")</f>
        <v>Projected Carryover Into 2014</v>
      </c>
      <c r="H25" s="833"/>
      <c r="I25" s="833"/>
      <c r="J25" s="827"/>
      <c r="K25" s="616"/>
    </row>
    <row r="26" spans="2:11" ht="15.75">
      <c r="B26" s="314" t="s">
        <v>729</v>
      </c>
      <c r="C26" s="394">
        <f>IF(C27*0.1&lt;C25,"Exceed 10% Rule","")</f>
      </c>
      <c r="D26" s="394">
        <f>IF(D27*0.1&lt;D25,"Exceed 10% Rule","")</f>
      </c>
      <c r="E26" s="321">
        <f>IF(E27*0.1&lt;E25,"Exceed 10% Rule","")</f>
      </c>
      <c r="G26" s="648"/>
      <c r="H26" s="650"/>
      <c r="I26" s="650"/>
      <c r="J26" s="663"/>
      <c r="K26" s="616"/>
    </row>
    <row r="27" spans="2:11" ht="15.75">
      <c r="B27" s="97" t="s">
        <v>286</v>
      </c>
      <c r="C27" s="395">
        <f>SUM(C21:C25)</f>
        <v>4500</v>
      </c>
      <c r="D27" s="395">
        <f>SUM(D21:D25)</f>
        <v>4500</v>
      </c>
      <c r="E27" s="320">
        <f>SUM(E21:E25)</f>
        <v>4500</v>
      </c>
      <c r="G27" s="666">
        <f>D28</f>
        <v>0</v>
      </c>
      <c r="H27" s="667" t="str">
        <f>CONCATENATE("",E1-1," Ending Cash Balance (est.)")</f>
        <v>2012 Ending Cash Balance (est.)</v>
      </c>
      <c r="I27" s="668"/>
      <c r="J27" s="663"/>
      <c r="K27" s="616"/>
    </row>
    <row r="28" spans="2:11" ht="15.75">
      <c r="B28" s="79" t="s">
        <v>68</v>
      </c>
      <c r="C28" s="396">
        <f>C19-C27</f>
        <v>83</v>
      </c>
      <c r="D28" s="396">
        <f>D19-D27</f>
        <v>0</v>
      </c>
      <c r="E28" s="313" t="s">
        <v>255</v>
      </c>
      <c r="G28" s="666">
        <f>E18</f>
        <v>351</v>
      </c>
      <c r="H28" s="650" t="str">
        <f>CONCATENATE("",E1," Non-AV Receipts (est.)")</f>
        <v>2013 Non-AV Receipts (est.)</v>
      </c>
      <c r="I28" s="668"/>
      <c r="J28" s="663"/>
      <c r="K28" s="616"/>
    </row>
    <row r="29" spans="2:11" ht="15.75">
      <c r="B29" s="115" t="str">
        <f>CONCATENATE("",$E$1-2,"/",$E$1-1," Budget Authority Amount:")</f>
        <v>2011/2012 Budget Authority Amount:</v>
      </c>
      <c r="C29" s="336">
        <f>inputOth!$B89</f>
        <v>4500</v>
      </c>
      <c r="D29" s="82">
        <f>inputPrYr!$D26</f>
        <v>4500</v>
      </c>
      <c r="E29" s="313" t="s">
        <v>255</v>
      </c>
      <c r="F29" s="322"/>
      <c r="G29" s="675">
        <f>IF(E33&gt;0,E32,E34)</f>
        <v>4149</v>
      </c>
      <c r="H29" s="650" t="str">
        <f>CONCATENATE("",E1," Ad Valorem Tax (est.)")</f>
        <v>2013 Ad Valorem Tax (est.)</v>
      </c>
      <c r="I29" s="668"/>
      <c r="J29" s="663"/>
      <c r="K29" s="676">
        <f>IF(G29=E34,"","Note: Does not include Delinquent Taxes")</f>
      </c>
    </row>
    <row r="30" spans="2:11" ht="15.75">
      <c r="B30" s="115"/>
      <c r="C30" s="811" t="s">
        <v>726</v>
      </c>
      <c r="D30" s="812"/>
      <c r="E30" s="169"/>
      <c r="F30" s="735">
        <f>IF(E27/0.95-E27&lt;E30,"Exceeds 5%","")</f>
      </c>
      <c r="G30" s="666">
        <f>SUM(G27:G29)</f>
        <v>4500</v>
      </c>
      <c r="H30" s="650" t="str">
        <f>CONCATENATE("Total ",E1," Resources Available")</f>
        <v>Total 2013 Resources Available</v>
      </c>
      <c r="I30" s="668"/>
      <c r="J30" s="663"/>
      <c r="K30" s="616"/>
    </row>
    <row r="31" spans="2:11" ht="15.75">
      <c r="B31" s="501" t="str">
        <f>CONCATENATE(C77,"     ",D77)</f>
        <v>     </v>
      </c>
      <c r="C31" s="813" t="s">
        <v>727</v>
      </c>
      <c r="D31" s="814"/>
      <c r="E31" s="259">
        <f>E27+E30</f>
        <v>4500</v>
      </c>
      <c r="G31" s="679"/>
      <c r="H31" s="650"/>
      <c r="I31" s="650"/>
      <c r="J31" s="663"/>
      <c r="K31" s="616"/>
    </row>
    <row r="32" spans="2:11" ht="15.75">
      <c r="B32" s="501" t="str">
        <f>CONCATENATE(C78,"     ",D78)</f>
        <v>     </v>
      </c>
      <c r="C32" s="504"/>
      <c r="D32" s="503" t="s">
        <v>288</v>
      </c>
      <c r="E32" s="180">
        <f>IF(E31-E19&gt;0,E31-E19,0)</f>
        <v>4149</v>
      </c>
      <c r="G32" s="675">
        <f>C27*0.05+C27</f>
        <v>4725</v>
      </c>
      <c r="H32" s="650" t="str">
        <f>CONCATENATE("Less ",E1-2," Expenditures + 5%")</f>
        <v>Less 2011 Expenditures + 5%</v>
      </c>
      <c r="I32" s="650"/>
      <c r="J32" s="663"/>
      <c r="K32" s="616"/>
    </row>
    <row r="33" spans="2:11" ht="15.75">
      <c r="B33" s="208"/>
      <c r="C33" s="502" t="s">
        <v>728</v>
      </c>
      <c r="D33" s="719">
        <f>inputOth!$E$77</f>
        <v>0</v>
      </c>
      <c r="E33" s="259">
        <f>ROUND(IF(D33&gt;0,(E32*D33),0),0)</f>
        <v>0</v>
      </c>
      <c r="G33" s="683">
        <f>G30-G32</f>
        <v>-225</v>
      </c>
      <c r="H33" s="684" t="str">
        <f>CONCATENATE("Projected ",E1+1," carryover (est.)")</f>
        <v>Projected 2014 carryover (est.)</v>
      </c>
      <c r="I33" s="685"/>
      <c r="J33" s="686"/>
      <c r="K33" s="616"/>
    </row>
    <row r="34" spans="2:11" ht="15.75">
      <c r="B34" s="65"/>
      <c r="C34" s="815" t="str">
        <f>CONCATENATE("Amount of  ",$E$1-1," Ad Valorem Tax")</f>
        <v>Amount of  2012 Ad Valorem Tax</v>
      </c>
      <c r="D34" s="816"/>
      <c r="E34" s="180">
        <f>E32+E33</f>
        <v>4149</v>
      </c>
      <c r="G34" s="616"/>
      <c r="H34" s="616"/>
      <c r="I34" s="616"/>
      <c r="J34" s="616"/>
      <c r="K34" s="616"/>
    </row>
    <row r="35" spans="2:11" ht="15.75">
      <c r="B35" s="65"/>
      <c r="C35" s="561"/>
      <c r="D35" s="65"/>
      <c r="E35" s="65"/>
      <c r="G35" s="830" t="s">
        <v>859</v>
      </c>
      <c r="H35" s="831"/>
      <c r="I35" s="831"/>
      <c r="J35" s="832"/>
      <c r="K35" s="616"/>
    </row>
    <row r="36" spans="2:11" ht="15.75">
      <c r="B36" s="65"/>
      <c r="C36" s="561"/>
      <c r="D36" s="65"/>
      <c r="E36" s="65"/>
      <c r="G36" s="690"/>
      <c r="H36" s="667"/>
      <c r="I36" s="691"/>
      <c r="J36" s="692"/>
      <c r="K36" s="616"/>
    </row>
    <row r="37" spans="2:11" ht="15.75">
      <c r="B37" s="71" t="s">
        <v>270</v>
      </c>
      <c r="C37" s="69"/>
      <c r="D37" s="69"/>
      <c r="E37" s="69"/>
      <c r="G37" s="693" t="e">
        <f>summ!#REF!</f>
        <v>#REF!</v>
      </c>
      <c r="H37" s="667" t="str">
        <f>CONCATENATE("",E1," Fund Mill Rate")</f>
        <v>2013 Fund Mill Rate</v>
      </c>
      <c r="I37" s="691"/>
      <c r="J37" s="692"/>
      <c r="K37" s="616"/>
    </row>
    <row r="38" spans="2:11" ht="15.75">
      <c r="B38" s="65"/>
      <c r="C38" s="390" t="s">
        <v>271</v>
      </c>
      <c r="D38" s="393" t="s">
        <v>272</v>
      </c>
      <c r="E38" s="73" t="s">
        <v>273</v>
      </c>
      <c r="G38" s="694" t="e">
        <f>summ!#REF!</f>
        <v>#REF!</v>
      </c>
      <c r="H38" s="667" t="str">
        <f>CONCATENATE("",E1-1," Fund Mill Rate")</f>
        <v>2012 Fund Mill Rate</v>
      </c>
      <c r="I38" s="691"/>
      <c r="J38" s="692"/>
      <c r="K38" s="616"/>
    </row>
    <row r="39" spans="2:11" ht="15.75">
      <c r="B39" s="487" t="str">
        <f>inputPrYr!B27</f>
        <v>Cemetery</v>
      </c>
      <c r="C39" s="391" t="str">
        <f>C5</f>
        <v>Actual for 2011</v>
      </c>
      <c r="D39" s="391" t="str">
        <f>D5</f>
        <v>Estimate for 2012</v>
      </c>
      <c r="E39" s="78" t="str">
        <f>E5</f>
        <v>Year for 2013</v>
      </c>
      <c r="G39" s="696">
        <f>summ!H24</f>
        <v>14.411999999999999</v>
      </c>
      <c r="H39" s="667" t="str">
        <f>CONCATENATE("Total ",E1," Mill Rate")</f>
        <v>Total 2013 Mill Rate</v>
      </c>
      <c r="I39" s="691"/>
      <c r="J39" s="692"/>
      <c r="K39" s="616"/>
    </row>
    <row r="40" spans="2:11" ht="15.75">
      <c r="B40" s="79" t="s">
        <v>67</v>
      </c>
      <c r="C40" s="311">
        <v>18</v>
      </c>
      <c r="D40" s="392">
        <f>C66</f>
        <v>131</v>
      </c>
      <c r="E40" s="259">
        <f>D66</f>
        <v>119</v>
      </c>
      <c r="G40" s="694">
        <f>summ!E24</f>
        <v>15.567000000000002</v>
      </c>
      <c r="H40" s="697" t="str">
        <f>CONCATENATE("Total ",E1-1," Mill Rate")</f>
        <v>Total 2012 Mill Rate</v>
      </c>
      <c r="I40" s="698"/>
      <c r="J40" s="699"/>
      <c r="K40" s="616"/>
    </row>
    <row r="41" spans="2:11" ht="15.75">
      <c r="B41" s="79" t="s">
        <v>69</v>
      </c>
      <c r="C41" s="392"/>
      <c r="D41" s="392"/>
      <c r="E41" s="313"/>
      <c r="G41" s="616"/>
      <c r="H41" s="616"/>
      <c r="I41" s="616"/>
      <c r="J41" s="616"/>
      <c r="K41" s="616"/>
    </row>
    <row r="42" spans="2:11" ht="15.75">
      <c r="B42" s="79" t="s">
        <v>276</v>
      </c>
      <c r="C42" s="311">
        <v>4213</v>
      </c>
      <c r="D42" s="392">
        <f>IF(inputPrYr!H19&gt;0,inputPrYr!G27,inputPrYr!E27)</f>
        <v>3844</v>
      </c>
      <c r="E42" s="313" t="s">
        <v>255</v>
      </c>
      <c r="G42" s="616"/>
      <c r="H42" s="616"/>
      <c r="I42" s="616"/>
      <c r="J42" s="616"/>
      <c r="K42" s="616"/>
    </row>
    <row r="43" spans="2:11" ht="15.75">
      <c r="B43" s="79" t="s">
        <v>277</v>
      </c>
      <c r="C43" s="311"/>
      <c r="D43" s="311"/>
      <c r="E43" s="169"/>
      <c r="G43" s="616"/>
      <c r="H43" s="616"/>
      <c r="I43" s="616"/>
      <c r="J43" s="616"/>
      <c r="K43" s="616"/>
    </row>
    <row r="44" spans="2:11" ht="15.75">
      <c r="B44" s="79" t="s">
        <v>278</v>
      </c>
      <c r="C44" s="311"/>
      <c r="D44" s="311">
        <v>312</v>
      </c>
      <c r="E44" s="259">
        <f>mvalloc!G18</f>
        <v>292</v>
      </c>
      <c r="G44" s="616"/>
      <c r="H44" s="616"/>
      <c r="I44" s="616"/>
      <c r="J44" s="616"/>
      <c r="K44" s="616"/>
    </row>
    <row r="45" spans="2:11" ht="15.75">
      <c r="B45" s="79" t="s">
        <v>279</v>
      </c>
      <c r="C45" s="311"/>
      <c r="D45" s="311">
        <v>5</v>
      </c>
      <c r="E45" s="259">
        <f>mvalloc!I18</f>
        <v>5</v>
      </c>
      <c r="G45" s="616"/>
      <c r="H45" s="616"/>
      <c r="I45" s="616"/>
      <c r="J45" s="616"/>
      <c r="K45" s="616"/>
    </row>
    <row r="46" spans="2:11" ht="15.75">
      <c r="B46" s="79" t="s">
        <v>48</v>
      </c>
      <c r="C46" s="311"/>
      <c r="D46" s="311">
        <v>27</v>
      </c>
      <c r="E46" s="259">
        <f>mvalloc!J18</f>
        <v>38</v>
      </c>
      <c r="G46" s="616"/>
      <c r="H46" s="616"/>
      <c r="I46" s="616"/>
      <c r="J46" s="616"/>
      <c r="K46" s="616"/>
    </row>
    <row r="47" spans="2:11" ht="15.75">
      <c r="B47" s="316"/>
      <c r="C47" s="311"/>
      <c r="D47" s="311"/>
      <c r="E47" s="169"/>
      <c r="G47" s="616"/>
      <c r="H47" s="616"/>
      <c r="I47" s="616"/>
      <c r="J47" s="616"/>
      <c r="K47" s="616"/>
    </row>
    <row r="48" spans="2:11" ht="15.75">
      <c r="B48" s="316"/>
      <c r="C48" s="311"/>
      <c r="D48" s="311"/>
      <c r="E48" s="169"/>
      <c r="G48" s="616"/>
      <c r="H48" s="616"/>
      <c r="I48" s="616"/>
      <c r="J48" s="616"/>
      <c r="K48" s="616"/>
    </row>
    <row r="49" spans="2:11" ht="15.75">
      <c r="B49" s="316" t="s">
        <v>282</v>
      </c>
      <c r="C49" s="311"/>
      <c r="D49" s="311"/>
      <c r="E49" s="169"/>
      <c r="G49" s="616"/>
      <c r="H49" s="616"/>
      <c r="I49" s="616"/>
      <c r="J49" s="616"/>
      <c r="K49" s="616"/>
    </row>
    <row r="50" spans="2:11" ht="15.75">
      <c r="B50" s="317" t="s">
        <v>228</v>
      </c>
      <c r="C50" s="311"/>
      <c r="D50" s="311"/>
      <c r="E50" s="169"/>
      <c r="G50" s="616"/>
      <c r="H50" s="616"/>
      <c r="I50" s="616"/>
      <c r="J50" s="616"/>
      <c r="K50" s="616"/>
    </row>
    <row r="51" spans="2:11" ht="15.75">
      <c r="B51" s="317" t="s">
        <v>229</v>
      </c>
      <c r="C51" s="394">
        <f>IF(C52*0.1&lt;C50,"Exceed 10% Rule","")</f>
      </c>
      <c r="D51" s="394">
        <f>IF(D52*0.1&lt;D50,"Exceed 10% Rule","")</f>
      </c>
      <c r="E51" s="321">
        <f>IF(E52*0.1+E72&lt;E50,"Exceed 10% Rule","")</f>
      </c>
      <c r="G51" s="616"/>
      <c r="H51" s="616"/>
      <c r="I51" s="616"/>
      <c r="J51" s="616"/>
      <c r="K51" s="616"/>
    </row>
    <row r="52" spans="2:11" ht="15.75">
      <c r="B52" s="319" t="s">
        <v>283</v>
      </c>
      <c r="C52" s="395">
        <f>SUM(C42:C50)</f>
        <v>4213</v>
      </c>
      <c r="D52" s="395">
        <f>SUM(D42:D50)</f>
        <v>4188</v>
      </c>
      <c r="E52" s="320">
        <f>SUM(E42:E50)</f>
        <v>335</v>
      </c>
      <c r="G52" s="616"/>
      <c r="H52" s="616"/>
      <c r="I52" s="616"/>
      <c r="J52" s="616"/>
      <c r="K52" s="616"/>
    </row>
    <row r="53" spans="2:11" ht="15.75">
      <c r="B53" s="97" t="s">
        <v>284</v>
      </c>
      <c r="C53" s="395">
        <f>C52+C40</f>
        <v>4231</v>
      </c>
      <c r="D53" s="395">
        <f>D52+D40</f>
        <v>4319</v>
      </c>
      <c r="E53" s="320">
        <f>E52+E40</f>
        <v>454</v>
      </c>
      <c r="G53" s="616"/>
      <c r="H53" s="616"/>
      <c r="I53" s="616"/>
      <c r="J53" s="616"/>
      <c r="K53" s="616"/>
    </row>
    <row r="54" spans="2:11" ht="15.75">
      <c r="B54" s="79" t="s">
        <v>285</v>
      </c>
      <c r="C54" s="392"/>
      <c r="D54" s="392"/>
      <c r="E54" s="259"/>
      <c r="G54" s="616"/>
      <c r="H54" s="616"/>
      <c r="I54" s="616"/>
      <c r="J54" s="616"/>
      <c r="K54" s="616"/>
    </row>
    <row r="55" spans="2:11" ht="15.75">
      <c r="B55" s="316"/>
      <c r="C55" s="311"/>
      <c r="D55" s="311"/>
      <c r="E55" s="169"/>
      <c r="G55" s="616"/>
      <c r="H55" s="616"/>
      <c r="I55" s="616"/>
      <c r="J55" s="616"/>
      <c r="K55" s="616"/>
    </row>
    <row r="56" spans="2:11" ht="15.75">
      <c r="B56" s="316" t="s">
        <v>959</v>
      </c>
      <c r="C56" s="311">
        <v>1100</v>
      </c>
      <c r="D56" s="311">
        <v>1200</v>
      </c>
      <c r="E56" s="169">
        <v>1200</v>
      </c>
      <c r="G56" s="823" t="str">
        <f>CONCATENATE("Desired Carryover Into ",E1+1,"")</f>
        <v>Desired Carryover Into 2014</v>
      </c>
      <c r="H56" s="824"/>
      <c r="I56" s="824"/>
      <c r="J56" s="825"/>
      <c r="K56" s="616"/>
    </row>
    <row r="57" spans="2:11" ht="15.75">
      <c r="B57" s="316" t="s">
        <v>960</v>
      </c>
      <c r="C57" s="311">
        <v>3000</v>
      </c>
      <c r="D57" s="311">
        <v>3000</v>
      </c>
      <c r="E57" s="169">
        <v>3000</v>
      </c>
      <c r="G57" s="648"/>
      <c r="H57" s="649"/>
      <c r="I57" s="650"/>
      <c r="J57" s="651"/>
      <c r="K57" s="616"/>
    </row>
    <row r="58" spans="2:11" ht="15.75">
      <c r="B58" s="316"/>
      <c r="C58" s="311"/>
      <c r="D58" s="311"/>
      <c r="E58" s="169"/>
      <c r="G58" s="652" t="s">
        <v>731</v>
      </c>
      <c r="H58" s="650"/>
      <c r="I58" s="650"/>
      <c r="J58" s="653">
        <v>0</v>
      </c>
      <c r="K58" s="616"/>
    </row>
    <row r="59" spans="2:11" ht="15.75">
      <c r="B59" s="316"/>
      <c r="C59" s="311"/>
      <c r="D59" s="311"/>
      <c r="E59" s="169"/>
      <c r="G59" s="648" t="s">
        <v>732</v>
      </c>
      <c r="H59" s="649"/>
      <c r="I59" s="649"/>
      <c r="J59" s="654">
        <f>IF(J58=0,"",ROUND((J58+E72-G71)/inputOth!E11*1000,3)-G76)</f>
      </c>
      <c r="K59" s="616"/>
    </row>
    <row r="60" spans="2:11" ht="15.75">
      <c r="B60" s="316"/>
      <c r="C60" s="311"/>
      <c r="D60" s="311"/>
      <c r="E60" s="169"/>
      <c r="G60" s="655" t="str">
        <f>CONCATENATE("",E1," Tot Exp/Non-Appr Must Be:")</f>
        <v>2013 Tot Exp/Non-Appr Must Be:</v>
      </c>
      <c r="H60" s="656"/>
      <c r="I60" s="657"/>
      <c r="J60" s="658">
        <f>IF(J58&gt;0,IF(E69&lt;E53,IF(J58=G71,E69,((J58-G71)*(1-D71))+E53),E69+(J58-G71)),0)</f>
        <v>0</v>
      </c>
      <c r="K60" s="616"/>
    </row>
    <row r="61" spans="2:11" ht="15.75">
      <c r="B61" s="316"/>
      <c r="C61" s="311"/>
      <c r="D61" s="311"/>
      <c r="E61" s="169"/>
      <c r="G61" s="659" t="s">
        <v>858</v>
      </c>
      <c r="H61" s="660"/>
      <c r="I61" s="660"/>
      <c r="J61" s="661">
        <f>IF(J58&gt;0,J60-E69,0)</f>
        <v>0</v>
      </c>
      <c r="K61" s="616"/>
    </row>
    <row r="62" spans="2:11" ht="15.75">
      <c r="B62" s="314" t="s">
        <v>230</v>
      </c>
      <c r="C62" s="311"/>
      <c r="D62" s="311"/>
      <c r="E62" s="180">
        <f>nhood!E13</f>
      </c>
      <c r="G62" s="616"/>
      <c r="H62" s="616"/>
      <c r="I62" s="616"/>
      <c r="J62" s="616"/>
      <c r="K62" s="616"/>
    </row>
    <row r="63" spans="2:11" ht="15.75">
      <c r="B63" s="314" t="s">
        <v>228</v>
      </c>
      <c r="C63" s="311"/>
      <c r="D63" s="311"/>
      <c r="E63" s="169"/>
      <c r="G63" s="823" t="str">
        <f>CONCATENATE("Projected Carryover Into ",E1+1,"")</f>
        <v>Projected Carryover Into 2014</v>
      </c>
      <c r="H63" s="826"/>
      <c r="I63" s="826"/>
      <c r="J63" s="827"/>
      <c r="K63" s="616"/>
    </row>
    <row r="64" spans="2:11" ht="15.75">
      <c r="B64" s="314" t="s">
        <v>729</v>
      </c>
      <c r="C64" s="394">
        <f>IF(C65*0.1&lt;C63,"Exceed 10% Rule","")</f>
      </c>
      <c r="D64" s="394">
        <f>IF(D65*0.1&lt;D63,"Exceed 10% Rule","")</f>
      </c>
      <c r="E64" s="321">
        <f>IF(E65*0.1&lt;E63,"Exceed 10% Rule","")</f>
      </c>
      <c r="G64" s="702"/>
      <c r="H64" s="649"/>
      <c r="I64" s="649"/>
      <c r="J64" s="703"/>
      <c r="K64" s="616"/>
    </row>
    <row r="65" spans="2:11" ht="15.75">
      <c r="B65" s="97" t="s">
        <v>286</v>
      </c>
      <c r="C65" s="395">
        <f>SUM(C55:C63)</f>
        <v>4100</v>
      </c>
      <c r="D65" s="395">
        <f>SUM(D55:D63)</f>
        <v>4200</v>
      </c>
      <c r="E65" s="320">
        <f>SUM(E55:E63)</f>
        <v>4200</v>
      </c>
      <c r="G65" s="666">
        <f>D66</f>
        <v>119</v>
      </c>
      <c r="H65" s="667" t="str">
        <f>CONCATENATE("",E1-1," Ending Cash Balance (est.)")</f>
        <v>2012 Ending Cash Balance (est.)</v>
      </c>
      <c r="I65" s="668"/>
      <c r="J65" s="703"/>
      <c r="K65" s="616"/>
    </row>
    <row r="66" spans="2:11" ht="15.75">
      <c r="B66" s="79" t="s">
        <v>68</v>
      </c>
      <c r="C66" s="396">
        <f>C53-C65</f>
        <v>131</v>
      </c>
      <c r="D66" s="396">
        <f>D53-D65</f>
        <v>119</v>
      </c>
      <c r="E66" s="313" t="s">
        <v>255</v>
      </c>
      <c r="G66" s="666">
        <f>E52</f>
        <v>335</v>
      </c>
      <c r="H66" s="650" t="str">
        <f>CONCATENATE("",E1," Non-AV Receipts (est.)")</f>
        <v>2013 Non-AV Receipts (est.)</v>
      </c>
      <c r="I66" s="668"/>
      <c r="J66" s="703"/>
      <c r="K66" s="616"/>
    </row>
    <row r="67" spans="2:11" ht="15.75">
      <c r="B67" s="115" t="str">
        <f>CONCATENATE("",$E$1-2,"/",$E$1-1," Budget Authority Amount:")</f>
        <v>2011/2012 Budget Authority Amount:</v>
      </c>
      <c r="C67" s="336">
        <f>inputOth!$B90</f>
        <v>4200</v>
      </c>
      <c r="D67" s="82">
        <f>inputPrYr!$D27</f>
        <v>4200</v>
      </c>
      <c r="E67" s="313" t="s">
        <v>255</v>
      </c>
      <c r="F67" s="322"/>
      <c r="G67" s="675">
        <f>IF(E71&gt;0,E70,E72)</f>
        <v>3746</v>
      </c>
      <c r="H67" s="650" t="str">
        <f>CONCATENATE("",E1," Ad Valorem Tax (est.)")</f>
        <v>2013 Ad Valorem Tax (est.)</v>
      </c>
      <c r="I67" s="668"/>
      <c r="J67" s="703"/>
      <c r="K67" s="676">
        <f>IF(G67=E72,"","Note: Does not include Delinquent Taxes")</f>
      </c>
    </row>
    <row r="68" spans="2:11" ht="15.75">
      <c r="B68" s="115"/>
      <c r="C68" s="811" t="s">
        <v>726</v>
      </c>
      <c r="D68" s="812"/>
      <c r="E68" s="169"/>
      <c r="F68" s="735">
        <f>IF(E65/0.95-E65&lt;E68,"Exceeds 5%","")</f>
      </c>
      <c r="G68" s="666">
        <f>SUM(G65:G67)</f>
        <v>4200</v>
      </c>
      <c r="H68" s="650" t="str">
        <f>CONCATENATE("Total ",E1," Resources Available")</f>
        <v>Total 2013 Resources Available</v>
      </c>
      <c r="I68" s="706"/>
      <c r="J68" s="703"/>
      <c r="K68" s="616"/>
    </row>
    <row r="69" spans="2:11" ht="15.75">
      <c r="B69" s="501" t="str">
        <f>CONCATENATE(C79,"     ",D79)</f>
        <v>     </v>
      </c>
      <c r="C69" s="813" t="s">
        <v>727</v>
      </c>
      <c r="D69" s="814"/>
      <c r="E69" s="259">
        <f>E65+E68</f>
        <v>4200</v>
      </c>
      <c r="G69" s="707"/>
      <c r="H69" s="708"/>
      <c r="I69" s="649"/>
      <c r="J69" s="703"/>
      <c r="K69" s="616"/>
    </row>
    <row r="70" spans="2:11" ht="15.75">
      <c r="B70" s="501" t="str">
        <f>CONCATENATE(C80,"     ",D80)</f>
        <v>     </v>
      </c>
      <c r="C70" s="504"/>
      <c r="D70" s="503" t="s">
        <v>288</v>
      </c>
      <c r="E70" s="180">
        <f>IF(E69-E53&gt;0,E69-E53,0)</f>
        <v>3746</v>
      </c>
      <c r="G70" s="675">
        <f>ROUND(C65*0.05+C65,0)</f>
        <v>4305</v>
      </c>
      <c r="H70" s="650" t="str">
        <f>CONCATENATE("Less ",E1-2," Expenditures + 5%")</f>
        <v>Less 2011 Expenditures + 5%</v>
      </c>
      <c r="I70" s="706"/>
      <c r="J70" s="703"/>
      <c r="K70" s="616"/>
    </row>
    <row r="71" spans="2:11" ht="15.75">
      <c r="B71" s="208"/>
      <c r="C71" s="502" t="s">
        <v>728</v>
      </c>
      <c r="D71" s="719">
        <f>inputOth!$E$77</f>
        <v>0</v>
      </c>
      <c r="E71" s="259">
        <f>ROUND(IF(D71&gt;0,(E70*D71),0),0)</f>
        <v>0</v>
      </c>
      <c r="G71" s="683">
        <f>G68-G70</f>
        <v>-105</v>
      </c>
      <c r="H71" s="684" t="str">
        <f>CONCATENATE("Projected ",E1+1," carryover (est.)")</f>
        <v>Projected 2014 carryover (est.)</v>
      </c>
      <c r="I71" s="709"/>
      <c r="J71" s="710"/>
      <c r="K71" s="616"/>
    </row>
    <row r="72" spans="2:11" ht="15.75">
      <c r="B72" s="65"/>
      <c r="C72" s="815" t="str">
        <f>CONCATENATE("Amount of  ",$E$1-1," Ad Valorem Tax")</f>
        <v>Amount of  2012 Ad Valorem Tax</v>
      </c>
      <c r="D72" s="816"/>
      <c r="E72" s="180">
        <f>E70+E71</f>
        <v>3746</v>
      </c>
      <c r="G72" s="616"/>
      <c r="H72" s="616"/>
      <c r="I72" s="616"/>
      <c r="J72" s="616"/>
      <c r="K72" s="616"/>
    </row>
    <row r="73" spans="2:11" ht="15.75">
      <c r="B73" s="208" t="s">
        <v>269</v>
      </c>
      <c r="C73" s="326">
        <v>8</v>
      </c>
      <c r="D73" s="65"/>
      <c r="E73" s="65"/>
      <c r="G73" s="830" t="s">
        <v>859</v>
      </c>
      <c r="H73" s="831"/>
      <c r="I73" s="831"/>
      <c r="J73" s="832"/>
      <c r="K73" s="616"/>
    </row>
    <row r="74" spans="2:11" ht="15.75">
      <c r="B74" s="111"/>
      <c r="G74" s="690"/>
      <c r="H74" s="667"/>
      <c r="I74" s="691"/>
      <c r="J74" s="692"/>
      <c r="K74" s="616"/>
    </row>
    <row r="75" spans="7:11" ht="15.75">
      <c r="G75" s="693">
        <f>summ!H21</f>
        <v>0.605</v>
      </c>
      <c r="H75" s="667" t="str">
        <f>CONCATENATE("",E1," Fund Mill Rate")</f>
        <v>2013 Fund Mill Rate</v>
      </c>
      <c r="I75" s="691"/>
      <c r="J75" s="692"/>
      <c r="K75" s="616"/>
    </row>
    <row r="76" spans="7:11" ht="15.75">
      <c r="G76" s="694">
        <f>summ!E21</f>
        <v>0.842</v>
      </c>
      <c r="H76" s="667" t="str">
        <f>CONCATENATE("",E1-1," Fund Mill Rate")</f>
        <v>2012 Fund Mill Rate</v>
      </c>
      <c r="I76" s="691"/>
      <c r="J76" s="692"/>
      <c r="K76" s="616"/>
    </row>
    <row r="77" spans="3:11" ht="15.75" hidden="1">
      <c r="C77" s="154">
        <f>IF(C27&gt;C29,"See Tab A","")</f>
      </c>
      <c r="D77" s="154">
        <f>IF(D27&gt;D29,"See Tab C","")</f>
      </c>
      <c r="G77" s="696">
        <f>'[1]summ'!I36</f>
        <v>0</v>
      </c>
      <c r="H77" s="667" t="str">
        <f>CONCATENATE("Total ",E1," Mill Rate")</f>
        <v>Total 2013 Mill Rate</v>
      </c>
      <c r="I77" s="691"/>
      <c r="J77" s="692"/>
      <c r="K77" s="616"/>
    </row>
    <row r="78" spans="3:11" ht="15.75" hidden="1">
      <c r="C78" s="154">
        <f>IF(C28&lt;0,"See Tab B","")</f>
      </c>
      <c r="D78" s="154">
        <f>IF(D28&lt;0,"See Tab D","")</f>
      </c>
      <c r="G78" s="694">
        <f>'[1]summ'!F36</f>
        <v>0</v>
      </c>
      <c r="H78" s="697" t="str">
        <f>CONCATENATE("Total ",E1-1," Mill Rate")</f>
        <v>Total 2012 Mill Rate</v>
      </c>
      <c r="I78" s="698"/>
      <c r="J78" s="699"/>
      <c r="K78" s="616"/>
    </row>
    <row r="79" spans="3:4" ht="15.75" hidden="1">
      <c r="C79" s="154">
        <f>IF(C65&gt;C67,"See Tab A","")</f>
      </c>
      <c r="D79" s="154">
        <f>IF(D65&gt;D67,"See Tab C","")</f>
      </c>
    </row>
    <row r="80" spans="3:4" ht="15.75" hidden="1">
      <c r="C80" s="154">
        <f>IF(C66&lt;0,"See Tab B","")</f>
      </c>
      <c r="D80" s="154">
        <f>IF(D66&lt;0,"See Tab D","")</f>
      </c>
    </row>
    <row r="81" spans="7:10" ht="15.75">
      <c r="G81" s="696">
        <f>summ!H24</f>
        <v>14.411999999999999</v>
      </c>
      <c r="H81" s="667" t="str">
        <f>CONCATENATE("Total ",E1," Mill Rate")</f>
        <v>Total 2013 Mill Rate</v>
      </c>
      <c r="I81" s="691"/>
      <c r="J81" s="692"/>
    </row>
    <row r="82" spans="7:10" ht="15.75">
      <c r="G82" s="694">
        <f>summ!E24</f>
        <v>15.567000000000002</v>
      </c>
      <c r="H82" s="697" t="str">
        <f>CONCATENATE("Total ",E1-1," Mill Rate")</f>
        <v>Total 2012 Mill Rate</v>
      </c>
      <c r="I82" s="698"/>
      <c r="J82" s="699"/>
    </row>
  </sheetData>
  <sheetProtection/>
  <mergeCells count="12">
    <mergeCell ref="C30:D30"/>
    <mergeCell ref="C31:D31"/>
    <mergeCell ref="C68:D68"/>
    <mergeCell ref="C69:D69"/>
    <mergeCell ref="C72:D72"/>
    <mergeCell ref="C34:D34"/>
    <mergeCell ref="G22:J22"/>
    <mergeCell ref="G25:J25"/>
    <mergeCell ref="G35:J35"/>
    <mergeCell ref="G56:J56"/>
    <mergeCell ref="G63:J63"/>
    <mergeCell ref="G73:J73"/>
  </mergeCells>
  <conditionalFormatting sqref="C63">
    <cfRule type="cellIs" priority="3" dxfId="173" operator="greaterThan" stopIfTrue="1">
      <formula>$C$705*0.1</formula>
    </cfRule>
  </conditionalFormatting>
  <conditionalFormatting sqref="D63">
    <cfRule type="cellIs" priority="4" dxfId="173" operator="greaterThan" stopIfTrue="1">
      <formula>$D$705*0.1</formula>
    </cfRule>
  </conditionalFormatting>
  <conditionalFormatting sqref="E63">
    <cfRule type="cellIs" priority="5" dxfId="173" operator="greaterThan" stopIfTrue="1">
      <formula>$E$65*0.1</formula>
    </cfRule>
  </conditionalFormatting>
  <conditionalFormatting sqref="C50">
    <cfRule type="cellIs" priority="6" dxfId="173" operator="greaterThan" stopIfTrue="1">
      <formula>$C$52*0.1</formula>
    </cfRule>
  </conditionalFormatting>
  <conditionalFormatting sqref="D50">
    <cfRule type="cellIs" priority="7" dxfId="173" operator="greaterThan" stopIfTrue="1">
      <formula>$D$52*0.1</formula>
    </cfRule>
  </conditionalFormatting>
  <conditionalFormatting sqref="E68">
    <cfRule type="cellIs" priority="8" dxfId="173" operator="greaterThan" stopIfTrue="1">
      <formula>$E$65/0.95-$E$65</formula>
    </cfRule>
  </conditionalFormatting>
  <conditionalFormatting sqref="C25">
    <cfRule type="cellIs" priority="9" dxfId="173" operator="greaterThan" stopIfTrue="1">
      <formula>$C$27*0.1</formula>
    </cfRule>
  </conditionalFormatting>
  <conditionalFormatting sqref="D25">
    <cfRule type="cellIs" priority="10" dxfId="173" operator="greaterThan" stopIfTrue="1">
      <formula>$D$27*0.1</formula>
    </cfRule>
  </conditionalFormatting>
  <conditionalFormatting sqref="E25">
    <cfRule type="cellIs" priority="11" dxfId="173" operator="greaterThan" stopIfTrue="1">
      <formula>$E$27*0.1</formula>
    </cfRule>
  </conditionalFormatting>
  <conditionalFormatting sqref="C16">
    <cfRule type="cellIs" priority="12" dxfId="173" operator="greaterThan" stopIfTrue="1">
      <formula>$C$18*0.1</formula>
    </cfRule>
  </conditionalFormatting>
  <conditionalFormatting sqref="D16">
    <cfRule type="cellIs" priority="13" dxfId="173" operator="greaterThan" stopIfTrue="1">
      <formula>$D$18*0.1</formula>
    </cfRule>
  </conditionalFormatting>
  <conditionalFormatting sqref="E30">
    <cfRule type="cellIs" priority="14" dxfId="173" operator="greaterThan" stopIfTrue="1">
      <formula>$E$27/0.95-$E$27</formula>
    </cfRule>
  </conditionalFormatting>
  <conditionalFormatting sqref="C66 C28">
    <cfRule type="cellIs" priority="15" dxfId="173" operator="lessThan" stopIfTrue="1">
      <formula>0</formula>
    </cfRule>
  </conditionalFormatting>
  <conditionalFormatting sqref="C65">
    <cfRule type="cellIs" priority="16" dxfId="10" operator="greaterThan" stopIfTrue="1">
      <formula>$C$67</formula>
    </cfRule>
  </conditionalFormatting>
  <conditionalFormatting sqref="D65">
    <cfRule type="cellIs" priority="17" dxfId="10" operator="greaterThan" stopIfTrue="1">
      <formula>$D$67</formula>
    </cfRule>
  </conditionalFormatting>
  <conditionalFormatting sqref="C27">
    <cfRule type="cellIs" priority="18" dxfId="10" operator="greaterThan" stopIfTrue="1">
      <formula>$C$29</formula>
    </cfRule>
  </conditionalFormatting>
  <conditionalFormatting sqref="D27">
    <cfRule type="cellIs" priority="19" dxfId="10" operator="greaterThan" stopIfTrue="1">
      <formula>$D$29</formula>
    </cfRule>
  </conditionalFormatting>
  <conditionalFormatting sqref="E50">
    <cfRule type="cellIs" priority="21" dxfId="173" operator="greaterThan" stopIfTrue="1">
      <formula>$E$52*0.1+$E$72</formula>
    </cfRule>
  </conditionalFormatting>
  <conditionalFormatting sqref="D66 D28">
    <cfRule type="cellIs" priority="2" dxfId="0" operator="lessThan" stopIfTrue="1">
      <formula>0</formula>
    </cfRule>
  </conditionalFormatting>
  <conditionalFormatting sqref="E16">
    <cfRule type="cellIs" priority="24" dxfId="173" operator="greaterThan" stopIfTrue="1">
      <formula>$E$18*0.1+$E$34</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Morrill Township</v>
      </c>
      <c r="B1" s="117"/>
      <c r="C1" s="110"/>
      <c r="D1" s="110"/>
      <c r="E1" s="110"/>
      <c r="F1" s="118" t="s">
        <v>334</v>
      </c>
      <c r="G1" s="110"/>
      <c r="H1" s="110"/>
      <c r="I1" s="110"/>
      <c r="J1" s="110"/>
      <c r="K1" s="110">
        <f>inputPrYr!$D$9</f>
        <v>2013</v>
      </c>
    </row>
    <row r="2" spans="1:11" ht="15.75">
      <c r="A2" s="110"/>
      <c r="B2" s="110"/>
      <c r="C2" s="110"/>
      <c r="D2" s="110"/>
      <c r="E2" s="110"/>
      <c r="F2" s="119" t="str">
        <f>CONCATENATE("(Only the actual budget year for ",K1-2," is to be shown)")</f>
        <v>(Only the actual budget year for 2011 is to be shown)</v>
      </c>
      <c r="G2" s="110"/>
      <c r="H2" s="110"/>
      <c r="I2" s="110"/>
      <c r="J2" s="110"/>
      <c r="K2" s="110"/>
    </row>
    <row r="3" spans="1:11" ht="15.75">
      <c r="A3" s="110" t="s">
        <v>335</v>
      </c>
      <c r="B3" s="110"/>
      <c r="C3" s="110"/>
      <c r="D3" s="110"/>
      <c r="E3" s="110"/>
      <c r="F3" s="117"/>
      <c r="G3" s="110"/>
      <c r="H3" s="110"/>
      <c r="I3" s="110"/>
      <c r="J3" s="110"/>
      <c r="K3" s="110"/>
    </row>
    <row r="4" spans="1:11" ht="15.75">
      <c r="A4" s="110" t="s">
        <v>336</v>
      </c>
      <c r="B4" s="110"/>
      <c r="C4" s="110" t="s">
        <v>337</v>
      </c>
      <c r="D4" s="110"/>
      <c r="E4" s="110" t="s">
        <v>338</v>
      </c>
      <c r="F4" s="117"/>
      <c r="G4" s="110" t="s">
        <v>339</v>
      </c>
      <c r="H4" s="110"/>
      <c r="I4" s="110" t="s">
        <v>340</v>
      </c>
      <c r="J4" s="110"/>
      <c r="K4" s="110"/>
    </row>
    <row r="5" spans="1:11" ht="15.75">
      <c r="A5" s="836">
        <f>inputPrYr!B41</f>
        <v>0</v>
      </c>
      <c r="B5" s="837"/>
      <c r="C5" s="836">
        <f>inputPrYr!B42</f>
        <v>0</v>
      </c>
      <c r="D5" s="837"/>
      <c r="E5" s="836">
        <f>inputPrYr!B43</f>
        <v>0</v>
      </c>
      <c r="F5" s="837"/>
      <c r="G5" s="838">
        <f>inputPrYr!B44</f>
        <v>0</v>
      </c>
      <c r="H5" s="837"/>
      <c r="I5" s="838">
        <f>inputPrYr!B45</f>
        <v>0</v>
      </c>
      <c r="J5" s="837"/>
      <c r="K5" s="122"/>
    </row>
    <row r="6" spans="1:11" ht="15.75">
      <c r="A6" s="123" t="s">
        <v>341</v>
      </c>
      <c r="B6" s="124"/>
      <c r="C6" s="125" t="s">
        <v>341</v>
      </c>
      <c r="D6" s="126"/>
      <c r="E6" s="125" t="s">
        <v>341</v>
      </c>
      <c r="F6" s="127"/>
      <c r="G6" s="125" t="s">
        <v>341</v>
      </c>
      <c r="H6" s="121"/>
      <c r="I6" s="125" t="s">
        <v>341</v>
      </c>
      <c r="J6" s="110"/>
      <c r="K6" s="128" t="s">
        <v>241</v>
      </c>
    </row>
    <row r="7" spans="1:11" ht="15.75">
      <c r="A7" s="129" t="s">
        <v>342</v>
      </c>
      <c r="B7" s="130"/>
      <c r="C7" s="131" t="s">
        <v>342</v>
      </c>
      <c r="D7" s="130"/>
      <c r="E7" s="131" t="s">
        <v>342</v>
      </c>
      <c r="F7" s="130"/>
      <c r="G7" s="131" t="s">
        <v>342</v>
      </c>
      <c r="H7" s="130"/>
      <c r="I7" s="131" t="s">
        <v>342</v>
      </c>
      <c r="J7" s="130"/>
      <c r="K7" s="132">
        <f>SUM(B7+D7+F7+H7+J7)</f>
        <v>0</v>
      </c>
    </row>
    <row r="8" spans="1:11" ht="15.75">
      <c r="A8" s="133" t="s">
        <v>69</v>
      </c>
      <c r="B8" s="134"/>
      <c r="C8" s="133" t="s">
        <v>69</v>
      </c>
      <c r="D8" s="135"/>
      <c r="E8" s="133" t="s">
        <v>69</v>
      </c>
      <c r="F8" s="117"/>
      <c r="G8" s="133" t="s">
        <v>69</v>
      </c>
      <c r="H8" s="110"/>
      <c r="I8" s="133" t="s">
        <v>69</v>
      </c>
      <c r="J8" s="110"/>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283</v>
      </c>
      <c r="B17" s="132">
        <f>SUM(B9:B16)</f>
        <v>0</v>
      </c>
      <c r="C17" s="133" t="s">
        <v>283</v>
      </c>
      <c r="D17" s="132">
        <f>SUM(D9:D16)</f>
        <v>0</v>
      </c>
      <c r="E17" s="133" t="s">
        <v>283</v>
      </c>
      <c r="F17" s="146">
        <f>SUM(F9:F16)</f>
        <v>0</v>
      </c>
      <c r="G17" s="133" t="s">
        <v>283</v>
      </c>
      <c r="H17" s="132">
        <f>SUM(H9:H16)</f>
        <v>0</v>
      </c>
      <c r="I17" s="133" t="s">
        <v>283</v>
      </c>
      <c r="J17" s="132">
        <f>SUM(J9:J16)</f>
        <v>0</v>
      </c>
      <c r="K17" s="132">
        <f>SUM(B17+D17+F17+H17+J17)</f>
        <v>0</v>
      </c>
    </row>
    <row r="18" spans="1:11" ht="15.75">
      <c r="A18" s="133" t="s">
        <v>284</v>
      </c>
      <c r="B18" s="132">
        <f>SUM(B7+B17)</f>
        <v>0</v>
      </c>
      <c r="C18" s="133" t="s">
        <v>284</v>
      </c>
      <c r="D18" s="132">
        <f>SUM(D7+D17)</f>
        <v>0</v>
      </c>
      <c r="E18" s="133" t="s">
        <v>284</v>
      </c>
      <c r="F18" s="132">
        <f>SUM(F7+F17)</f>
        <v>0</v>
      </c>
      <c r="G18" s="133" t="s">
        <v>284</v>
      </c>
      <c r="H18" s="132">
        <f>SUM(H7+H17)</f>
        <v>0</v>
      </c>
      <c r="I18" s="133" t="s">
        <v>284</v>
      </c>
      <c r="J18" s="132">
        <f>SUM(J7+J17)</f>
        <v>0</v>
      </c>
      <c r="K18" s="132">
        <f>SUM(B18+D18+F18+H18+J18)</f>
        <v>0</v>
      </c>
    </row>
    <row r="19" spans="1:11" ht="15.75">
      <c r="A19" s="133" t="s">
        <v>285</v>
      </c>
      <c r="B19" s="134"/>
      <c r="C19" s="133" t="s">
        <v>285</v>
      </c>
      <c r="D19" s="135"/>
      <c r="E19" s="133" t="s">
        <v>285</v>
      </c>
      <c r="F19" s="117"/>
      <c r="G19" s="133" t="s">
        <v>285</v>
      </c>
      <c r="H19" s="110"/>
      <c r="I19" s="133" t="s">
        <v>285</v>
      </c>
      <c r="J19" s="110"/>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286</v>
      </c>
      <c r="B28" s="132">
        <f>SUM(B20:B27)</f>
        <v>0</v>
      </c>
      <c r="C28" s="133" t="s">
        <v>286</v>
      </c>
      <c r="D28" s="132">
        <f>SUM(D20:D27)</f>
        <v>0</v>
      </c>
      <c r="E28" s="133" t="s">
        <v>286</v>
      </c>
      <c r="F28" s="146">
        <f>SUM(F20:F27)</f>
        <v>0</v>
      </c>
      <c r="G28" s="133" t="s">
        <v>286</v>
      </c>
      <c r="H28" s="146">
        <f>SUM(H20:H27)</f>
        <v>0</v>
      </c>
      <c r="I28" s="133" t="s">
        <v>286</v>
      </c>
      <c r="J28" s="132">
        <f>SUM(J20:J27)</f>
        <v>0</v>
      </c>
      <c r="K28" s="132">
        <f>SUM(B28+D28+F28+H28+J28)</f>
        <v>0</v>
      </c>
    </row>
    <row r="29" spans="1:12" ht="15.75">
      <c r="A29" s="133" t="s">
        <v>343</v>
      </c>
      <c r="B29" s="132">
        <f>SUM(B18-B28)</f>
        <v>0</v>
      </c>
      <c r="C29" s="133" t="s">
        <v>343</v>
      </c>
      <c r="D29" s="132">
        <f>SUM(D18-D28)</f>
        <v>0</v>
      </c>
      <c r="E29" s="133" t="s">
        <v>343</v>
      </c>
      <c r="F29" s="132">
        <f>SUM(F18-F28)</f>
        <v>0</v>
      </c>
      <c r="G29" s="133" t="s">
        <v>343</v>
      </c>
      <c r="H29" s="132">
        <f>SUM(H18-H28)</f>
        <v>0</v>
      </c>
      <c r="I29" s="133" t="s">
        <v>343</v>
      </c>
      <c r="J29" s="132">
        <f>SUM(J18-J28)</f>
        <v>0</v>
      </c>
      <c r="K29" s="147">
        <f>SUM(B29+D29+F29+H29+J29)</f>
        <v>0</v>
      </c>
      <c r="L29" s="111" t="s">
        <v>344</v>
      </c>
    </row>
    <row r="30" spans="1:12" ht="15.75">
      <c r="A30" s="133"/>
      <c r="B30" s="354">
        <f>IF(B29&lt;0,"See Tab B","")</f>
      </c>
      <c r="C30" s="133"/>
      <c r="D30" s="354">
        <f>IF(D29&lt;0,"See Tab B","")</f>
      </c>
      <c r="E30" s="133"/>
      <c r="F30" s="354">
        <f>IF(F29&lt;0,"See Tab B","")</f>
      </c>
      <c r="G30" s="110"/>
      <c r="H30" s="354">
        <f>IF(H29&lt;0,"See Tab B","")</f>
      </c>
      <c r="I30" s="110"/>
      <c r="J30" s="354">
        <f>IF(J29&lt;0,"See Tab B","")</f>
      </c>
      <c r="K30" s="147">
        <f>SUM(K7+K17-K28)</f>
        <v>0</v>
      </c>
      <c r="L30" s="111" t="s">
        <v>344</v>
      </c>
    </row>
    <row r="31" spans="1:11" ht="15.75">
      <c r="A31" s="110"/>
      <c r="B31" s="148"/>
      <c r="C31" s="110"/>
      <c r="D31" s="117"/>
      <c r="E31" s="110"/>
      <c r="F31" s="110"/>
      <c r="G31" s="149" t="s">
        <v>345</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269</v>
      </c>
      <c r="F33" s="151"/>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8.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7" customWidth="1"/>
    <col min="2" max="16384" width="8.796875" style="107" customWidth="1"/>
  </cols>
  <sheetData>
    <row r="1" ht="20.25">
      <c r="A1" s="355" t="s">
        <v>352</v>
      </c>
    </row>
    <row r="2" ht="53.25" customHeight="1">
      <c r="A2" s="215" t="s">
        <v>353</v>
      </c>
    </row>
    <row r="3" ht="15.75">
      <c r="A3" s="356"/>
    </row>
    <row r="4" ht="58.5" customHeight="1">
      <c r="A4" s="215" t="s">
        <v>354</v>
      </c>
    </row>
    <row r="5" ht="15.75">
      <c r="A5" s="111"/>
    </row>
    <row r="6" ht="55.5" customHeight="1">
      <c r="A6" s="215" t="s">
        <v>355</v>
      </c>
    </row>
    <row r="7" ht="15.75">
      <c r="A7" s="356"/>
    </row>
    <row r="8" ht="42.75" customHeight="1">
      <c r="A8" s="215" t="s">
        <v>356</v>
      </c>
    </row>
    <row r="9" ht="15.75">
      <c r="A9" s="111"/>
    </row>
    <row r="10" ht="31.5">
      <c r="A10" s="215" t="s">
        <v>357</v>
      </c>
    </row>
    <row r="11" ht="15.75">
      <c r="A11" s="356"/>
    </row>
    <row r="12" ht="69.75" customHeight="1">
      <c r="A12" s="215" t="s">
        <v>358</v>
      </c>
    </row>
    <row r="13" ht="15.75">
      <c r="A13" s="356"/>
    </row>
    <row r="14" ht="40.5" customHeight="1">
      <c r="A14" s="215" t="s">
        <v>359</v>
      </c>
    </row>
    <row r="15" ht="15.75">
      <c r="A15" s="111"/>
    </row>
    <row r="16" ht="56.25" customHeight="1">
      <c r="A16" s="215" t="s">
        <v>360</v>
      </c>
    </row>
    <row r="17" ht="15.75">
      <c r="A17" s="356"/>
    </row>
    <row r="18" ht="54.75" customHeight="1">
      <c r="A18" s="215" t="s">
        <v>361</v>
      </c>
    </row>
    <row r="19" ht="15.75">
      <c r="A19" s="356"/>
    </row>
    <row r="20" ht="55.5" customHeight="1">
      <c r="A20" s="215" t="s">
        <v>362</v>
      </c>
    </row>
    <row r="21" ht="15.75">
      <c r="A21" s="356"/>
    </row>
    <row r="22" ht="76.5" customHeight="1">
      <c r="A22" s="215" t="s">
        <v>363</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N94"/>
  <sheetViews>
    <sheetView zoomScale="70" zoomScaleNormal="70" zoomScalePageLayoutView="0" workbookViewId="0" topLeftCell="C7">
      <selection activeCell="H21" sqref="H21"/>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364"/>
      <c r="B1" s="364"/>
      <c r="C1" s="364"/>
      <c r="D1" s="364"/>
      <c r="E1" s="364"/>
      <c r="F1" s="364"/>
      <c r="G1" s="364"/>
      <c r="H1" s="66">
        <f>inputPrYr!D9</f>
        <v>2013</v>
      </c>
    </row>
    <row r="2" spans="1:8" ht="15.75">
      <c r="A2" s="797" t="s">
        <v>20</v>
      </c>
      <c r="B2" s="779"/>
      <c r="C2" s="779"/>
      <c r="D2" s="779"/>
      <c r="E2" s="779"/>
      <c r="F2" s="779"/>
      <c r="G2" s="779"/>
      <c r="H2" s="779"/>
    </row>
    <row r="3" spans="1:8" ht="15.75">
      <c r="A3" s="364"/>
      <c r="B3" s="65"/>
      <c r="C3" s="65"/>
      <c r="D3" s="65"/>
      <c r="E3" s="65"/>
      <c r="F3" s="71" t="s">
        <v>296</v>
      </c>
      <c r="G3" s="71" t="s">
        <v>297</v>
      </c>
      <c r="H3" s="65"/>
    </row>
    <row r="4" spans="1:8" ht="15.75">
      <c r="A4" s="792" t="s">
        <v>298</v>
      </c>
      <c r="B4" s="792"/>
      <c r="C4" s="792"/>
      <c r="D4" s="792"/>
      <c r="E4" s="792"/>
      <c r="F4" s="792"/>
      <c r="G4" s="792"/>
      <c r="H4" s="792"/>
    </row>
    <row r="5" spans="1:8" ht="15.75">
      <c r="A5" s="795" t="str">
        <f>inputPrYr!D3</f>
        <v>Morrill Township</v>
      </c>
      <c r="B5" s="795"/>
      <c r="C5" s="795"/>
      <c r="D5" s="795"/>
      <c r="E5" s="795"/>
      <c r="F5" s="795"/>
      <c r="G5" s="795"/>
      <c r="H5" s="795"/>
    </row>
    <row r="6" spans="1:8" ht="15.75">
      <c r="A6" s="795" t="str">
        <f>inputPrYr!D4</f>
        <v>Brown County</v>
      </c>
      <c r="B6" s="795"/>
      <c r="C6" s="795"/>
      <c r="D6" s="795"/>
      <c r="E6" s="795"/>
      <c r="F6" s="795"/>
      <c r="G6" s="795"/>
      <c r="H6" s="795"/>
    </row>
    <row r="7" spans="1:8" ht="15.75">
      <c r="A7" s="847" t="str">
        <f>CONCATENATE("will meet on ",inputBudSum!B8," at ",inputBudSum!B10," at ",inputBudSum!B12," for the purpose of hearing and")</f>
        <v>will meet on July 31, 2012 at 9:00 AM at Morrill City Hall for the purpose of hearing and</v>
      </c>
      <c r="B7" s="847"/>
      <c r="C7" s="847"/>
      <c r="D7" s="847"/>
      <c r="E7" s="847"/>
      <c r="F7" s="847"/>
      <c r="G7" s="847"/>
      <c r="H7" s="847"/>
    </row>
    <row r="8" spans="1:8" ht="15.75">
      <c r="A8" s="792" t="s">
        <v>407</v>
      </c>
      <c r="B8" s="794"/>
      <c r="C8" s="794"/>
      <c r="D8" s="794"/>
      <c r="E8" s="794"/>
      <c r="F8" s="794"/>
      <c r="G8" s="794"/>
      <c r="H8" s="794"/>
    </row>
    <row r="9" spans="1:8" ht="15.75">
      <c r="A9" s="790" t="str">
        <f>CONCATENATE("Detailed budget information is available at ",inputBudSum!B15," and will be available at this hearing.")</f>
        <v>Detailed budget information is available at Brown County Clerk's office and will be available at this hearing.</v>
      </c>
      <c r="B9" s="779"/>
      <c r="C9" s="779"/>
      <c r="D9" s="779"/>
      <c r="E9" s="779"/>
      <c r="F9" s="779"/>
      <c r="G9" s="779"/>
      <c r="H9" s="779"/>
    </row>
    <row r="10" spans="1:8" ht="15.75">
      <c r="A10" s="797" t="s">
        <v>21</v>
      </c>
      <c r="B10" s="794"/>
      <c r="C10" s="794"/>
      <c r="D10" s="794"/>
      <c r="E10" s="794"/>
      <c r="F10" s="794"/>
      <c r="G10" s="794"/>
      <c r="H10" s="794"/>
    </row>
    <row r="11" spans="1:8" ht="15.75">
      <c r="A11" s="792" t="str">
        <f>CONCATENATE("Proposed Budget ",H1," Expenditures and Amount of ",H1-1," Ad Valorem Tax establish the maximum limits")</f>
        <v>Proposed Budget 2013 Expenditures and Amount of 2012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2013 budget.  Estimated Tax Rate is subject to change depending on the final assessed valuation.</v>
      </c>
      <c r="B12" s="794"/>
      <c r="C12" s="794"/>
      <c r="D12" s="794"/>
      <c r="E12" s="794"/>
      <c r="F12" s="794"/>
      <c r="G12" s="794"/>
      <c r="H12" s="794"/>
    </row>
    <row r="13" spans="1:9" ht="15.75">
      <c r="A13" s="71"/>
      <c r="B13" s="70"/>
      <c r="C13" s="70"/>
      <c r="D13" s="70"/>
      <c r="E13" s="70"/>
      <c r="F13" s="70"/>
      <c r="G13" s="70"/>
      <c r="H13" s="70"/>
      <c r="I13" s="197"/>
    </row>
    <row r="14" spans="1:9" ht="15.75">
      <c r="A14" s="204"/>
      <c r="B14" s="198" t="str">
        <f>CONCATENATE("Prior Year Actual ",H1-2,"")</f>
        <v>Prior Year Actual 2011</v>
      </c>
      <c r="C14" s="199"/>
      <c r="D14" s="198" t="str">
        <f>CONCATENATE("Current Year Estimate ",H1-1,"")</f>
        <v>Current Year Estimate 2012</v>
      </c>
      <c r="E14" s="200"/>
      <c r="F14" s="201" t="str">
        <f>CONCATENATE("Proposed Budget ",H1,"")</f>
        <v>Proposed Budget 2013</v>
      </c>
      <c r="G14" s="202"/>
      <c r="H14" s="200"/>
      <c r="I14" s="197"/>
    </row>
    <row r="15" spans="1:9" ht="22.5" customHeight="1">
      <c r="A15" s="74"/>
      <c r="B15" s="203"/>
      <c r="C15" s="73" t="s">
        <v>292</v>
      </c>
      <c r="D15" s="73"/>
      <c r="E15" s="73" t="s">
        <v>292</v>
      </c>
      <c r="F15" s="204"/>
      <c r="G15" s="784" t="str">
        <f>CONCATENATE("Amount of ",H1-1," Ad Valorem Tax")</f>
        <v>Amount of 2012 Ad Valorem Tax</v>
      </c>
      <c r="H15" s="73" t="s">
        <v>299</v>
      </c>
      <c r="I15" s="197"/>
    </row>
    <row r="16" spans="1:9" ht="15.75">
      <c r="A16" s="74"/>
      <c r="B16" s="75"/>
      <c r="C16" s="75" t="s">
        <v>300</v>
      </c>
      <c r="D16" s="75"/>
      <c r="E16" s="75" t="s">
        <v>300</v>
      </c>
      <c r="F16" s="497" t="s">
        <v>173</v>
      </c>
      <c r="G16" s="845"/>
      <c r="H16" s="75" t="s">
        <v>300</v>
      </c>
      <c r="I16" s="197"/>
    </row>
    <row r="17" spans="1:10" ht="15.75">
      <c r="A17" s="78" t="s">
        <v>251</v>
      </c>
      <c r="B17" s="78" t="s">
        <v>301</v>
      </c>
      <c r="C17" s="78" t="s">
        <v>302</v>
      </c>
      <c r="D17" s="78" t="s">
        <v>301</v>
      </c>
      <c r="E17" s="78" t="s">
        <v>302</v>
      </c>
      <c r="F17" s="496" t="s">
        <v>725</v>
      </c>
      <c r="G17" s="846"/>
      <c r="H17" s="78" t="s">
        <v>302</v>
      </c>
      <c r="I17" s="197"/>
      <c r="J17" s="524"/>
    </row>
    <row r="18" spans="1:10" ht="15.75">
      <c r="A18" s="89" t="str">
        <f>inputPrYr!B20</f>
        <v>General</v>
      </c>
      <c r="B18" s="89">
        <f>IF(gen!$C$41&lt;&gt;0,gen!$C$41,"  ")</f>
        <v>19511</v>
      </c>
      <c r="C18" s="92">
        <f>IF(inputPrYr!D49&gt;0,inputPrYr!D49,"  ")</f>
        <v>2.448</v>
      </c>
      <c r="D18" s="89">
        <f>IF(gen!$D$41&lt;&gt;0,gen!$D$41,"  ")</f>
        <v>16965</v>
      </c>
      <c r="E18" s="92">
        <f>IF(inputOth!D37&gt;0,inputOth!D37,"  ")</f>
        <v>1.714</v>
      </c>
      <c r="F18" s="89">
        <f>IF(gen!$E$41&lt;&gt;0,gen!$E$41,"  ")</f>
        <v>15100</v>
      </c>
      <c r="G18" s="89">
        <f>IF(gen!$E$48&lt;&gt;0,gen!$E$48,"")</f>
        <v>9717</v>
      </c>
      <c r="H18" s="92">
        <f>IF(gen!E48&gt;0,ROUND(G18/F28*1000,3)," ")</f>
        <v>1.569</v>
      </c>
      <c r="I18" s="197"/>
      <c r="J18" s="524"/>
    </row>
    <row r="19" spans="1:8" ht="15.75">
      <c r="A19" s="89" t="str">
        <f>IF(inputPrYr!$B23&gt;"  ",inputPrYr!$B23,"  ")</f>
        <v>Road</v>
      </c>
      <c r="B19" s="89">
        <f>IF(road!$C$45&lt;&gt;0,road!$C$45,"  ")</f>
        <v>76159</v>
      </c>
      <c r="C19" s="92">
        <f>IF(inputPrYr!D52&gt;0,inputPrYr!D52,"  ")</f>
        <v>11.847</v>
      </c>
      <c r="D19" s="89">
        <f>IF(road!$D$45&lt;&gt;0,road!$D$45,"  ")</f>
        <v>66544</v>
      </c>
      <c r="E19" s="92">
        <f>IF(inputOth!D40&gt;0,inputOth!D40,"  ")</f>
        <v>12.127</v>
      </c>
      <c r="F19" s="89">
        <f>IF(road!$E$45&lt;&gt;0,road!$E$45,"  ")</f>
        <v>73025</v>
      </c>
      <c r="G19" s="89">
        <f>IF(road!$E$52&lt;&gt;0,road!$E$52,"  ")</f>
        <v>57376</v>
      </c>
      <c r="H19" s="92">
        <f>IF(road!E52&gt;0,ROUND(G19/F29*1000,3)," ")</f>
        <v>11.413</v>
      </c>
    </row>
    <row r="20" spans="1:8" ht="15.75">
      <c r="A20" s="89" t="str">
        <f>IF(inputPrYr!$B26&gt;"  ",inputPrYr!$B26,"  ")</f>
        <v>Fire Protection</v>
      </c>
      <c r="B20" s="89">
        <f>IF('Fire-Cemerty'!$C$27&lt;&gt;0,'Fire-Cemerty'!$C$27,"  ")</f>
        <v>4500</v>
      </c>
      <c r="C20" s="92">
        <f>IF(inputPrYr!D55&gt;0,inputPrYr!D55,"  ")</f>
        <v>0.973</v>
      </c>
      <c r="D20" s="89">
        <f>IF('Fire-Cemerty'!$D$27&lt;&gt;0,'Fire-Cemerty'!$D$27,"  ")</f>
        <v>4500</v>
      </c>
      <c r="E20" s="92">
        <f>IF(inputOth!D43&gt;0,inputOth!D43,"  ")</f>
        <v>0.884</v>
      </c>
      <c r="F20" s="89">
        <f>IF('Fire-Cemerty'!$E$27&lt;&gt;0,'Fire-Cemerty'!$E$27,"  ")</f>
        <v>4500</v>
      </c>
      <c r="G20" s="89">
        <f>IF('Fire-Cemerty'!$E$34&lt;&gt;0,'Fire-Cemerty'!$E$34,"  ")</f>
        <v>4149</v>
      </c>
      <c r="H20" s="92">
        <f>IF('Fire-Cemerty'!E34&gt;0,ROUND(G20/F29*1000,3)," ")</f>
        <v>0.825</v>
      </c>
    </row>
    <row r="21" spans="1:13" ht="15.75">
      <c r="A21" s="89" t="str">
        <f>IF(inputPrYr!$B27&gt;"  ",inputPrYr!$B27,"  ")</f>
        <v>Cemetery</v>
      </c>
      <c r="B21" s="89">
        <f>IF('Fire-Cemerty'!$C$65&lt;&gt;0,'Fire-Cemerty'!$C$65,"  ")</f>
        <v>4100</v>
      </c>
      <c r="C21" s="92">
        <f>IF(inputPrYr!D56&gt;0,inputPrYr!D56,"  ")</f>
        <v>0.915</v>
      </c>
      <c r="D21" s="89">
        <f>IF('Fire-Cemerty'!$D$65&lt;&gt;0,'Fire-Cemerty'!$D$65,"  ")</f>
        <v>4200</v>
      </c>
      <c r="E21" s="92">
        <f>IF(inputOth!D44&gt;0,inputOth!D44,"  ")</f>
        <v>0.842</v>
      </c>
      <c r="F21" s="89">
        <f>IF('Fire-Cemerty'!$E$65&lt;&gt;0,'Fire-Cemerty'!$E$65,"  ")</f>
        <v>4200</v>
      </c>
      <c r="G21" s="89">
        <f>IF('Fire-Cemerty'!$E$72&lt;&gt;0,'Fire-Cemerty'!$E$72,"  ")</f>
        <v>3746</v>
      </c>
      <c r="H21" s="92">
        <f>IF('Fire-Cemerty'!E72&gt;0,ROUND(G21/F28*1000,3)," ")</f>
        <v>0.605</v>
      </c>
      <c r="J21" s="523"/>
      <c r="K21" s="522"/>
      <c r="L21" s="522"/>
      <c r="M21" s="521"/>
    </row>
    <row r="22" spans="1:13" ht="15.75">
      <c r="A22" s="89" t="str">
        <f>IF((inputPrYr!$B41&gt;"  "),(nonbud!$A3),"  ")</f>
        <v>  </v>
      </c>
      <c r="B22" s="736" t="str">
        <f>IF((nonbud!$K$28)&lt;&gt;0,(nonbud!$K$28),"  ")</f>
        <v>  </v>
      </c>
      <c r="C22" s="336"/>
      <c r="D22" s="89"/>
      <c r="E22" s="92"/>
      <c r="F22" s="89"/>
      <c r="G22" s="89"/>
      <c r="H22" s="92"/>
      <c r="J22" s="516" t="s">
        <v>738</v>
      </c>
      <c r="K22" s="513"/>
      <c r="L22" s="513"/>
      <c r="M22" s="515" t="e">
        <f>#REF!*-1</f>
        <v>#REF!</v>
      </c>
    </row>
    <row r="23" spans="1:13" ht="16.5" thickBot="1">
      <c r="A23" s="103" t="s">
        <v>253</v>
      </c>
      <c r="B23" s="479" t="str">
        <f>IF(road!C66&lt;&gt;0,road!C66,"  ")</f>
        <v>  </v>
      </c>
      <c r="C23" s="480"/>
      <c r="D23" s="480"/>
      <c r="E23" s="480"/>
      <c r="F23" s="480"/>
      <c r="G23" s="480"/>
      <c r="H23" s="480"/>
      <c r="J23" s="514"/>
      <c r="K23" s="514"/>
      <c r="L23" s="514"/>
      <c r="M23" s="514"/>
    </row>
    <row r="24" spans="1:13" ht="15.75">
      <c r="A24" s="103" t="s">
        <v>254</v>
      </c>
      <c r="B24" s="477">
        <f aca="true" t="shared" si="0" ref="B24:H24">SUM(B18:B23)</f>
        <v>104270</v>
      </c>
      <c r="C24" s="478">
        <f t="shared" si="0"/>
        <v>16.183</v>
      </c>
      <c r="D24" s="477">
        <f t="shared" si="0"/>
        <v>92209</v>
      </c>
      <c r="E24" s="478">
        <f t="shared" si="0"/>
        <v>15.567000000000002</v>
      </c>
      <c r="F24" s="477">
        <f t="shared" si="0"/>
        <v>96825</v>
      </c>
      <c r="G24" s="477">
        <f t="shared" si="0"/>
        <v>74988</v>
      </c>
      <c r="H24" s="478">
        <f t="shared" si="0"/>
        <v>14.411999999999999</v>
      </c>
      <c r="J24" s="841" t="str">
        <f>CONCATENATE("Impact On Keeping The Same Mill Rate As For ",H1-1,"")</f>
        <v>Impact On Keeping The Same Mill Rate As For 2012</v>
      </c>
      <c r="K24" s="842"/>
      <c r="L24" s="842"/>
      <c r="M24" s="843"/>
    </row>
    <row r="25" spans="1:13" ht="15.75">
      <c r="A25" s="103" t="s">
        <v>303</v>
      </c>
      <c r="B25" s="89">
        <f>transfer!C29</f>
        <v>16600</v>
      </c>
      <c r="C25" s="65"/>
      <c r="D25" s="89">
        <f>transfer!D29</f>
        <v>0</v>
      </c>
      <c r="E25" s="206"/>
      <c r="F25" s="89">
        <f>transfer!E29</f>
        <v>0</v>
      </c>
      <c r="G25" s="65"/>
      <c r="H25" s="65"/>
      <c r="J25" s="520"/>
      <c r="K25" s="522"/>
      <c r="L25" s="522"/>
      <c r="M25" s="519"/>
    </row>
    <row r="26" spans="1:13" ht="16.5" thickBot="1">
      <c r="A26" s="103" t="s">
        <v>304</v>
      </c>
      <c r="B26" s="481">
        <f>B24-B25</f>
        <v>87670</v>
      </c>
      <c r="C26" s="65"/>
      <c r="D26" s="481">
        <f>D24-D25</f>
        <v>92209</v>
      </c>
      <c r="E26" s="65"/>
      <c r="F26" s="481">
        <f>F24-F25</f>
        <v>96825</v>
      </c>
      <c r="G26" s="65"/>
      <c r="H26" s="65"/>
      <c r="J26" s="520" t="str">
        <f>CONCATENATE("",H1," Ad Valorem Tax Rev(Township Only):")</f>
        <v>2013 Ad Valorem Tax Rev(Township Only):</v>
      </c>
      <c r="K26" s="522"/>
      <c r="L26" s="522"/>
      <c r="M26" s="521">
        <f>SUM(G19:G20)</f>
        <v>61525</v>
      </c>
    </row>
    <row r="27" spans="1:13" ht="16.5" thickTop="1">
      <c r="A27" s="103" t="s">
        <v>0</v>
      </c>
      <c r="B27" s="228">
        <f>inputPrYr!E63</f>
        <v>71657</v>
      </c>
      <c r="C27" s="206"/>
      <c r="D27" s="228">
        <f>inputPrYr!E32</f>
        <v>73091</v>
      </c>
      <c r="E27" s="65"/>
      <c r="F27" s="482" t="s">
        <v>255</v>
      </c>
      <c r="G27" s="65"/>
      <c r="H27" s="65"/>
      <c r="J27" s="520" t="str">
        <f>CONCATENATE("",H1," Ad Valorem Tax Rev(Township Tot):")</f>
        <v>2013 Ad Valorem Tax Rev(Township Tot):</v>
      </c>
      <c r="K27" s="522"/>
      <c r="L27" s="522"/>
      <c r="M27" s="535" t="e">
        <f>SUM(G18,#REF!,#REF!,G21,#REF!,#REF!,#REF!,#REF!)</f>
        <v>#REF!</v>
      </c>
    </row>
    <row r="28" spans="1:13" ht="15.75">
      <c r="A28" s="103" t="s">
        <v>180</v>
      </c>
      <c r="B28" s="89">
        <f>inputPrYr!E64</f>
        <v>5399904</v>
      </c>
      <c r="C28" s="206"/>
      <c r="D28" s="89">
        <f>inputOth!E55</f>
        <v>5725170</v>
      </c>
      <c r="E28" s="206"/>
      <c r="F28" s="89">
        <f>inputOth!E11</f>
        <v>6192038</v>
      </c>
      <c r="G28" s="65"/>
      <c r="H28" s="65"/>
      <c r="J28" s="520" t="str">
        <f>CONCATENATE("Total ",H1," Ad Valorem Tax Revenue:")</f>
        <v>Total 2013 Ad Valorem Tax Revenue:</v>
      </c>
      <c r="K28" s="508"/>
      <c r="L28" s="508"/>
      <c r="M28" s="536" t="e">
        <f>M26+M27</f>
        <v>#REF!</v>
      </c>
    </row>
    <row r="29" spans="1:14" ht="15.75">
      <c r="A29" s="79" t="s">
        <v>235</v>
      </c>
      <c r="B29" s="207"/>
      <c r="C29" s="65"/>
      <c r="D29" s="176"/>
      <c r="E29" s="65"/>
      <c r="F29" s="89">
        <f>inputOth!E8</f>
        <v>5027191</v>
      </c>
      <c r="G29" s="65"/>
      <c r="H29" s="65"/>
      <c r="J29" s="520" t="str">
        <f>CONCATENATE("",H1-1," Ad Valorem Tax Rev(Township Only):")</f>
        <v>2012 Ad Valorem Tax Rev(Township Only):</v>
      </c>
      <c r="K29" s="522"/>
      <c r="L29" s="522"/>
      <c r="M29" s="537">
        <f>ROUND(SUM(E19:E20)*F29/1000,0)</f>
        <v>65409</v>
      </c>
      <c r="N29" s="529"/>
    </row>
    <row r="30" spans="1:13" ht="15.75">
      <c r="A30" s="71" t="s">
        <v>2</v>
      </c>
      <c r="B30" s="65"/>
      <c r="C30" s="65"/>
      <c r="D30" s="65"/>
      <c r="E30" s="65"/>
      <c r="F30" s="65"/>
      <c r="G30" s="65"/>
      <c r="H30" s="65"/>
      <c r="J30" s="520"/>
      <c r="K30" s="522"/>
      <c r="L30" s="522"/>
      <c r="M30" s="519"/>
    </row>
    <row r="31" spans="1:13" ht="15.75">
      <c r="A31" s="65"/>
      <c r="B31" s="65"/>
      <c r="C31" s="65"/>
      <c r="D31" s="65"/>
      <c r="E31" s="65"/>
      <c r="F31" s="65"/>
      <c r="G31" s="65"/>
      <c r="H31" s="65"/>
      <c r="J31" s="526" t="str">
        <f>CONCATENATE("Enter Desired ",$H$1," Mill Rate:")</f>
        <v>Enter Desired 2013 Mill Rate:</v>
      </c>
      <c r="K31" s="527"/>
      <c r="L31" s="528"/>
      <c r="M31" s="525">
        <v>12</v>
      </c>
    </row>
    <row r="32" spans="1:13" ht="15.75">
      <c r="A32" s="844" t="str">
        <f>inputBudSum!B4</f>
        <v>William Eisenbise</v>
      </c>
      <c r="B32" s="844"/>
      <c r="C32" s="65"/>
      <c r="D32" s="65"/>
      <c r="E32" s="65"/>
      <c r="F32" s="65"/>
      <c r="G32" s="65"/>
      <c r="H32" s="65"/>
      <c r="J32" s="520" t="str">
        <f>CONCATENATE("Current ",$H$1," Estimated Mill Rate:")</f>
        <v>Current 2013 Estimated Mill Rate:</v>
      </c>
      <c r="K32" s="522"/>
      <c r="L32" s="522"/>
      <c r="M32" s="532">
        <f>IF(M31=0,0,$H$24)</f>
        <v>14.411999999999999</v>
      </c>
    </row>
    <row r="33" spans="1:13" ht="15.75">
      <c r="A33" s="839" t="str">
        <f>inputBudSum!B6</f>
        <v>Clerk</v>
      </c>
      <c r="B33" s="840"/>
      <c r="C33" s="65"/>
      <c r="D33" s="65"/>
      <c r="E33" s="65"/>
      <c r="F33" s="65"/>
      <c r="G33" s="65"/>
      <c r="H33" s="65"/>
      <c r="J33" s="520" t="s">
        <v>734</v>
      </c>
      <c r="K33" s="522"/>
      <c r="L33" s="522"/>
      <c r="M33" s="533">
        <f>M31-M32</f>
        <v>-2.411999999999999</v>
      </c>
    </row>
    <row r="34" spans="1:13" ht="15.75">
      <c r="A34" s="65"/>
      <c r="B34" s="65"/>
      <c r="C34" s="65"/>
      <c r="D34" s="65"/>
      <c r="E34" s="65"/>
      <c r="F34" s="65"/>
      <c r="G34" s="65"/>
      <c r="H34" s="65"/>
      <c r="J34" s="507" t="s">
        <v>735</v>
      </c>
      <c r="K34" s="70"/>
      <c r="L34" s="70"/>
      <c r="M34" s="530">
        <f>IF(M31=0,0,ROUND(SUM(H19:H20)/M32,2))</f>
        <v>0.85</v>
      </c>
    </row>
    <row r="35" spans="1:13" ht="15.75">
      <c r="A35" s="65"/>
      <c r="B35" s="208" t="s">
        <v>269</v>
      </c>
      <c r="C35" s="209">
        <v>9</v>
      </c>
      <c r="D35" s="65"/>
      <c r="E35" s="65"/>
      <c r="F35" s="65"/>
      <c r="G35" s="65"/>
      <c r="H35" s="65"/>
      <c r="J35" s="507" t="s">
        <v>736</v>
      </c>
      <c r="K35" s="70"/>
      <c r="L35" s="70"/>
      <c r="M35" s="530" t="e">
        <f>IF(M31=0,0,ROUND(SUM(H18+#REF!+#REF!+H21+#REF!+#REF!+#REF!+#REF!)/M32,2))</f>
        <v>#REF!</v>
      </c>
    </row>
    <row r="36" spans="1:13" ht="15.75">
      <c r="A36" s="111"/>
      <c r="B36" s="111"/>
      <c r="C36" s="111"/>
      <c r="H36" s="531"/>
      <c r="J36" s="518" t="str">
        <f>CONCATENATE("",$H$1," Tax Levy Fund Total Exp. Changed By:")</f>
        <v>2013 Tax Levy Fund Total Exp. Changed By:</v>
      </c>
      <c r="K36" s="517"/>
      <c r="L36" s="517"/>
      <c r="M36" s="521"/>
    </row>
    <row r="37" spans="10:13" ht="15.75">
      <c r="J37" s="538" t="s">
        <v>737</v>
      </c>
      <c r="K37" s="539"/>
      <c r="L37" s="539"/>
      <c r="M37" s="536">
        <f>ROUND(F29*M33*M34/1000,0)</f>
        <v>-10307</v>
      </c>
    </row>
    <row r="38" spans="1:13" ht="15.75">
      <c r="A38" s="111"/>
      <c r="B38" s="111"/>
      <c r="C38" s="111"/>
      <c r="D38" s="111"/>
      <c r="E38" s="111"/>
      <c r="F38" s="111"/>
      <c r="G38" s="111"/>
      <c r="J38" s="516" t="s">
        <v>738</v>
      </c>
      <c r="K38" s="513"/>
      <c r="L38" s="513"/>
      <c r="M38" s="515" t="e">
        <f>ROUND(F28*M33*M35/1000,0)</f>
        <v>#REF!</v>
      </c>
    </row>
    <row r="39" spans="8:13" ht="15.75">
      <c r="H39" s="111"/>
      <c r="M39" s="534"/>
    </row>
    <row r="40" ht="15.75">
      <c r="M40" s="534"/>
    </row>
    <row r="60" spans="1:6" ht="15.75">
      <c r="A60" s="111"/>
      <c r="B60" s="111"/>
      <c r="C60" s="111"/>
      <c r="D60" s="111"/>
      <c r="E60" s="111"/>
      <c r="F60" s="111"/>
    </row>
    <row r="67" spans="1:7" ht="15.75">
      <c r="A67" s="111"/>
      <c r="B67" s="111"/>
      <c r="C67" s="111"/>
      <c r="D67" s="111"/>
      <c r="E67" s="111"/>
      <c r="F67" s="111"/>
      <c r="G67" s="111"/>
    </row>
    <row r="68" ht="15.75">
      <c r="H68" s="111"/>
    </row>
    <row r="73" spans="1:7" ht="15.75">
      <c r="A73" s="111"/>
      <c r="B73" s="111"/>
      <c r="C73" s="111"/>
      <c r="D73" s="111"/>
      <c r="E73" s="111"/>
      <c r="F73" s="111"/>
      <c r="G73" s="111"/>
    </row>
    <row r="74" ht="15.75">
      <c r="H74" s="111"/>
    </row>
    <row r="94" spans="1:7" ht="15.75">
      <c r="A94" s="111"/>
      <c r="B94" s="111"/>
      <c r="C94" s="111"/>
      <c r="D94" s="111"/>
      <c r="E94" s="111"/>
      <c r="F94" s="111"/>
      <c r="G94" s="111"/>
    </row>
  </sheetData>
  <sheetProtection/>
  <mergeCells count="14">
    <mergeCell ref="J24:M24"/>
    <mergeCell ref="A32:B32"/>
    <mergeCell ref="A4:H4"/>
    <mergeCell ref="G15:G17"/>
    <mergeCell ref="A7:H7"/>
    <mergeCell ref="A6:H6"/>
    <mergeCell ref="A5:H5"/>
    <mergeCell ref="A33:B33"/>
    <mergeCell ref="A9:H9"/>
    <mergeCell ref="A2:H2"/>
    <mergeCell ref="A8:H8"/>
    <mergeCell ref="A10:H10"/>
    <mergeCell ref="A11:H11"/>
    <mergeCell ref="A12:H12"/>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4" sqref="E4"/>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145</v>
      </c>
      <c r="B1" s="65"/>
      <c r="C1" s="65"/>
      <c r="D1" s="65"/>
      <c r="E1" s="65"/>
    </row>
    <row r="2" spans="1:5" ht="15.75">
      <c r="A2" s="155" t="s">
        <v>225</v>
      </c>
      <c r="B2" s="65"/>
      <c r="C2" s="65"/>
      <c r="D2" s="65"/>
      <c r="E2" s="65"/>
    </row>
    <row r="3" spans="1:5" ht="15.75">
      <c r="A3" s="155" t="s">
        <v>223</v>
      </c>
      <c r="B3" s="65"/>
      <c r="C3" s="65"/>
      <c r="D3" s="116" t="s">
        <v>946</v>
      </c>
      <c r="E3" s="70"/>
    </row>
    <row r="4" spans="1:5" ht="15.75">
      <c r="A4" s="155" t="s">
        <v>224</v>
      </c>
      <c r="B4" s="65"/>
      <c r="C4" s="65"/>
      <c r="D4" s="156" t="s">
        <v>947</v>
      </c>
      <c r="E4" s="70"/>
    </row>
    <row r="5" spans="1:5" ht="15.75">
      <c r="A5" s="65"/>
      <c r="B5" s="65"/>
      <c r="C5" s="65"/>
      <c r="D5" s="65"/>
      <c r="E5" s="65"/>
    </row>
    <row r="6" spans="1:5" ht="15.75">
      <c r="A6" s="157" t="s">
        <v>146</v>
      </c>
      <c r="B6" s="65"/>
      <c r="C6" s="65"/>
      <c r="D6" s="365" t="s">
        <v>948</v>
      </c>
      <c r="E6" s="65"/>
    </row>
    <row r="7" spans="1:5" ht="15.75">
      <c r="A7" s="157" t="s">
        <v>147</v>
      </c>
      <c r="B7" s="65"/>
      <c r="C7" s="65"/>
      <c r="D7" s="109"/>
      <c r="E7" s="65"/>
    </row>
    <row r="8" spans="1:5" ht="15.75">
      <c r="A8" s="65"/>
      <c r="B8" s="65"/>
      <c r="C8" s="65"/>
      <c r="D8" s="65"/>
      <c r="E8" s="65"/>
    </row>
    <row r="9" spans="1:5" ht="15.75">
      <c r="A9" s="157" t="s">
        <v>94</v>
      </c>
      <c r="B9" s="65"/>
      <c r="C9" s="65"/>
      <c r="D9" s="158">
        <v>2013</v>
      </c>
      <c r="E9" s="65"/>
    </row>
    <row r="10" spans="1:5" ht="15.75">
      <c r="A10" s="65"/>
      <c r="B10" s="65"/>
      <c r="C10" s="65"/>
      <c r="D10" s="65"/>
      <c r="E10" s="65"/>
    </row>
    <row r="11" spans="1:8" ht="15.75">
      <c r="A11" s="159" t="s">
        <v>96</v>
      </c>
      <c r="B11" s="160"/>
      <c r="C11" s="160"/>
      <c r="D11" s="160"/>
      <c r="E11" s="160"/>
      <c r="F11" s="65"/>
      <c r="G11" s="752" t="s">
        <v>800</v>
      </c>
      <c r="H11" s="753"/>
    </row>
    <row r="12" spans="1:8" ht="15.75">
      <c r="A12" s="159" t="s">
        <v>163</v>
      </c>
      <c r="B12" s="160"/>
      <c r="C12" s="160"/>
      <c r="D12" s="160"/>
      <c r="E12" s="160"/>
      <c r="F12" s="65"/>
      <c r="G12" s="754"/>
      <c r="H12" s="753"/>
    </row>
    <row r="13" spans="1:8" ht="15.75">
      <c r="A13" s="65"/>
      <c r="B13" s="65"/>
      <c r="C13" s="65"/>
      <c r="D13" s="65"/>
      <c r="E13" s="65"/>
      <c r="F13" s="65"/>
      <c r="G13" s="754"/>
      <c r="H13" s="753"/>
    </row>
    <row r="14" spans="1:8" ht="15.75">
      <c r="A14" s="750" t="s">
        <v>106</v>
      </c>
      <c r="B14" s="751"/>
      <c r="C14" s="751"/>
      <c r="D14" s="751"/>
      <c r="E14" s="751"/>
      <c r="F14" s="65"/>
      <c r="G14" s="754"/>
      <c r="H14" s="753"/>
    </row>
    <row r="15" spans="1:8" ht="15.75">
      <c r="A15" s="155"/>
      <c r="B15" s="65"/>
      <c r="C15" s="65"/>
      <c r="D15" s="65"/>
      <c r="E15" s="65"/>
      <c r="F15" s="65"/>
      <c r="G15" s="754"/>
      <c r="H15" s="753"/>
    </row>
    <row r="16" spans="1:8" ht="15.75">
      <c r="A16" s="161" t="s">
        <v>95</v>
      </c>
      <c r="B16" s="162"/>
      <c r="C16" s="65"/>
      <c r="D16" s="68"/>
      <c r="E16" s="163"/>
      <c r="F16" s="65"/>
      <c r="G16" s="754"/>
      <c r="H16" s="753"/>
    </row>
    <row r="17" spans="1:8" ht="15.75">
      <c r="A17" s="164" t="str">
        <f>CONCATENATE("the ",D9-1," Budget, Certificate Page:")</f>
        <v>the 2012 Budget, Certificate Page:</v>
      </c>
      <c r="B17" s="165"/>
      <c r="C17" s="68"/>
      <c r="D17" s="65"/>
      <c r="E17" s="65"/>
      <c r="F17" s="65"/>
      <c r="G17" s="70"/>
      <c r="H17" s="586"/>
    </row>
    <row r="18" spans="1:8" ht="15.75">
      <c r="A18" s="164" t="s">
        <v>320</v>
      </c>
      <c r="B18" s="165"/>
      <c r="C18" s="68"/>
      <c r="D18" s="166">
        <f>D9-1</f>
        <v>2012</v>
      </c>
      <c r="E18" s="166">
        <f>D9-2</f>
        <v>2011</v>
      </c>
      <c r="G18" s="227" t="s">
        <v>801</v>
      </c>
      <c r="H18" s="87" t="s">
        <v>289</v>
      </c>
    </row>
    <row r="19" spans="1:8" ht="15.75">
      <c r="A19" s="71" t="s">
        <v>237</v>
      </c>
      <c r="B19" s="65"/>
      <c r="C19" s="167" t="s">
        <v>236</v>
      </c>
      <c r="D19" s="168" t="s">
        <v>351</v>
      </c>
      <c r="E19" s="168" t="s">
        <v>276</v>
      </c>
      <c r="G19" s="229" t="str">
        <f>CONCATENATE("",E18," Ad Valorem Tax")</f>
        <v>2011 Ad Valorem Tax</v>
      </c>
      <c r="H19" s="587">
        <v>0</v>
      </c>
    </row>
    <row r="20" spans="1:7" ht="15.75">
      <c r="A20" s="65"/>
      <c r="B20" s="103" t="s">
        <v>238</v>
      </c>
      <c r="C20" s="82" t="s">
        <v>239</v>
      </c>
      <c r="D20" s="169">
        <v>18100</v>
      </c>
      <c r="E20" s="169">
        <v>9815</v>
      </c>
      <c r="G20" s="259">
        <f>IF(H19&gt;0,ROUND(E20-(E20*H19),0),0)</f>
        <v>0</v>
      </c>
    </row>
    <row r="21" spans="1:7" ht="15.75">
      <c r="A21" s="65"/>
      <c r="B21" s="103" t="s">
        <v>309</v>
      </c>
      <c r="C21" s="82" t="s">
        <v>101</v>
      </c>
      <c r="D21" s="169"/>
      <c r="E21" s="169"/>
      <c r="G21" s="259">
        <f>IF(H19&gt;0,ROUND(E21-(E21*H19),0),0)</f>
        <v>0</v>
      </c>
    </row>
    <row r="22" spans="1:7" ht="15.75">
      <c r="A22" s="65"/>
      <c r="B22" s="103" t="s">
        <v>773</v>
      </c>
      <c r="C22" s="82" t="s">
        <v>774</v>
      </c>
      <c r="D22" s="169"/>
      <c r="E22" s="169"/>
      <c r="G22" s="259">
        <f>IF(H19&gt;0,ROUND(E22-(E22*H19),0),0)</f>
        <v>0</v>
      </c>
    </row>
    <row r="23" spans="1:7" ht="15.75">
      <c r="A23" s="65"/>
      <c r="B23" s="103" t="s">
        <v>240</v>
      </c>
      <c r="C23" s="170" t="s">
        <v>226</v>
      </c>
      <c r="D23" s="169">
        <v>66544</v>
      </c>
      <c r="E23" s="169">
        <v>55396</v>
      </c>
      <c r="G23" s="259">
        <f>IF(H19&gt;0,ROUND(E23-(E23*H19),0),0)</f>
        <v>0</v>
      </c>
    </row>
    <row r="24" spans="1:7" ht="15.75">
      <c r="A24" s="65"/>
      <c r="B24" s="103" t="s">
        <v>318</v>
      </c>
      <c r="C24" s="87" t="s">
        <v>319</v>
      </c>
      <c r="D24" s="169"/>
      <c r="E24" s="169"/>
      <c r="G24" s="259">
        <f>IF(H19&gt;0,ROUND(E24-(E24*H19),0),0)</f>
        <v>0</v>
      </c>
    </row>
    <row r="25" spans="1:7" ht="15.75">
      <c r="A25" s="65"/>
      <c r="B25" s="103" t="s">
        <v>178</v>
      </c>
      <c r="C25" s="87" t="s">
        <v>179</v>
      </c>
      <c r="D25" s="169"/>
      <c r="E25" s="169"/>
      <c r="G25" s="259">
        <f>IF(H19&gt;0,ROUND(E25-(E25*H19),0),0)</f>
        <v>0</v>
      </c>
    </row>
    <row r="26" spans="1:7" ht="15.75">
      <c r="A26" s="65"/>
      <c r="B26" s="205" t="s">
        <v>379</v>
      </c>
      <c r="C26" s="87" t="s">
        <v>380</v>
      </c>
      <c r="D26" s="169">
        <v>4500</v>
      </c>
      <c r="E26" s="169">
        <v>4036</v>
      </c>
      <c r="G26" s="259">
        <f>IF(H19&gt;0,ROUND(E26-(E26*H19),0),0)</f>
        <v>0</v>
      </c>
    </row>
    <row r="27" spans="1:7" ht="15.75">
      <c r="A27" s="65"/>
      <c r="B27" s="171" t="s">
        <v>940</v>
      </c>
      <c r="C27" s="485" t="s">
        <v>774</v>
      </c>
      <c r="D27" s="169">
        <v>4200</v>
      </c>
      <c r="E27" s="169">
        <v>3844</v>
      </c>
      <c r="G27" s="259">
        <f>IF(H19&gt;0,ROUND(E27-(E27*H19),0),0)</f>
        <v>0</v>
      </c>
    </row>
    <row r="28" spans="1:7" ht="15.75">
      <c r="A28" s="65"/>
      <c r="B28" s="171"/>
      <c r="C28" s="485"/>
      <c r="D28" s="169"/>
      <c r="E28" s="169"/>
      <c r="G28" s="259">
        <f>IF(H19&gt;0,ROUND(E28-(E28*H19),0),0)</f>
        <v>0</v>
      </c>
    </row>
    <row r="29" spans="1:7" ht="15.75">
      <c r="A29" s="65"/>
      <c r="B29" s="171"/>
      <c r="C29" s="485"/>
      <c r="D29" s="169"/>
      <c r="E29" s="169"/>
      <c r="G29" s="259">
        <f>IF(H19&gt;0,ROUND(E29-(E29*H19),0),0)</f>
        <v>0</v>
      </c>
    </row>
    <row r="30" spans="1:8" ht="15.75">
      <c r="A30" s="65"/>
      <c r="B30" s="171"/>
      <c r="C30" s="485"/>
      <c r="D30" s="169"/>
      <c r="E30" s="169"/>
      <c r="G30" s="259">
        <f>IF(H19&gt;0,ROUND(E30-(E30*H19),0),0)</f>
        <v>0</v>
      </c>
      <c r="H30" s="588"/>
    </row>
    <row r="31" spans="1:8" ht="15.75">
      <c r="A31" s="65"/>
      <c r="B31" s="171"/>
      <c r="C31" s="485"/>
      <c r="D31" s="169"/>
      <c r="E31" s="169"/>
      <c r="G31" s="259">
        <f>IF(H19&gt;0,ROUND(E31-(E31*H19),0),0)</f>
        <v>0</v>
      </c>
      <c r="H31" s="588"/>
    </row>
    <row r="32" spans="1:5" ht="15.75">
      <c r="A32" s="172" t="str">
        <f>CONCATENATE("Total Ad Valorem Tax for ",D9-1,"")</f>
        <v>Total Ad Valorem Tax for 2012</v>
      </c>
      <c r="B32" s="77"/>
      <c r="C32" s="173"/>
      <c r="D32" s="174"/>
      <c r="E32" s="175">
        <f>SUM(E20:E31)</f>
        <v>73091</v>
      </c>
    </row>
    <row r="33" spans="1:5" ht="15.75">
      <c r="A33" s="70"/>
      <c r="B33" s="70"/>
      <c r="C33" s="70"/>
      <c r="D33" s="176"/>
      <c r="E33" s="177"/>
    </row>
    <row r="34" spans="1:5" ht="15.75">
      <c r="A34" s="65" t="s">
        <v>90</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2012</v>
      </c>
      <c r="B39" s="77"/>
      <c r="C39" s="77"/>
      <c r="D39" s="180">
        <f>SUM(D20:D31,D35:D38)</f>
        <v>93344</v>
      </c>
      <c r="E39" s="65"/>
    </row>
    <row r="40" spans="1:5" ht="15.75">
      <c r="A40" s="106" t="s">
        <v>346</v>
      </c>
      <c r="B40" s="70"/>
      <c r="C40" s="70"/>
      <c r="D40" s="65"/>
      <c r="E40" s="65"/>
    </row>
    <row r="41" spans="1:5" ht="15.75">
      <c r="A41" s="352">
        <v>1</v>
      </c>
      <c r="B41" s="178"/>
      <c r="C41" s="70"/>
      <c r="D41" s="65"/>
      <c r="E41" s="65"/>
    </row>
    <row r="42" spans="1:5" ht="15.75">
      <c r="A42" s="352">
        <v>2</v>
      </c>
      <c r="B42" s="178"/>
      <c r="C42" s="70"/>
      <c r="D42" s="65"/>
      <c r="E42" s="65"/>
    </row>
    <row r="43" spans="1:5" ht="15.75">
      <c r="A43" s="352">
        <v>3</v>
      </c>
      <c r="B43" s="178"/>
      <c r="C43" s="70"/>
      <c r="D43" s="65"/>
      <c r="E43" s="65"/>
    </row>
    <row r="44" spans="1:5" ht="15.75">
      <c r="A44" s="352">
        <v>4</v>
      </c>
      <c r="B44" s="178"/>
      <c r="C44" s="70"/>
      <c r="D44" s="65"/>
      <c r="E44" s="65"/>
    </row>
    <row r="45" spans="1:5" ht="15.75">
      <c r="A45" s="352">
        <v>5</v>
      </c>
      <c r="B45" s="178"/>
      <c r="C45" s="70"/>
      <c r="D45" s="65"/>
      <c r="E45" s="65"/>
    </row>
    <row r="46" spans="1:5" ht="15.75">
      <c r="A46" s="65"/>
      <c r="B46" s="65"/>
      <c r="C46" s="65"/>
      <c r="D46" s="65"/>
      <c r="E46" s="65"/>
    </row>
    <row r="47" spans="1:5" ht="15.75" customHeight="1">
      <c r="A47" s="161" t="s">
        <v>95</v>
      </c>
      <c r="B47" s="162"/>
      <c r="C47" s="65"/>
      <c r="D47" s="748" t="str">
        <f>CONCATENATE("",D9-3," Tax Rate         (",D9-2," Column)")</f>
        <v>2010 Tax Rate         (2011 Column)</v>
      </c>
      <c r="E47" s="65"/>
    </row>
    <row r="48" spans="1:5" ht="15.75">
      <c r="A48" s="164" t="str">
        <f>CONCATENATE("the ",D9-1," Budget, Budget Summary Page:")</f>
        <v>the 2012 Budget, Budget Summary Page:</v>
      </c>
      <c r="B48" s="181"/>
      <c r="C48" s="65"/>
      <c r="D48" s="749"/>
      <c r="E48" s="65"/>
    </row>
    <row r="49" spans="1:5" ht="15.75">
      <c r="A49" s="65"/>
      <c r="B49" s="89" t="str">
        <f>B20</f>
        <v>General</v>
      </c>
      <c r="C49" s="65"/>
      <c r="D49" s="182">
        <v>2.448</v>
      </c>
      <c r="E49" s="65"/>
    </row>
    <row r="50" spans="1:5" ht="15.75">
      <c r="A50" s="65"/>
      <c r="B50" s="89" t="str">
        <f>B21</f>
        <v>Debt Service</v>
      </c>
      <c r="C50" s="65"/>
      <c r="D50" s="183"/>
      <c r="E50" s="65"/>
    </row>
    <row r="51" spans="1:5" ht="15.75">
      <c r="A51" s="65"/>
      <c r="B51" s="89" t="str">
        <f>B22</f>
        <v>Library</v>
      </c>
      <c r="C51" s="65"/>
      <c r="D51" s="183"/>
      <c r="E51" s="65"/>
    </row>
    <row r="52" spans="1:5" ht="15.75">
      <c r="A52" s="65"/>
      <c r="B52" s="89" t="str">
        <f aca="true" t="shared" si="0" ref="B52:B59">B23</f>
        <v>Road</v>
      </c>
      <c r="C52" s="65"/>
      <c r="D52" s="183">
        <v>11.847</v>
      </c>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t="str">
        <f t="shared" si="0"/>
        <v>Fire Protection</v>
      </c>
      <c r="C55" s="65"/>
      <c r="D55" s="183">
        <v>0.973</v>
      </c>
      <c r="E55" s="65"/>
    </row>
    <row r="56" spans="1:5" ht="15.75">
      <c r="A56" s="65"/>
      <c r="B56" s="103" t="str">
        <f t="shared" si="0"/>
        <v>Cemetery</v>
      </c>
      <c r="C56" s="65"/>
      <c r="D56" s="183">
        <v>0.915</v>
      </c>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2010 Tax Levy Rate</v>
      </c>
      <c r="B61" s="184"/>
      <c r="C61" s="88"/>
      <c r="D61" s="185">
        <f>SUM(D49:D60)</f>
        <v>16.183</v>
      </c>
      <c r="E61" s="65"/>
    </row>
    <row r="62" spans="1:5" ht="16.5" thickTop="1">
      <c r="A62" s="65"/>
      <c r="B62" s="65"/>
      <c r="C62" s="65"/>
      <c r="D62" s="65"/>
      <c r="E62" s="65"/>
    </row>
    <row r="63" spans="1:5" ht="15.75">
      <c r="A63" s="186" t="str">
        <f>CONCATENATE("Total Tax Levy (",D9-2," budget column)")</f>
        <v>Total Tax Levy (2011 budget column)</v>
      </c>
      <c r="B63" s="162"/>
      <c r="C63" s="70"/>
      <c r="D63" s="70"/>
      <c r="E63" s="187">
        <v>71657</v>
      </c>
    </row>
    <row r="64" spans="1:5" ht="15.75">
      <c r="A64" s="186" t="str">
        <f>CONCATENATE("Assessed Valuation (",D9-2," budget column):")</f>
        <v>Assessed Valuation (2011 budget column):</v>
      </c>
      <c r="B64" s="162"/>
      <c r="C64" s="65"/>
      <c r="D64" s="65"/>
      <c r="E64" s="187">
        <v>5399904</v>
      </c>
    </row>
    <row r="65" spans="1:5" ht="15.75">
      <c r="A65" s="65"/>
      <c r="B65" s="65"/>
      <c r="C65" s="65"/>
      <c r="D65" s="65"/>
      <c r="E65" s="188"/>
    </row>
    <row r="66" spans="1:5" ht="15.75">
      <c r="A66" s="189" t="s">
        <v>164</v>
      </c>
      <c r="B66" s="189"/>
      <c r="C66" s="190"/>
      <c r="D66" s="191">
        <f>D9-3</f>
        <v>2010</v>
      </c>
      <c r="E66" s="191">
        <f>D9-2</f>
        <v>2011</v>
      </c>
    </row>
    <row r="67" spans="1:5" ht="15.75">
      <c r="A67" s="189" t="s">
        <v>112</v>
      </c>
      <c r="B67" s="189"/>
      <c r="C67" s="192"/>
      <c r="D67" s="179"/>
      <c r="E67" s="179"/>
    </row>
    <row r="68" spans="1:5" ht="15.75">
      <c r="A68" s="193" t="s">
        <v>160</v>
      </c>
      <c r="B68" s="193"/>
      <c r="C68" s="194"/>
      <c r="D68" s="179"/>
      <c r="E68" s="179"/>
    </row>
    <row r="69" spans="1:5" ht="15.75">
      <c r="A69" s="193" t="s">
        <v>113</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2" t="str">
        <f>inputPrYr!D3</f>
        <v>Morrill Township</v>
      </c>
      <c r="B1" s="65"/>
      <c r="C1" s="65"/>
      <c r="D1" s="65"/>
      <c r="E1" s="65"/>
      <c r="F1" s="65">
        <f>inputPrYr!D9</f>
        <v>2013</v>
      </c>
    </row>
    <row r="2" spans="1:6" ht="15.75">
      <c r="A2" s="65"/>
      <c r="B2" s="65"/>
      <c r="C2" s="65"/>
      <c r="D2" s="65"/>
      <c r="E2" s="65"/>
      <c r="F2" s="65"/>
    </row>
    <row r="3" spans="1:6" ht="15.75">
      <c r="A3" s="65"/>
      <c r="B3" s="783" t="str">
        <f>CONCATENATE("",F1," Neighborhood Revitalization Rebate")</f>
        <v>2013 Neighborhood Revitalization Rebate</v>
      </c>
      <c r="C3" s="791"/>
      <c r="D3" s="791"/>
      <c r="E3" s="791"/>
      <c r="F3" s="65"/>
    </row>
    <row r="4" spans="1:6" ht="15.75">
      <c r="A4" s="65"/>
      <c r="B4" s="65"/>
      <c r="C4" s="65"/>
      <c r="D4" s="65"/>
      <c r="E4" s="65"/>
      <c r="F4" s="65"/>
    </row>
    <row r="5" spans="1:6" ht="51" customHeight="1">
      <c r="A5" s="65"/>
      <c r="B5" s="337" t="str">
        <f>CONCATENATE("Budgeted Funds                            for ",F1,"")</f>
        <v>Budgeted Funds                            for 2013</v>
      </c>
      <c r="C5" s="337" t="str">
        <f>CONCATENATE("",F1-1," Ad Valorem before Rebate**")</f>
        <v>2012 Ad Valorem before Rebate**</v>
      </c>
      <c r="D5" s="338" t="str">
        <f>CONCATENATE("",F1-1," Mil Rate before Rebate")</f>
        <v>2012 Mil Rate before Rebate</v>
      </c>
      <c r="E5" s="339" t="str">
        <f>CONCATENATE("Estimate ",F1," NR Rebate")</f>
        <v>Estimate 2013 NR Rebate</v>
      </c>
      <c r="F5" s="190"/>
    </row>
    <row r="6" spans="1:6" ht="15.75">
      <c r="A6" s="65"/>
      <c r="B6" s="103" t="str">
        <f>IF(inputPrYr!B20&gt;0,inputPrYr!B20,"")</f>
        <v>General</v>
      </c>
      <c r="C6" s="340"/>
      <c r="D6" s="341">
        <f aca="true" t="shared" si="0" ref="D6:D17">IF(C6&gt;0,C6/$D$23,"")</f>
      </c>
      <c r="E6" s="336">
        <f>IF(C6&gt;0,ROUND(D6*$D$27,0),"")</f>
      </c>
      <c r="F6" s="190"/>
    </row>
    <row r="7" spans="1:6" ht="15.75">
      <c r="A7" s="65"/>
      <c r="B7" s="103" t="str">
        <f>IF(inputPrYr!B21&gt;0,inputPrYr!B21,"")</f>
        <v>Debt Service</v>
      </c>
      <c r="C7" s="340"/>
      <c r="D7" s="341">
        <f t="shared" si="0"/>
      </c>
      <c r="E7" s="336">
        <f aca="true" t="shared" si="1" ref="E7:E17">IF(C7&gt;0,ROUND(D7*$D$27,0),"")</f>
      </c>
      <c r="F7" s="190"/>
    </row>
    <row r="8" spans="1:6" ht="15.75">
      <c r="A8" s="65"/>
      <c r="B8" s="103" t="str">
        <f>IF(inputPrYr!B22&gt;0,inputPrYr!B22,"")</f>
        <v>Library</v>
      </c>
      <c r="C8" s="340"/>
      <c r="D8" s="341">
        <f>IF(C8&gt;0,C8/$D$23,"")</f>
      </c>
      <c r="E8" s="336">
        <f>IF(C8&gt;0,ROUND(D8*$D$27,0),"")</f>
      </c>
      <c r="F8" s="190"/>
    </row>
    <row r="9" spans="1:6" ht="15.75">
      <c r="A9" s="65"/>
      <c r="B9" s="103" t="str">
        <f>IF(inputPrYr!B23&gt;0,inputPrYr!B23,"")</f>
        <v>Road</v>
      </c>
      <c r="C9" s="340"/>
      <c r="D9" s="341">
        <f t="shared" si="0"/>
      </c>
      <c r="E9" s="336">
        <f t="shared" si="1"/>
      </c>
      <c r="F9" s="190"/>
    </row>
    <row r="10" spans="1:6" ht="15.75">
      <c r="A10" s="65"/>
      <c r="B10" s="103" t="str">
        <f>IF(inputPrYr!B24&gt;0,inputPrYr!B24,"")</f>
        <v>Special Road</v>
      </c>
      <c r="C10" s="340"/>
      <c r="D10" s="341">
        <f t="shared" si="0"/>
      </c>
      <c r="E10" s="336">
        <f t="shared" si="1"/>
      </c>
      <c r="F10" s="190"/>
    </row>
    <row r="11" spans="1:6" ht="15.75">
      <c r="A11" s="65"/>
      <c r="B11" s="103" t="str">
        <f>IF(inputPrYr!B25&gt;0,inputPrYr!B25,"")</f>
        <v>Noxious Weed</v>
      </c>
      <c r="C11" s="340"/>
      <c r="D11" s="341">
        <f t="shared" si="0"/>
      </c>
      <c r="E11" s="336">
        <f t="shared" si="1"/>
      </c>
      <c r="F11" s="190"/>
    </row>
    <row r="12" spans="1:6" ht="15.75">
      <c r="A12" s="65"/>
      <c r="B12" s="103" t="str">
        <f>IF(inputPrYr!B26&gt;0,inputPrYr!B26,"")</f>
        <v>Fire Protection</v>
      </c>
      <c r="C12" s="340"/>
      <c r="D12" s="341">
        <f t="shared" si="0"/>
      </c>
      <c r="E12" s="336">
        <f t="shared" si="1"/>
      </c>
      <c r="F12" s="190"/>
    </row>
    <row r="13" spans="1:6" ht="15.75">
      <c r="A13" s="65"/>
      <c r="B13" s="103" t="str">
        <f>IF(inputPrYr!B27&gt;0,inputPrYr!B27,"")</f>
        <v>Cemetery</v>
      </c>
      <c r="C13" s="342"/>
      <c r="D13" s="341">
        <f t="shared" si="0"/>
      </c>
      <c r="E13" s="336">
        <f t="shared" si="1"/>
      </c>
      <c r="F13" s="190"/>
    </row>
    <row r="14" spans="1:6" ht="15.75">
      <c r="A14" s="65"/>
      <c r="B14" s="103">
        <f>IF(inputPrYr!B28&gt;0,inputPrYr!B28,"")</f>
      </c>
      <c r="C14" s="342"/>
      <c r="D14" s="341">
        <f t="shared" si="0"/>
      </c>
      <c r="E14" s="336">
        <f t="shared" si="1"/>
      </c>
      <c r="F14" s="190"/>
    </row>
    <row r="15" spans="1:6" ht="15.75">
      <c r="A15" s="65"/>
      <c r="B15" s="103">
        <f>IF(inputPrYr!B29&gt;0,inputPrYr!B29,"")</f>
      </c>
      <c r="C15" s="342"/>
      <c r="D15" s="341">
        <f t="shared" si="0"/>
      </c>
      <c r="E15" s="336">
        <f t="shared" si="1"/>
      </c>
      <c r="F15" s="190"/>
    </row>
    <row r="16" spans="1:6" ht="15.75">
      <c r="A16" s="65"/>
      <c r="B16" s="103">
        <f>IF(inputPrYr!B30&gt;0,inputPrYr!B30,"")</f>
      </c>
      <c r="C16" s="342"/>
      <c r="D16" s="341">
        <f t="shared" si="0"/>
      </c>
      <c r="E16" s="336">
        <f t="shared" si="1"/>
      </c>
      <c r="F16" s="190"/>
    </row>
    <row r="17" spans="1:6" ht="15.75">
      <c r="A17" s="65"/>
      <c r="B17" s="103">
        <f>IF(inputPrYr!B31&gt;0,inputPrYr!B31,"")</f>
      </c>
      <c r="C17" s="342"/>
      <c r="D17" s="341">
        <f t="shared" si="0"/>
      </c>
      <c r="E17" s="336">
        <f t="shared" si="1"/>
      </c>
      <c r="F17" s="190"/>
    </row>
    <row r="18" spans="1:6" ht="16.5" thickBot="1">
      <c r="A18" s="65"/>
      <c r="B18" s="205" t="s">
        <v>227</v>
      </c>
      <c r="C18" s="343">
        <f>SUM(C6:C17)</f>
        <v>0</v>
      </c>
      <c r="D18" s="344">
        <f>SUM(D6:D17)</f>
        <v>0</v>
      </c>
      <c r="E18" s="343">
        <f>SUM(E6:E17)</f>
        <v>0</v>
      </c>
      <c r="F18" s="190"/>
    </row>
    <row r="19" spans="1:6" ht="16.5" thickTop="1">
      <c r="A19" s="65"/>
      <c r="B19" s="65"/>
      <c r="C19" s="65"/>
      <c r="D19" s="65"/>
      <c r="E19" s="65"/>
      <c r="F19" s="190"/>
    </row>
    <row r="20" spans="1:6" ht="15.75">
      <c r="A20" s="65"/>
      <c r="B20" s="65"/>
      <c r="C20" s="65"/>
      <c r="D20" s="65"/>
      <c r="E20" s="65"/>
      <c r="F20" s="190"/>
    </row>
    <row r="21" spans="1:6" ht="15.75">
      <c r="A21" s="850" t="str">
        <f>CONCATENATE("",F1-1," July 1 Valuation:")</f>
        <v>2012 July 1 Valuation:</v>
      </c>
      <c r="B21" s="849"/>
      <c r="C21" s="850"/>
      <c r="D21" s="345">
        <f>inputOth!E11</f>
        <v>6192038</v>
      </c>
      <c r="E21" s="65"/>
      <c r="F21" s="190"/>
    </row>
    <row r="22" spans="1:6" ht="15.75">
      <c r="A22" s="65"/>
      <c r="B22" s="65"/>
      <c r="C22" s="65"/>
      <c r="D22" s="65"/>
      <c r="E22" s="65"/>
      <c r="F22" s="190"/>
    </row>
    <row r="23" spans="1:6" ht="15.75">
      <c r="A23" s="65"/>
      <c r="B23" s="850" t="s">
        <v>374</v>
      </c>
      <c r="C23" s="850"/>
      <c r="D23" s="346">
        <f>IF(D21&gt;0,(D21*0.001),"")</f>
        <v>6192.0380000000005</v>
      </c>
      <c r="E23" s="65"/>
      <c r="F23" s="190"/>
    </row>
    <row r="24" spans="1:6" ht="15.75">
      <c r="A24" s="65"/>
      <c r="B24" s="115"/>
      <c r="C24" s="115"/>
      <c r="D24" s="347"/>
      <c r="E24" s="65"/>
      <c r="F24" s="190"/>
    </row>
    <row r="25" spans="1:6" ht="15.75">
      <c r="A25" s="848" t="s">
        <v>375</v>
      </c>
      <c r="B25" s="779"/>
      <c r="C25" s="779"/>
      <c r="D25" s="348">
        <f>inputOth!E33</f>
        <v>0</v>
      </c>
      <c r="E25" s="177"/>
      <c r="F25" s="177"/>
    </row>
    <row r="26" spans="1:6" ht="15.75">
      <c r="A26" s="177"/>
      <c r="B26" s="177"/>
      <c r="C26" s="177"/>
      <c r="D26" s="349"/>
      <c r="E26" s="177"/>
      <c r="F26" s="177"/>
    </row>
    <row r="27" spans="1:6" ht="15.75">
      <c r="A27" s="177"/>
      <c r="B27" s="848" t="s">
        <v>376</v>
      </c>
      <c r="C27" s="849"/>
      <c r="D27" s="350">
        <f>IF(D25&gt;0,(D25*0.001),"")</f>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2013 Budget Summary page.  See instructions tab #12 for completing</v>
      </c>
      <c r="B31" s="177"/>
      <c r="C31" s="177"/>
      <c r="D31" s="177"/>
      <c r="E31" s="177"/>
      <c r="F31" s="177"/>
    </row>
    <row r="32" spans="1:6" ht="15.75">
      <c r="A32" s="30" t="s">
        <v>617</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269</v>
      </c>
      <c r="C40" s="151"/>
      <c r="D40" s="177"/>
      <c r="E40" s="177"/>
      <c r="F40" s="177"/>
    </row>
    <row r="41" spans="1:6" ht="15.75">
      <c r="A41" s="190"/>
      <c r="B41" s="65"/>
      <c r="C41" s="65"/>
      <c r="D41" s="351"/>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1" t="s">
        <v>77</v>
      </c>
      <c r="B1" s="851"/>
      <c r="C1" s="851"/>
      <c r="D1" s="851"/>
      <c r="E1" s="851"/>
      <c r="F1" s="851"/>
      <c r="G1" s="851"/>
    </row>
    <row r="2" ht="15.75">
      <c r="A2" s="21"/>
    </row>
    <row r="3" spans="1:7" ht="15.75">
      <c r="A3" s="852" t="s">
        <v>78</v>
      </c>
      <c r="B3" s="852"/>
      <c r="C3" s="852"/>
      <c r="D3" s="852"/>
      <c r="E3" s="852"/>
      <c r="F3" s="852"/>
      <c r="G3" s="852"/>
    </row>
    <row r="4" ht="15.75">
      <c r="A4" s="22"/>
    </row>
    <row r="5" ht="15.75">
      <c r="A5" s="22"/>
    </row>
    <row r="6" spans="1:9" ht="15.75">
      <c r="A6" s="28" t="str">
        <f>CONCATENATE("A resolution expressing the property taxation policy of the Board of ",(inputPrYr!D3)," ")</f>
        <v>A resolution expressing the property taxation policy of the Board of Morrill Township </v>
      </c>
      <c r="I6">
        <f>CONCATENATE(I7)</f>
      </c>
    </row>
    <row r="7" spans="1:7" ht="15.75">
      <c r="A7" s="853" t="str">
        <f>CONCATENATE("   with respect to financing the ",inputPrYr!D9," annual budget for ",(inputPrYr!D3)," , ",(inputPrYr!D4)," , Kansas.")</f>
        <v>   with respect to financing the 2013 annual budget for Morrill Township , Brown County , Kansas.</v>
      </c>
      <c r="B7" s="760"/>
      <c r="C7" s="760"/>
      <c r="D7" s="760"/>
      <c r="E7" s="760"/>
      <c r="F7" s="760"/>
      <c r="G7" s="760"/>
    </row>
    <row r="8" spans="1:7" ht="15.75">
      <c r="A8" s="760"/>
      <c r="B8" s="760"/>
      <c r="C8" s="760"/>
      <c r="D8" s="760"/>
      <c r="E8" s="760"/>
      <c r="F8" s="760"/>
      <c r="G8" s="760"/>
    </row>
    <row r="9" ht="15.75">
      <c r="A9" s="21"/>
    </row>
    <row r="10" ht="15.75">
      <c r="A10" s="29" t="s">
        <v>79</v>
      </c>
    </row>
    <row r="11" ht="15.75">
      <c r="A11" s="27" t="str">
        <f>CONCATENATE("to finance the ",inputPrYr!D9," ",(inputPrYr!D3)," budget exceed the amount levied to finance the ",inputPrYr!D9-1,"")</f>
        <v>to finance the 2013 Morrill Township budget exceed the amount levied to finance the 2012</v>
      </c>
    </row>
    <row r="12" spans="1:7" ht="15.75">
      <c r="A12" s="856" t="str">
        <f>CONCATENATE((inputPrYr!D3)," Township budget, except with regard to revenue produced and attributable to the taxation of 1) new improvements to real property; 2) increased personal property valuation, other than increased")</f>
        <v>Morrill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56" t="s">
        <v>84</v>
      </c>
      <c r="B14" s="760"/>
      <c r="C14" s="760"/>
      <c r="D14" s="760"/>
      <c r="E14" s="760"/>
      <c r="F14" s="760"/>
      <c r="G14" s="760"/>
    </row>
    <row r="15" spans="1:7" ht="15.75">
      <c r="A15" s="760"/>
      <c r="B15" s="760"/>
      <c r="C15" s="760"/>
      <c r="D15" s="760"/>
      <c r="E15" s="760"/>
      <c r="F15" s="760"/>
      <c r="G15" s="760"/>
    </row>
    <row r="16" spans="1:7" ht="15.75">
      <c r="A16" s="857"/>
      <c r="B16" s="857"/>
      <c r="C16" s="857"/>
      <c r="D16" s="857"/>
      <c r="E16" s="857"/>
      <c r="F16" s="857"/>
      <c r="G16" s="857"/>
    </row>
    <row r="17" ht="15.75">
      <c r="A17" s="22"/>
    </row>
    <row r="18" spans="1:7" ht="15.75">
      <c r="A18" s="854" t="s">
        <v>80</v>
      </c>
      <c r="B18" s="760"/>
      <c r="C18" s="760"/>
      <c r="D18" s="760"/>
      <c r="E18" s="760"/>
      <c r="F18" s="760"/>
      <c r="G18" s="760"/>
    </row>
    <row r="19" spans="1:7" ht="15.75">
      <c r="A19" s="760"/>
      <c r="B19" s="760"/>
      <c r="C19" s="760"/>
      <c r="D19" s="760"/>
      <c r="E19" s="760"/>
      <c r="F19" s="760"/>
      <c r="G19" s="760"/>
    </row>
    <row r="20" ht="15.75">
      <c r="A20" s="22"/>
    </row>
    <row r="21" spans="1:7" ht="15.75">
      <c r="A21" s="854" t="str">
        <f>CONCATENATE("Whereas, ",(inputPrYr!D3)," provides essential services to protect the safety and well being of the citizens of the township; and")</f>
        <v>Whereas, Morrill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81</v>
      </c>
    </row>
    <row r="25" ht="15.75">
      <c r="A25" s="24"/>
    </row>
    <row r="26" spans="1:7" ht="15.75">
      <c r="A26" s="854" t="str">
        <f>CONCATENATE("NOW, THEREFORE, BE IT RESOLVED by the Board of ",(inputPrYr!D3)," of ",(inputPrYr!D4),", Kansas that is our desire to notify the public of increased property taxes to finance the ",inputPrYr!D9," ",(inputPrYr!D3),"  budget as defined above.")</f>
        <v>NOW, THEREFORE, BE IT RESOLVED by the Board of Morrill Township of Brown County, Kansas that is our desire to notify the public of increased property taxes to finance the 2013 Morrill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59" t="str">
        <f>CONCATENATE("Adopted this _________ day of ___________, ",inputPrYr!D9-1," by the ",(inputPrYr!D3)," Board, ",(inputPrYr!D4),", Kansas.")</f>
        <v>Adopted this _________ day of ___________, 2012 by the Morrill Township Board, Brown County, Kansas.</v>
      </c>
      <c r="B30" s="760"/>
      <c r="C30" s="760"/>
      <c r="D30" s="760"/>
      <c r="E30" s="760"/>
      <c r="F30" s="760"/>
      <c r="G30" s="760"/>
    </row>
    <row r="31" spans="1:7" ht="15.75">
      <c r="A31" s="760"/>
      <c r="B31" s="760"/>
      <c r="C31" s="760"/>
      <c r="D31" s="760"/>
      <c r="E31" s="760"/>
      <c r="F31" s="760"/>
      <c r="G31" s="760"/>
    </row>
    <row r="32" ht="15.75">
      <c r="A32" s="24"/>
    </row>
    <row r="33" spans="4:7" ht="15.75">
      <c r="D33" s="855" t="str">
        <f>CONCATENATE((inputPrYr!D3)," Board")</f>
        <v>Morrill Township Board</v>
      </c>
      <c r="E33" s="855"/>
      <c r="F33" s="855"/>
      <c r="G33" s="855"/>
    </row>
    <row r="35" spans="4:7" ht="15.75">
      <c r="D35" s="858" t="s">
        <v>82</v>
      </c>
      <c r="E35" s="858"/>
      <c r="F35" s="858"/>
      <c r="G35" s="858"/>
    </row>
    <row r="36" spans="1:7" ht="15.75">
      <c r="A36" s="25"/>
      <c r="D36" s="858" t="s">
        <v>86</v>
      </c>
      <c r="E36" s="858"/>
      <c r="F36" s="858"/>
      <c r="G36" s="858"/>
    </row>
    <row r="37" spans="4:7" ht="15.75">
      <c r="D37" s="858"/>
      <c r="E37" s="858"/>
      <c r="F37" s="858"/>
      <c r="G37" s="858"/>
    </row>
    <row r="38" spans="4:7" ht="15.75">
      <c r="D38" s="858" t="s">
        <v>82</v>
      </c>
      <c r="E38" s="858"/>
      <c r="F38" s="858"/>
      <c r="G38" s="858"/>
    </row>
    <row r="39" spans="1:7" ht="15.75">
      <c r="A39" s="24"/>
      <c r="D39" s="858" t="s">
        <v>87</v>
      </c>
      <c r="E39" s="858"/>
      <c r="F39" s="858"/>
      <c r="G39" s="858"/>
    </row>
    <row r="40" spans="4:7" ht="15.75">
      <c r="D40" s="858"/>
      <c r="E40" s="858"/>
      <c r="F40" s="858"/>
      <c r="G40" s="858"/>
    </row>
    <row r="41" spans="4:7" ht="15.75">
      <c r="D41" s="858" t="s">
        <v>85</v>
      </c>
      <c r="E41" s="858"/>
      <c r="F41" s="858"/>
      <c r="G41" s="858"/>
    </row>
    <row r="42" spans="1:7" ht="15.75">
      <c r="A42" s="24"/>
      <c r="D42" s="858" t="s">
        <v>88</v>
      </c>
      <c r="E42" s="858"/>
      <c r="F42" s="858"/>
      <c r="G42" s="858"/>
    </row>
    <row r="43" ht="15.75">
      <c r="A43" s="26"/>
    </row>
    <row r="44" ht="15.75">
      <c r="A44" s="26"/>
    </row>
    <row r="45" ht="15.75">
      <c r="A45" s="26" t="s">
        <v>83</v>
      </c>
    </row>
    <row r="50" spans="3:4" ht="15.75">
      <c r="C50" s="32" t="s">
        <v>269</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6" t="s">
        <v>408</v>
      </c>
      <c r="B3" s="376"/>
      <c r="C3" s="376"/>
      <c r="D3" s="376"/>
      <c r="E3" s="376"/>
      <c r="F3" s="376"/>
      <c r="G3" s="376"/>
      <c r="H3" s="376"/>
      <c r="I3" s="376"/>
      <c r="J3" s="376"/>
      <c r="K3" s="376"/>
      <c r="L3" s="376"/>
    </row>
    <row r="5" ht="15.75">
      <c r="A5" s="377" t="s">
        <v>409</v>
      </c>
    </row>
    <row r="6" ht="15.75">
      <c r="A6" s="377" t="str">
        <f>CONCATENATE(inputPrYr!D9-2," 'total expenditures' exceed your ",inputPrYr!D9-2," 'budget authority.'")</f>
        <v>2011 'total expenditures' exceed your 2011 'budget authority.'</v>
      </c>
    </row>
    <row r="7" ht="15.75">
      <c r="A7" s="377"/>
    </row>
    <row r="8" ht="15.75">
      <c r="A8" s="377" t="s">
        <v>410</v>
      </c>
    </row>
    <row r="9" ht="15.75">
      <c r="A9" s="377" t="s">
        <v>411</v>
      </c>
    </row>
    <row r="10" ht="15.75">
      <c r="A10" s="377" t="s">
        <v>412</v>
      </c>
    </row>
    <row r="11" ht="15.75">
      <c r="A11" s="377"/>
    </row>
    <row r="12" ht="15.75">
      <c r="A12" s="377"/>
    </row>
    <row r="13" ht="15.75">
      <c r="A13" s="378" t="s">
        <v>413</v>
      </c>
    </row>
    <row r="15" ht="15.75">
      <c r="A15" s="377" t="s">
        <v>414</v>
      </c>
    </row>
    <row r="16" ht="15.75">
      <c r="A16" s="377" t="str">
        <f>CONCATENATE("(i.e. an audit has not been completed, or the ",inputPrYr!D9," adopted")</f>
        <v>(i.e. an audit has not been completed, or the 2013 adopted</v>
      </c>
    </row>
    <row r="17" ht="15.75">
      <c r="A17" s="377" t="s">
        <v>415</v>
      </c>
    </row>
    <row r="18" ht="15.75">
      <c r="A18" s="377" t="s">
        <v>416</v>
      </c>
    </row>
    <row r="19" ht="15.75">
      <c r="A19" s="377" t="s">
        <v>417</v>
      </c>
    </row>
    <row r="21" ht="15.75">
      <c r="A21" s="378" t="s">
        <v>418</v>
      </c>
    </row>
    <row r="22" ht="15.75">
      <c r="A22" s="378"/>
    </row>
    <row r="23" ht="15.75">
      <c r="A23" s="377" t="s">
        <v>419</v>
      </c>
    </row>
    <row r="24" ht="15.75">
      <c r="A24" s="377" t="s">
        <v>420</v>
      </c>
    </row>
    <row r="25" ht="15.75">
      <c r="A25" s="377" t="str">
        <f>CONCATENATE("particular fund.  If your ",inputPrYr!D9-2," budget was amended, did you")</f>
        <v>particular fund.  If your 2011 budget was amended, did you</v>
      </c>
    </row>
    <row r="26" ht="15.75">
      <c r="A26" s="377" t="s">
        <v>421</v>
      </c>
    </row>
    <row r="27" ht="15.75">
      <c r="A27" s="377"/>
    </row>
    <row r="28" ht="15.75">
      <c r="A28" s="377" t="str">
        <f>CONCATENATE("Next, look to see if any of your ",inputPrYr!D9-2," expenditures can be")</f>
        <v>Next, look to see if any of your 2011 expenditures can be</v>
      </c>
    </row>
    <row r="29" ht="15.75">
      <c r="A29" s="377" t="s">
        <v>422</v>
      </c>
    </row>
    <row r="30" ht="15.75">
      <c r="A30" s="377" t="s">
        <v>423</v>
      </c>
    </row>
    <row r="31" ht="15.75">
      <c r="A31" s="377" t="s">
        <v>424</v>
      </c>
    </row>
    <row r="32" ht="15.75">
      <c r="A32" s="377"/>
    </row>
    <row r="33" ht="15.75">
      <c r="A33" s="377" t="str">
        <f>CONCATENATE("Additionally, do your ",inputPrYr!D9-2," receipts contain a reimbursement")</f>
        <v>Additionally, do your 2011 receipts contain a reimbursement</v>
      </c>
    </row>
    <row r="34" ht="15.75">
      <c r="A34" s="377" t="s">
        <v>425</v>
      </c>
    </row>
    <row r="35" ht="15.75">
      <c r="A35" s="377" t="s">
        <v>426</v>
      </c>
    </row>
    <row r="36" ht="15.75">
      <c r="A36" s="377"/>
    </row>
    <row r="37" ht="15.75">
      <c r="A37" s="377" t="s">
        <v>427</v>
      </c>
    </row>
    <row r="38" ht="15.75">
      <c r="A38" s="377" t="s">
        <v>428</v>
      </c>
    </row>
    <row r="39" ht="15.75">
      <c r="A39" s="377" t="s">
        <v>429</v>
      </c>
    </row>
    <row r="40" ht="15.75">
      <c r="A40" s="377" t="s">
        <v>430</v>
      </c>
    </row>
    <row r="41" ht="15.75">
      <c r="A41" s="377" t="s">
        <v>431</v>
      </c>
    </row>
    <row r="42" ht="15.75">
      <c r="A42" s="377" t="s">
        <v>432</v>
      </c>
    </row>
    <row r="43" ht="15.75">
      <c r="A43" s="377" t="s">
        <v>433</v>
      </c>
    </row>
    <row r="44" ht="15.75">
      <c r="A44" s="377" t="s">
        <v>434</v>
      </c>
    </row>
    <row r="45" ht="15.75">
      <c r="A45" s="377"/>
    </row>
    <row r="46" ht="15.75">
      <c r="A46" s="377" t="s">
        <v>435</v>
      </c>
    </row>
    <row r="47" ht="15.75">
      <c r="A47" s="377" t="s">
        <v>436</v>
      </c>
    </row>
    <row r="48" ht="15.75">
      <c r="A48" s="377" t="s">
        <v>437</v>
      </c>
    </row>
    <row r="49" ht="15.75">
      <c r="A49" s="377"/>
    </row>
    <row r="50" ht="15.75">
      <c r="A50" s="377" t="s">
        <v>438</v>
      </c>
    </row>
    <row r="51" ht="15.75">
      <c r="A51" s="377" t="s">
        <v>439</v>
      </c>
    </row>
    <row r="52" ht="15.75">
      <c r="A52" s="377" t="s">
        <v>440</v>
      </c>
    </row>
    <row r="53" ht="15.75">
      <c r="A53" s="377"/>
    </row>
    <row r="54" ht="15.75">
      <c r="A54" s="378" t="s">
        <v>441</v>
      </c>
    </row>
    <row r="55" ht="15.75">
      <c r="A55" s="377"/>
    </row>
    <row r="56" ht="15.75">
      <c r="A56" s="377" t="s">
        <v>442</v>
      </c>
    </row>
    <row r="57" ht="15.75">
      <c r="A57" s="377" t="s">
        <v>443</v>
      </c>
    </row>
    <row r="58" ht="15.75">
      <c r="A58" s="377" t="s">
        <v>444</v>
      </c>
    </row>
    <row r="59" ht="15.75">
      <c r="A59" s="377" t="s">
        <v>445</v>
      </c>
    </row>
    <row r="60" ht="15.75">
      <c r="A60" s="377" t="s">
        <v>446</v>
      </c>
    </row>
    <row r="61" ht="15.75">
      <c r="A61" s="377" t="s">
        <v>447</v>
      </c>
    </row>
    <row r="62" ht="15.75">
      <c r="A62" s="377" t="s">
        <v>448</v>
      </c>
    </row>
    <row r="63" ht="15.75">
      <c r="A63" s="377" t="s">
        <v>449</v>
      </c>
    </row>
    <row r="64" ht="15.75">
      <c r="A64" s="377" t="s">
        <v>450</v>
      </c>
    </row>
    <row r="65" ht="15.75">
      <c r="A65" s="377" t="s">
        <v>451</v>
      </c>
    </row>
    <row r="66" ht="15.75">
      <c r="A66" s="377" t="s">
        <v>452</v>
      </c>
    </row>
    <row r="67" ht="15.75">
      <c r="A67" s="377" t="s">
        <v>453</v>
      </c>
    </row>
    <row r="68" ht="15.75">
      <c r="A68" s="377" t="s">
        <v>454</v>
      </c>
    </row>
    <row r="69" ht="15.75">
      <c r="A69" s="377"/>
    </row>
    <row r="70" ht="15.75">
      <c r="A70" s="377" t="s">
        <v>455</v>
      </c>
    </row>
    <row r="71" ht="15.75">
      <c r="A71" s="377" t="s">
        <v>456</v>
      </c>
    </row>
    <row r="72" ht="15.75">
      <c r="A72" s="377" t="s">
        <v>457</v>
      </c>
    </row>
    <row r="73" ht="15.75">
      <c r="A73" s="377"/>
    </row>
    <row r="74" ht="15.75">
      <c r="A74" s="378" t="str">
        <f>CONCATENATE("What if the ",inputPrYr!D9-2," financial records have been closed?")</f>
        <v>What if the 2011 financial records have been closed?</v>
      </c>
    </row>
    <row r="76" ht="15.75">
      <c r="A76" s="377" t="s">
        <v>458</v>
      </c>
    </row>
    <row r="77" ht="15.75">
      <c r="A77" s="377" t="str">
        <f>CONCATENATE("(i.e. an audit for ",inputPrYr!D9-2," has been completed, or the ",inputPrYr!D9)</f>
        <v>(i.e. an audit for 2011 has been completed, or the 2013</v>
      </c>
    </row>
    <row r="78" ht="15.75">
      <c r="A78" s="377" t="s">
        <v>459</v>
      </c>
    </row>
    <row r="79" ht="15.75">
      <c r="A79" s="377" t="s">
        <v>460</v>
      </c>
    </row>
    <row r="80" ht="15.75">
      <c r="A80" s="377"/>
    </row>
    <row r="81" ht="15.75">
      <c r="A81" s="377" t="s">
        <v>461</v>
      </c>
    </row>
    <row r="82" ht="15.75">
      <c r="A82" s="377" t="s">
        <v>462</v>
      </c>
    </row>
    <row r="83" ht="15.75">
      <c r="A83" s="377" t="s">
        <v>463</v>
      </c>
    </row>
    <row r="84" ht="15.75">
      <c r="A84" s="377"/>
    </row>
    <row r="85" ht="15.75">
      <c r="A85" s="377" t="s">
        <v>464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6" t="s">
        <v>465</v>
      </c>
      <c r="B3" s="376"/>
      <c r="C3" s="376"/>
      <c r="D3" s="376"/>
      <c r="E3" s="376"/>
      <c r="F3" s="376"/>
      <c r="G3" s="376"/>
      <c r="H3" s="379"/>
      <c r="I3" s="379"/>
      <c r="J3" s="379"/>
    </row>
    <row r="5" ht="15.75">
      <c r="A5" s="377" t="s">
        <v>466</v>
      </c>
    </row>
    <row r="6" ht="15.75">
      <c r="A6" t="str">
        <f>CONCATENATE(inputPrYr!D9-2," expenditures show that you finished the year with a ")</f>
        <v>2011 expenditures show that you finished the year with a </v>
      </c>
    </row>
    <row r="7" ht="15.75">
      <c r="A7" t="s">
        <v>467</v>
      </c>
    </row>
    <row r="9" ht="15.75">
      <c r="A9" t="s">
        <v>468</v>
      </c>
    </row>
    <row r="10" ht="15.75">
      <c r="A10" t="s">
        <v>469</v>
      </c>
    </row>
    <row r="11" ht="15.75">
      <c r="A11" t="s">
        <v>470</v>
      </c>
    </row>
    <row r="13" ht="15.75">
      <c r="A13" s="378" t="s">
        <v>471</v>
      </c>
    </row>
    <row r="14" ht="15.75">
      <c r="A14" s="378"/>
    </row>
    <row r="15" ht="15.75">
      <c r="A15" s="377" t="s">
        <v>472</v>
      </c>
    </row>
    <row r="16" ht="15.75">
      <c r="A16" s="377" t="s">
        <v>473</v>
      </c>
    </row>
    <row r="17" ht="15.75">
      <c r="A17" s="377" t="s">
        <v>474</v>
      </c>
    </row>
    <row r="18" ht="15.75">
      <c r="A18" s="377"/>
    </row>
    <row r="19" ht="15.75">
      <c r="A19" s="378" t="s">
        <v>475</v>
      </c>
    </row>
    <row r="20" ht="15.75">
      <c r="A20" s="378"/>
    </row>
    <row r="21" ht="15.75">
      <c r="A21" s="377" t="s">
        <v>476</v>
      </c>
    </row>
    <row r="22" ht="15.75">
      <c r="A22" s="377" t="s">
        <v>477</v>
      </c>
    </row>
    <row r="23" ht="15.75">
      <c r="A23" s="377" t="s">
        <v>478</v>
      </c>
    </row>
    <row r="24" ht="15.75">
      <c r="A24" s="377"/>
    </row>
    <row r="25" ht="15.75">
      <c r="A25" s="378" t="s">
        <v>479</v>
      </c>
    </row>
    <row r="26" ht="15.75">
      <c r="A26" s="378"/>
    </row>
    <row r="27" ht="15.75">
      <c r="A27" s="377" t="s">
        <v>480</v>
      </c>
    </row>
    <row r="28" ht="15.75">
      <c r="A28" s="377" t="s">
        <v>481</v>
      </c>
    </row>
    <row r="29" ht="15.75">
      <c r="A29" s="377" t="s">
        <v>482</v>
      </c>
    </row>
    <row r="30" ht="15.75">
      <c r="A30" s="377"/>
    </row>
    <row r="31" ht="15.75">
      <c r="A31" s="378" t="s">
        <v>483</v>
      </c>
    </row>
    <row r="32" ht="15.75">
      <c r="A32" s="378"/>
    </row>
    <row r="33" spans="1:8" ht="15.75">
      <c r="A33" s="377" t="str">
        <f>CONCATENATE("If your financial records for ",inputPrYr!D9-2," are not closed")</f>
        <v>If your financial records for 2011 are not closed</v>
      </c>
      <c r="B33" s="377"/>
      <c r="C33" s="377"/>
      <c r="D33" s="377"/>
      <c r="E33" s="377"/>
      <c r="F33" s="377"/>
      <c r="G33" s="377"/>
      <c r="H33" s="377"/>
    </row>
    <row r="34" spans="1:8" ht="15.75">
      <c r="A34" s="377" t="str">
        <f>CONCATENATE("(i.e. an audit has not been completed, or the ",inputPrYr!D9," adopted ")</f>
        <v>(i.e. an audit has not been completed, or the 2013 adopted </v>
      </c>
      <c r="B34" s="377"/>
      <c r="C34" s="377"/>
      <c r="D34" s="377"/>
      <c r="E34" s="377"/>
      <c r="F34" s="377"/>
      <c r="G34" s="377"/>
      <c r="H34" s="377"/>
    </row>
    <row r="35" spans="1:8" ht="15.75">
      <c r="A35" s="377" t="s">
        <v>484</v>
      </c>
      <c r="B35" s="377"/>
      <c r="C35" s="377"/>
      <c r="D35" s="377"/>
      <c r="E35" s="377"/>
      <c r="F35" s="377"/>
      <c r="G35" s="377"/>
      <c r="H35" s="377"/>
    </row>
    <row r="36" spans="1:8" ht="15.75">
      <c r="A36" s="377" t="s">
        <v>485</v>
      </c>
      <c r="B36" s="377"/>
      <c r="C36" s="377"/>
      <c r="D36" s="377"/>
      <c r="E36" s="377"/>
      <c r="F36" s="377"/>
      <c r="G36" s="377"/>
      <c r="H36" s="377"/>
    </row>
    <row r="37" spans="1:8" ht="15.75">
      <c r="A37" s="377" t="s">
        <v>486</v>
      </c>
      <c r="B37" s="377"/>
      <c r="C37" s="377"/>
      <c r="D37" s="377"/>
      <c r="E37" s="377"/>
      <c r="F37" s="377"/>
      <c r="G37" s="377"/>
      <c r="H37" s="377"/>
    </row>
    <row r="38" spans="1:8" ht="15.75">
      <c r="A38" s="377" t="s">
        <v>487</v>
      </c>
      <c r="B38" s="377"/>
      <c r="C38" s="377"/>
      <c r="D38" s="377"/>
      <c r="E38" s="377"/>
      <c r="F38" s="377"/>
      <c r="G38" s="377"/>
      <c r="H38" s="377"/>
    </row>
    <row r="39" spans="1:8" ht="15.75">
      <c r="A39" s="377" t="s">
        <v>488</v>
      </c>
      <c r="B39" s="377"/>
      <c r="C39" s="377"/>
      <c r="D39" s="377"/>
      <c r="E39" s="377"/>
      <c r="F39" s="377"/>
      <c r="G39" s="377"/>
      <c r="H39" s="377"/>
    </row>
    <row r="40" spans="1:8" ht="15.75">
      <c r="A40" s="377"/>
      <c r="B40" s="377"/>
      <c r="C40" s="377"/>
      <c r="D40" s="377"/>
      <c r="E40" s="377"/>
      <c r="F40" s="377"/>
      <c r="G40" s="377"/>
      <c r="H40" s="377"/>
    </row>
    <row r="41" spans="1:8" ht="15.75">
      <c r="A41" s="377" t="s">
        <v>489</v>
      </c>
      <c r="B41" s="377"/>
      <c r="C41" s="377"/>
      <c r="D41" s="377"/>
      <c r="E41" s="377"/>
      <c r="F41" s="377"/>
      <c r="G41" s="377"/>
      <c r="H41" s="377"/>
    </row>
    <row r="42" spans="1:8" ht="15.75">
      <c r="A42" s="377" t="s">
        <v>490</v>
      </c>
      <c r="B42" s="377"/>
      <c r="C42" s="377"/>
      <c r="D42" s="377"/>
      <c r="E42" s="377"/>
      <c r="F42" s="377"/>
      <c r="G42" s="377"/>
      <c r="H42" s="377"/>
    </row>
    <row r="43" spans="1:8" ht="15.75">
      <c r="A43" s="377" t="s">
        <v>491</v>
      </c>
      <c r="B43" s="377"/>
      <c r="C43" s="377"/>
      <c r="D43" s="377"/>
      <c r="E43" s="377"/>
      <c r="F43" s="377"/>
      <c r="G43" s="377"/>
      <c r="H43" s="377"/>
    </row>
    <row r="44" spans="1:8" ht="15.75">
      <c r="A44" s="377" t="s">
        <v>492</v>
      </c>
      <c r="B44" s="377"/>
      <c r="C44" s="377"/>
      <c r="D44" s="377"/>
      <c r="E44" s="377"/>
      <c r="F44" s="377"/>
      <c r="G44" s="377"/>
      <c r="H44" s="377"/>
    </row>
    <row r="45" spans="1:8" ht="15.75">
      <c r="A45" s="377"/>
      <c r="B45" s="377"/>
      <c r="C45" s="377"/>
      <c r="D45" s="377"/>
      <c r="E45" s="377"/>
      <c r="F45" s="377"/>
      <c r="G45" s="377"/>
      <c r="H45" s="377"/>
    </row>
    <row r="46" spans="1:8" ht="15.75">
      <c r="A46" s="377" t="s">
        <v>493</v>
      </c>
      <c r="B46" s="377"/>
      <c r="C46" s="377"/>
      <c r="D46" s="377"/>
      <c r="E46" s="377"/>
      <c r="F46" s="377"/>
      <c r="G46" s="377"/>
      <c r="H46" s="377"/>
    </row>
    <row r="47" spans="1:8" ht="15.75">
      <c r="A47" s="377" t="s">
        <v>494</v>
      </c>
      <c r="B47" s="377"/>
      <c r="C47" s="377"/>
      <c r="D47" s="377"/>
      <c r="E47" s="377"/>
      <c r="F47" s="377"/>
      <c r="G47" s="377"/>
      <c r="H47" s="377"/>
    </row>
    <row r="48" spans="1:8" ht="15.75">
      <c r="A48" s="377" t="s">
        <v>495</v>
      </c>
      <c r="B48" s="377"/>
      <c r="C48" s="377"/>
      <c r="D48" s="377"/>
      <c r="E48" s="377"/>
      <c r="F48" s="377"/>
      <c r="G48" s="377"/>
      <c r="H48" s="377"/>
    </row>
    <row r="49" spans="1:8" ht="15.75">
      <c r="A49" s="377" t="s">
        <v>496</v>
      </c>
      <c r="B49" s="377"/>
      <c r="C49" s="377"/>
      <c r="D49" s="377"/>
      <c r="E49" s="377"/>
      <c r="F49" s="377"/>
      <c r="G49" s="377"/>
      <c r="H49" s="377"/>
    </row>
    <row r="50" spans="1:8" ht="15.75">
      <c r="A50" s="377" t="s">
        <v>497</v>
      </c>
      <c r="B50" s="377"/>
      <c r="C50" s="377"/>
      <c r="D50" s="377"/>
      <c r="E50" s="377"/>
      <c r="F50" s="377"/>
      <c r="G50" s="377"/>
      <c r="H50" s="377"/>
    </row>
    <row r="51" spans="1:8" ht="15.75">
      <c r="A51" s="377"/>
      <c r="B51" s="377"/>
      <c r="C51" s="377"/>
      <c r="D51" s="377"/>
      <c r="E51" s="377"/>
      <c r="F51" s="377"/>
      <c r="G51" s="377"/>
      <c r="H51" s="377"/>
    </row>
    <row r="52" spans="1:8" ht="15.75">
      <c r="A52" s="378" t="s">
        <v>498</v>
      </c>
      <c r="B52" s="378"/>
      <c r="C52" s="378"/>
      <c r="D52" s="378"/>
      <c r="E52" s="378"/>
      <c r="F52" s="378"/>
      <c r="G52" s="378"/>
      <c r="H52" s="377"/>
    </row>
    <row r="53" spans="1:8" ht="15.75">
      <c r="A53" s="378" t="s">
        <v>499</v>
      </c>
      <c r="B53" s="378"/>
      <c r="C53" s="378"/>
      <c r="D53" s="378"/>
      <c r="E53" s="378"/>
      <c r="F53" s="378"/>
      <c r="G53" s="378"/>
      <c r="H53" s="377"/>
    </row>
    <row r="54" spans="1:8" ht="15.75">
      <c r="A54" s="377"/>
      <c r="B54" s="377"/>
      <c r="C54" s="377"/>
      <c r="D54" s="377"/>
      <c r="E54" s="377"/>
      <c r="F54" s="377"/>
      <c r="G54" s="377"/>
      <c r="H54" s="377"/>
    </row>
    <row r="55" spans="1:8" ht="15.75">
      <c r="A55" s="377" t="s">
        <v>500</v>
      </c>
      <c r="B55" s="377"/>
      <c r="C55" s="377"/>
      <c r="D55" s="377"/>
      <c r="E55" s="377"/>
      <c r="F55" s="377"/>
      <c r="G55" s="377"/>
      <c r="H55" s="377"/>
    </row>
    <row r="56" spans="1:8" ht="15.75">
      <c r="A56" s="377" t="s">
        <v>501</v>
      </c>
      <c r="B56" s="377"/>
      <c r="C56" s="377"/>
      <c r="D56" s="377"/>
      <c r="E56" s="377"/>
      <c r="F56" s="377"/>
      <c r="G56" s="377"/>
      <c r="H56" s="377"/>
    </row>
    <row r="57" spans="1:8" ht="15.75">
      <c r="A57" s="377" t="s">
        <v>502</v>
      </c>
      <c r="B57" s="377"/>
      <c r="C57" s="377"/>
      <c r="D57" s="377"/>
      <c r="E57" s="377"/>
      <c r="F57" s="377"/>
      <c r="G57" s="377"/>
      <c r="H57" s="377"/>
    </row>
    <row r="58" spans="1:8" ht="15.75">
      <c r="A58" s="377" t="s">
        <v>503</v>
      </c>
      <c r="B58" s="377"/>
      <c r="C58" s="377"/>
      <c r="D58" s="377"/>
      <c r="E58" s="377"/>
      <c r="F58" s="377"/>
      <c r="G58" s="377"/>
      <c r="H58" s="377"/>
    </row>
    <row r="59" spans="1:8" ht="15.75">
      <c r="A59" s="377"/>
      <c r="B59" s="377"/>
      <c r="C59" s="377"/>
      <c r="D59" s="377"/>
      <c r="E59" s="377"/>
      <c r="F59" s="377"/>
      <c r="G59" s="377"/>
      <c r="H59" s="377"/>
    </row>
    <row r="60" spans="1:8" ht="15.75">
      <c r="A60" s="377" t="s">
        <v>504</v>
      </c>
      <c r="B60" s="377"/>
      <c r="C60" s="377"/>
      <c r="D60" s="377"/>
      <c r="E60" s="377"/>
      <c r="F60" s="377"/>
      <c r="G60" s="377"/>
      <c r="H60" s="377"/>
    </row>
    <row r="61" spans="1:8" ht="15.75">
      <c r="A61" s="377" t="s">
        <v>505</v>
      </c>
      <c r="B61" s="377"/>
      <c r="C61" s="377"/>
      <c r="D61" s="377"/>
      <c r="E61" s="377"/>
      <c r="F61" s="377"/>
      <c r="G61" s="377"/>
      <c r="H61" s="377"/>
    </row>
    <row r="62" spans="1:8" ht="15.75">
      <c r="A62" s="377" t="s">
        <v>506</v>
      </c>
      <c r="B62" s="377"/>
      <c r="C62" s="377"/>
      <c r="D62" s="377"/>
      <c r="E62" s="377"/>
      <c r="F62" s="377"/>
      <c r="G62" s="377"/>
      <c r="H62" s="377"/>
    </row>
    <row r="63" spans="1:8" ht="15.75">
      <c r="A63" s="377" t="s">
        <v>507</v>
      </c>
      <c r="B63" s="377"/>
      <c r="C63" s="377"/>
      <c r="D63" s="377"/>
      <c r="E63" s="377"/>
      <c r="F63" s="377"/>
      <c r="G63" s="377"/>
      <c r="H63" s="377"/>
    </row>
    <row r="64" spans="1:8" ht="15.75">
      <c r="A64" s="377" t="s">
        <v>508</v>
      </c>
      <c r="B64" s="377"/>
      <c r="C64" s="377"/>
      <c r="D64" s="377"/>
      <c r="E64" s="377"/>
      <c r="F64" s="377"/>
      <c r="G64" s="377"/>
      <c r="H64" s="377"/>
    </row>
    <row r="65" spans="1:8" ht="15.75">
      <c r="A65" s="377" t="s">
        <v>509</v>
      </c>
      <c r="B65" s="377"/>
      <c r="C65" s="377"/>
      <c r="D65" s="377"/>
      <c r="E65" s="377"/>
      <c r="F65" s="377"/>
      <c r="G65" s="377"/>
      <c r="H65" s="377"/>
    </row>
    <row r="66" spans="1:8" ht="15.75">
      <c r="A66" s="377"/>
      <c r="B66" s="377"/>
      <c r="C66" s="377"/>
      <c r="D66" s="377"/>
      <c r="E66" s="377"/>
      <c r="F66" s="377"/>
      <c r="G66" s="377"/>
      <c r="H66" s="377"/>
    </row>
    <row r="67" spans="1:8" ht="15.75">
      <c r="A67" s="377" t="s">
        <v>510</v>
      </c>
      <c r="B67" s="377"/>
      <c r="C67" s="377"/>
      <c r="D67" s="377"/>
      <c r="E67" s="377"/>
      <c r="F67" s="377"/>
      <c r="G67" s="377"/>
      <c r="H67" s="377"/>
    </row>
    <row r="68" spans="1:8" ht="15.75">
      <c r="A68" s="377" t="s">
        <v>511</v>
      </c>
      <c r="B68" s="377"/>
      <c r="C68" s="377"/>
      <c r="D68" s="377"/>
      <c r="E68" s="377"/>
      <c r="F68" s="377"/>
      <c r="G68" s="377"/>
      <c r="H68" s="377"/>
    </row>
    <row r="69" spans="1:8" ht="15.75">
      <c r="A69" s="377" t="s">
        <v>512</v>
      </c>
      <c r="B69" s="377"/>
      <c r="C69" s="377"/>
      <c r="D69" s="377"/>
      <c r="E69" s="377"/>
      <c r="F69" s="377"/>
      <c r="G69" s="377"/>
      <c r="H69" s="377"/>
    </row>
    <row r="70" spans="1:8" ht="15.75">
      <c r="A70" s="377" t="s">
        <v>513</v>
      </c>
      <c r="B70" s="377"/>
      <c r="C70" s="377"/>
      <c r="D70" s="377"/>
      <c r="E70" s="377"/>
      <c r="F70" s="377"/>
      <c r="G70" s="377"/>
      <c r="H70" s="377"/>
    </row>
    <row r="71" spans="1:8" ht="15.75">
      <c r="A71" s="377" t="s">
        <v>514</v>
      </c>
      <c r="B71" s="377"/>
      <c r="C71" s="377"/>
      <c r="D71" s="377"/>
      <c r="E71" s="377"/>
      <c r="F71" s="377"/>
      <c r="G71" s="377"/>
      <c r="H71" s="377"/>
    </row>
    <row r="72" spans="1:8" ht="15.75">
      <c r="A72" s="377" t="s">
        <v>515</v>
      </c>
      <c r="B72" s="377"/>
      <c r="C72" s="377"/>
      <c r="D72" s="377"/>
      <c r="E72" s="377"/>
      <c r="F72" s="377"/>
      <c r="G72" s="377"/>
      <c r="H72" s="377"/>
    </row>
    <row r="73" spans="1:8" ht="15.75">
      <c r="A73" s="377" t="s">
        <v>516</v>
      </c>
      <c r="B73" s="377"/>
      <c r="C73" s="377"/>
      <c r="D73" s="377"/>
      <c r="E73" s="377"/>
      <c r="F73" s="377"/>
      <c r="G73" s="377"/>
      <c r="H73" s="377"/>
    </row>
    <row r="74" spans="1:8" ht="15.75">
      <c r="A74" s="377"/>
      <c r="B74" s="377"/>
      <c r="C74" s="377"/>
      <c r="D74" s="377"/>
      <c r="E74" s="377"/>
      <c r="F74" s="377"/>
      <c r="G74" s="377"/>
      <c r="H74" s="377"/>
    </row>
    <row r="75" spans="1:8" ht="15.75">
      <c r="A75" s="377" t="s">
        <v>517</v>
      </c>
      <c r="B75" s="377"/>
      <c r="C75" s="377"/>
      <c r="D75" s="377"/>
      <c r="E75" s="377"/>
      <c r="F75" s="377"/>
      <c r="G75" s="377"/>
      <c r="H75" s="377"/>
    </row>
    <row r="76" spans="1:8" ht="15.75">
      <c r="A76" s="377" t="s">
        <v>518</v>
      </c>
      <c r="B76" s="377"/>
      <c r="C76" s="377"/>
      <c r="D76" s="377"/>
      <c r="E76" s="377"/>
      <c r="F76" s="377"/>
      <c r="G76" s="377"/>
      <c r="H76" s="377"/>
    </row>
    <row r="77" spans="1:8" ht="15.75">
      <c r="A77" s="377" t="s">
        <v>519</v>
      </c>
      <c r="B77" s="377"/>
      <c r="C77" s="377"/>
      <c r="D77" s="377"/>
      <c r="E77" s="377"/>
      <c r="F77" s="377"/>
      <c r="G77" s="377"/>
      <c r="H77" s="377"/>
    </row>
    <row r="78" spans="1:8" ht="15.75">
      <c r="A78" s="377"/>
      <c r="B78" s="377"/>
      <c r="C78" s="377"/>
      <c r="D78" s="377"/>
      <c r="E78" s="377"/>
      <c r="F78" s="377"/>
      <c r="G78" s="377"/>
      <c r="H78" s="377"/>
    </row>
    <row r="79" ht="15.75">
      <c r="A79" s="377" t="s">
        <v>464</v>
      </c>
    </row>
    <row r="80" ht="15.75">
      <c r="A80" s="378"/>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6" t="s">
        <v>520</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7" t="s">
        <v>409</v>
      </c>
      <c r="I5" s="376"/>
      <c r="J5" s="376"/>
      <c r="K5" s="376"/>
      <c r="L5" s="376"/>
    </row>
    <row r="6" spans="1:12" ht="15.75">
      <c r="A6" s="377" t="str">
        <f>CONCATENATE("estimated ",inputPrYr!D9-1," 'total expenditures' exceed your ",inputPrYr!D9-1,"")</f>
        <v>estimated 2012 'total expenditures' exceed your 2012</v>
      </c>
      <c r="I6" s="376"/>
      <c r="J6" s="376"/>
      <c r="K6" s="376"/>
      <c r="L6" s="376"/>
    </row>
    <row r="7" spans="1:12" ht="15.75">
      <c r="A7" s="380" t="s">
        <v>521</v>
      </c>
      <c r="I7" s="376"/>
      <c r="J7" s="376"/>
      <c r="K7" s="376"/>
      <c r="L7" s="376"/>
    </row>
    <row r="8" spans="1:12" ht="15.75">
      <c r="A8" s="377"/>
      <c r="I8" s="376"/>
      <c r="J8" s="376"/>
      <c r="K8" s="376"/>
      <c r="L8" s="376"/>
    </row>
    <row r="9" spans="1:12" ht="15.75">
      <c r="A9" s="377" t="s">
        <v>522</v>
      </c>
      <c r="I9" s="376"/>
      <c r="J9" s="376"/>
      <c r="K9" s="376"/>
      <c r="L9" s="376"/>
    </row>
    <row r="10" spans="1:12" ht="15.75">
      <c r="A10" s="377" t="s">
        <v>523</v>
      </c>
      <c r="I10" s="376"/>
      <c r="J10" s="376"/>
      <c r="K10" s="376"/>
      <c r="L10" s="376"/>
    </row>
    <row r="11" spans="1:12" ht="15.75">
      <c r="A11" s="377" t="s">
        <v>524</v>
      </c>
      <c r="I11" s="376"/>
      <c r="J11" s="376"/>
      <c r="K11" s="376"/>
      <c r="L11" s="376"/>
    </row>
    <row r="12" spans="1:12" ht="15.75">
      <c r="A12" s="377" t="s">
        <v>525</v>
      </c>
      <c r="I12" s="376"/>
      <c r="J12" s="376"/>
      <c r="K12" s="376"/>
      <c r="L12" s="376"/>
    </row>
    <row r="13" spans="1:12" ht="15.75">
      <c r="A13" s="377" t="s">
        <v>526</v>
      </c>
      <c r="I13" s="376"/>
      <c r="J13" s="376"/>
      <c r="K13" s="376"/>
      <c r="L13" s="376"/>
    </row>
    <row r="14" spans="1:12" ht="15.75">
      <c r="A14" s="376"/>
      <c r="B14" s="376"/>
      <c r="C14" s="376"/>
      <c r="D14" s="376"/>
      <c r="E14" s="376"/>
      <c r="F14" s="376"/>
      <c r="G14" s="376"/>
      <c r="H14" s="376"/>
      <c r="I14" s="376"/>
      <c r="J14" s="376"/>
      <c r="K14" s="376"/>
      <c r="L14" s="376"/>
    </row>
    <row r="15" ht="15.75">
      <c r="A15" s="378" t="s">
        <v>527</v>
      </c>
    </row>
    <row r="16" ht="15.75">
      <c r="A16" s="378" t="s">
        <v>528</v>
      </c>
    </row>
    <row r="17" ht="15.75">
      <c r="A17" s="378"/>
    </row>
    <row r="18" spans="1:7" ht="15.75">
      <c r="A18" s="377" t="s">
        <v>529</v>
      </c>
      <c r="B18" s="377"/>
      <c r="C18" s="377"/>
      <c r="D18" s="377"/>
      <c r="E18" s="377"/>
      <c r="F18" s="377"/>
      <c r="G18" s="377"/>
    </row>
    <row r="19" spans="1:7" ht="15.75">
      <c r="A19" s="377" t="str">
        <f>CONCATENATE("your ",inputPrYr!D9-1," numbers to see what steps might be necessary to")</f>
        <v>your 2012 numbers to see what steps might be necessary to</v>
      </c>
      <c r="B19" s="377"/>
      <c r="C19" s="377"/>
      <c r="D19" s="377"/>
      <c r="E19" s="377"/>
      <c r="F19" s="377"/>
      <c r="G19" s="377"/>
    </row>
    <row r="20" spans="1:7" ht="15.75">
      <c r="A20" s="377" t="s">
        <v>530</v>
      </c>
      <c r="B20" s="377"/>
      <c r="C20" s="377"/>
      <c r="D20" s="377"/>
      <c r="E20" s="377"/>
      <c r="F20" s="377"/>
      <c r="G20" s="377"/>
    </row>
    <row r="21" spans="1:7" ht="15.75">
      <c r="A21" s="377" t="s">
        <v>531</v>
      </c>
      <c r="B21" s="377"/>
      <c r="C21" s="377"/>
      <c r="D21" s="377"/>
      <c r="E21" s="377"/>
      <c r="F21" s="377"/>
      <c r="G21" s="377"/>
    </row>
    <row r="22" ht="15.75">
      <c r="A22" s="377"/>
    </row>
    <row r="23" ht="15.75">
      <c r="A23" s="378" t="s">
        <v>532</v>
      </c>
    </row>
    <row r="24" ht="15.75">
      <c r="A24" s="378"/>
    </row>
    <row r="25" ht="15.75">
      <c r="A25" s="377" t="s">
        <v>533</v>
      </c>
    </row>
    <row r="26" spans="1:6" ht="15.75">
      <c r="A26" s="377" t="s">
        <v>534</v>
      </c>
      <c r="B26" s="377"/>
      <c r="C26" s="377"/>
      <c r="D26" s="377"/>
      <c r="E26" s="377"/>
      <c r="F26" s="377"/>
    </row>
    <row r="27" spans="1:6" ht="15.75">
      <c r="A27" s="377" t="s">
        <v>535</v>
      </c>
      <c r="B27" s="377"/>
      <c r="C27" s="377"/>
      <c r="D27" s="377"/>
      <c r="E27" s="377"/>
      <c r="F27" s="377"/>
    </row>
    <row r="28" spans="1:6" ht="15.75">
      <c r="A28" s="377" t="s">
        <v>536</v>
      </c>
      <c r="B28" s="377"/>
      <c r="C28" s="377"/>
      <c r="D28" s="377"/>
      <c r="E28" s="377"/>
      <c r="F28" s="377"/>
    </row>
    <row r="29" spans="1:6" ht="15.75">
      <c r="A29" s="377"/>
      <c r="B29" s="377"/>
      <c r="C29" s="377"/>
      <c r="D29" s="377"/>
      <c r="E29" s="377"/>
      <c r="F29" s="377"/>
    </row>
    <row r="30" spans="1:7" ht="15.75">
      <c r="A30" s="378" t="s">
        <v>537</v>
      </c>
      <c r="B30" s="378"/>
      <c r="C30" s="378"/>
      <c r="D30" s="378"/>
      <c r="E30" s="378"/>
      <c r="F30" s="378"/>
      <c r="G30" s="378"/>
    </row>
    <row r="31" spans="1:7" ht="15.75">
      <c r="A31" s="378" t="s">
        <v>538</v>
      </c>
      <c r="B31" s="378"/>
      <c r="C31" s="378"/>
      <c r="D31" s="378"/>
      <c r="E31" s="378"/>
      <c r="F31" s="378"/>
      <c r="G31" s="378"/>
    </row>
    <row r="32" spans="1:6" ht="15.75">
      <c r="A32" s="377"/>
      <c r="B32" s="377"/>
      <c r="C32" s="377"/>
      <c r="D32" s="377"/>
      <c r="E32" s="377"/>
      <c r="F32" s="377"/>
    </row>
    <row r="33" spans="1:6" ht="15.75">
      <c r="A33" s="381" t="str">
        <f>CONCATENATE("Well, let's look to see if any of your ",inputPrYr!D9-1," expenditures can")</f>
        <v>Well, let's look to see if any of your 2012 expenditures can</v>
      </c>
      <c r="B33" s="377"/>
      <c r="C33" s="377"/>
      <c r="D33" s="377"/>
      <c r="E33" s="377"/>
      <c r="F33" s="377"/>
    </row>
    <row r="34" spans="1:6" ht="15.75">
      <c r="A34" s="381" t="s">
        <v>539</v>
      </c>
      <c r="B34" s="377"/>
      <c r="C34" s="377"/>
      <c r="D34" s="377"/>
      <c r="E34" s="377"/>
      <c r="F34" s="377"/>
    </row>
    <row r="35" spans="1:6" ht="15.75">
      <c r="A35" s="381" t="s">
        <v>423</v>
      </c>
      <c r="B35" s="377"/>
      <c r="C35" s="377"/>
      <c r="D35" s="377"/>
      <c r="E35" s="377"/>
      <c r="F35" s="377"/>
    </row>
    <row r="36" spans="1:6" ht="15.75">
      <c r="A36" s="381" t="s">
        <v>424</v>
      </c>
      <c r="B36" s="377"/>
      <c r="C36" s="377"/>
      <c r="D36" s="377"/>
      <c r="E36" s="377"/>
      <c r="F36" s="377"/>
    </row>
    <row r="37" spans="1:6" ht="15.75">
      <c r="A37" s="381"/>
      <c r="B37" s="377"/>
      <c r="C37" s="377"/>
      <c r="D37" s="377"/>
      <c r="E37" s="377"/>
      <c r="F37" s="377"/>
    </row>
    <row r="38" spans="1:6" ht="15.75">
      <c r="A38" s="381" t="str">
        <f>CONCATENATE("Additionally, do your ",inputPrYr!D9-1," receipts contain a reimbursement")</f>
        <v>Additionally, do your 2012 receipts contain a reimbursement</v>
      </c>
      <c r="B38" s="377"/>
      <c r="C38" s="377"/>
      <c r="D38" s="377"/>
      <c r="E38" s="377"/>
      <c r="F38" s="377"/>
    </row>
    <row r="39" spans="1:6" ht="15.75">
      <c r="A39" s="381" t="s">
        <v>425</v>
      </c>
      <c r="B39" s="377"/>
      <c r="C39" s="377"/>
      <c r="D39" s="377"/>
      <c r="E39" s="377"/>
      <c r="F39" s="377"/>
    </row>
    <row r="40" spans="1:6" ht="15.75">
      <c r="A40" s="381" t="s">
        <v>426</v>
      </c>
      <c r="B40" s="377"/>
      <c r="C40" s="377"/>
      <c r="D40" s="377"/>
      <c r="E40" s="377"/>
      <c r="F40" s="377"/>
    </row>
    <row r="41" spans="1:6" ht="15.75">
      <c r="A41" s="381"/>
      <c r="B41" s="377"/>
      <c r="C41" s="377"/>
      <c r="D41" s="377"/>
      <c r="E41" s="377"/>
      <c r="F41" s="377"/>
    </row>
    <row r="42" spans="1:6" ht="15.75">
      <c r="A42" s="381" t="s">
        <v>427</v>
      </c>
      <c r="B42" s="377"/>
      <c r="C42" s="377"/>
      <c r="D42" s="377"/>
      <c r="E42" s="377"/>
      <c r="F42" s="377"/>
    </row>
    <row r="43" spans="1:6" ht="15.75">
      <c r="A43" s="381" t="s">
        <v>428</v>
      </c>
      <c r="B43" s="377"/>
      <c r="C43" s="377"/>
      <c r="D43" s="377"/>
      <c r="E43" s="377"/>
      <c r="F43" s="377"/>
    </row>
    <row r="44" spans="1:6" ht="15.75">
      <c r="A44" s="381" t="s">
        <v>429</v>
      </c>
      <c r="B44" s="377"/>
      <c r="C44" s="377"/>
      <c r="D44" s="377"/>
      <c r="E44" s="377"/>
      <c r="F44" s="377"/>
    </row>
    <row r="45" spans="1:6" ht="15.75">
      <c r="A45" s="381" t="s">
        <v>540</v>
      </c>
      <c r="B45" s="377"/>
      <c r="C45" s="377"/>
      <c r="D45" s="377"/>
      <c r="E45" s="377"/>
      <c r="F45" s="377"/>
    </row>
    <row r="46" spans="1:6" ht="15.75">
      <c r="A46" s="381" t="s">
        <v>431</v>
      </c>
      <c r="B46" s="377"/>
      <c r="C46" s="377"/>
      <c r="D46" s="377"/>
      <c r="E46" s="377"/>
      <c r="F46" s="377"/>
    </row>
    <row r="47" spans="1:6" ht="15.75">
      <c r="A47" s="381" t="s">
        <v>541</v>
      </c>
      <c r="B47" s="377"/>
      <c r="C47" s="377"/>
      <c r="D47" s="377"/>
      <c r="E47" s="377"/>
      <c r="F47" s="377"/>
    </row>
    <row r="48" spans="1:6" ht="15.75">
      <c r="A48" s="381" t="s">
        <v>542</v>
      </c>
      <c r="B48" s="377"/>
      <c r="C48" s="377"/>
      <c r="D48" s="377"/>
      <c r="E48" s="377"/>
      <c r="F48" s="377"/>
    </row>
    <row r="49" spans="1:6" ht="15.75">
      <c r="A49" s="381" t="s">
        <v>434</v>
      </c>
      <c r="B49" s="377"/>
      <c r="C49" s="377"/>
      <c r="D49" s="377"/>
      <c r="E49" s="377"/>
      <c r="F49" s="377"/>
    </row>
    <row r="50" spans="1:6" ht="15.75">
      <c r="A50" s="381"/>
      <c r="B50" s="377"/>
      <c r="C50" s="377"/>
      <c r="D50" s="377"/>
      <c r="E50" s="377"/>
      <c r="F50" s="377"/>
    </row>
    <row r="51" spans="1:6" ht="15.75">
      <c r="A51" s="381" t="s">
        <v>435</v>
      </c>
      <c r="B51" s="377"/>
      <c r="C51" s="377"/>
      <c r="D51" s="377"/>
      <c r="E51" s="377"/>
      <c r="F51" s="377"/>
    </row>
    <row r="52" spans="1:6" ht="15.75">
      <c r="A52" s="381" t="s">
        <v>436</v>
      </c>
      <c r="B52" s="377"/>
      <c r="C52" s="377"/>
      <c r="D52" s="377"/>
      <c r="E52" s="377"/>
      <c r="F52" s="377"/>
    </row>
    <row r="53" spans="1:6" ht="15.75">
      <c r="A53" s="381" t="s">
        <v>437</v>
      </c>
      <c r="B53" s="377"/>
      <c r="C53" s="377"/>
      <c r="D53" s="377"/>
      <c r="E53" s="377"/>
      <c r="F53" s="377"/>
    </row>
    <row r="54" spans="1:6" ht="15.75">
      <c r="A54" s="381"/>
      <c r="B54" s="377"/>
      <c r="C54" s="377"/>
      <c r="D54" s="377"/>
      <c r="E54" s="377"/>
      <c r="F54" s="377"/>
    </row>
    <row r="55" spans="1:6" ht="15.75">
      <c r="A55" s="381" t="s">
        <v>543</v>
      </c>
      <c r="B55" s="377"/>
      <c r="C55" s="377"/>
      <c r="D55" s="377"/>
      <c r="E55" s="377"/>
      <c r="F55" s="377"/>
    </row>
    <row r="56" spans="1:6" ht="15.75">
      <c r="A56" s="381" t="s">
        <v>544</v>
      </c>
      <c r="B56" s="377"/>
      <c r="C56" s="377"/>
      <c r="D56" s="377"/>
      <c r="E56" s="377"/>
      <c r="F56" s="377"/>
    </row>
    <row r="57" spans="1:6" ht="15.75">
      <c r="A57" s="381" t="s">
        <v>545</v>
      </c>
      <c r="B57" s="377"/>
      <c r="C57" s="377"/>
      <c r="D57" s="377"/>
      <c r="E57" s="377"/>
      <c r="F57" s="377"/>
    </row>
    <row r="58" spans="1:6" ht="15.75">
      <c r="A58" s="381" t="s">
        <v>546</v>
      </c>
      <c r="B58" s="377"/>
      <c r="C58" s="377"/>
      <c r="D58" s="377"/>
      <c r="E58" s="377"/>
      <c r="F58" s="377"/>
    </row>
    <row r="59" spans="1:6" ht="15.75">
      <c r="A59" s="381" t="s">
        <v>547</v>
      </c>
      <c r="B59" s="377"/>
      <c r="C59" s="377"/>
      <c r="D59" s="377"/>
      <c r="E59" s="377"/>
      <c r="F59" s="377"/>
    </row>
    <row r="60" spans="1:6" ht="15.75">
      <c r="A60" s="381"/>
      <c r="B60" s="377"/>
      <c r="C60" s="377"/>
      <c r="D60" s="377"/>
      <c r="E60" s="377"/>
      <c r="F60" s="377"/>
    </row>
    <row r="61" spans="1:6" ht="15.75">
      <c r="A61" s="382" t="s">
        <v>548</v>
      </c>
      <c r="B61" s="377"/>
      <c r="C61" s="377"/>
      <c r="D61" s="377"/>
      <c r="E61" s="377"/>
      <c r="F61" s="377"/>
    </row>
    <row r="62" spans="1:6" ht="15.75">
      <c r="A62" s="382" t="s">
        <v>549</v>
      </c>
      <c r="B62" s="377"/>
      <c r="C62" s="377"/>
      <c r="D62" s="377"/>
      <c r="E62" s="377"/>
      <c r="F62" s="377"/>
    </row>
    <row r="63" spans="1:6" ht="15.75">
      <c r="A63" s="382" t="s">
        <v>550</v>
      </c>
      <c r="B63" s="377"/>
      <c r="C63" s="377"/>
      <c r="D63" s="377"/>
      <c r="E63" s="377"/>
      <c r="F63" s="377"/>
    </row>
    <row r="64" ht="15.75">
      <c r="A64" s="382" t="s">
        <v>551</v>
      </c>
    </row>
    <row r="65" ht="15.75">
      <c r="A65" s="382" t="s">
        <v>552</v>
      </c>
    </row>
    <row r="66" ht="15.75">
      <c r="A66" s="382" t="s">
        <v>553</v>
      </c>
    </row>
    <row r="68" ht="15.75">
      <c r="A68" s="377" t="s">
        <v>554</v>
      </c>
    </row>
    <row r="69" ht="15.75">
      <c r="A69" s="377" t="s">
        <v>555</v>
      </c>
    </row>
    <row r="70" ht="15.75">
      <c r="A70" s="377" t="s">
        <v>556</v>
      </c>
    </row>
    <row r="71" ht="15.75">
      <c r="A71" s="377" t="s">
        <v>557</v>
      </c>
    </row>
    <row r="72" ht="15.75">
      <c r="A72" s="377" t="s">
        <v>558</v>
      </c>
    </row>
    <row r="73" ht="15.75">
      <c r="A73" s="377" t="s">
        <v>559</v>
      </c>
    </row>
    <row r="75" ht="15.75">
      <c r="A75" s="377" t="s">
        <v>464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6" t="s">
        <v>560</v>
      </c>
      <c r="B3" s="376"/>
      <c r="C3" s="376"/>
      <c r="D3" s="376"/>
      <c r="E3" s="376"/>
      <c r="F3" s="376"/>
      <c r="G3" s="376"/>
    </row>
    <row r="4" spans="1:7" ht="15.75">
      <c r="A4" s="376"/>
      <c r="B4" s="376"/>
      <c r="C4" s="376"/>
      <c r="D4" s="376"/>
      <c r="E4" s="376"/>
      <c r="F4" s="376"/>
      <c r="G4" s="376"/>
    </row>
    <row r="5" ht="15.75">
      <c r="A5" s="377" t="s">
        <v>466</v>
      </c>
    </row>
    <row r="6" ht="15.75">
      <c r="A6" s="377" t="str">
        <f>CONCATENATE(inputPrYr!D9," estimated expenditures show that at the end of this year")</f>
        <v>2013 estimated expenditures show that at the end of this year</v>
      </c>
    </row>
    <row r="7" ht="15.75">
      <c r="A7" s="377" t="s">
        <v>561</v>
      </c>
    </row>
    <row r="8" ht="15.75">
      <c r="A8" s="377" t="s">
        <v>562</v>
      </c>
    </row>
    <row r="10" ht="15.75">
      <c r="A10" t="s">
        <v>468</v>
      </c>
    </row>
    <row r="11" ht="15.75">
      <c r="A11" t="s">
        <v>469</v>
      </c>
    </row>
    <row r="12" ht="15.75">
      <c r="A12" t="s">
        <v>470</v>
      </c>
    </row>
    <row r="13" spans="1:7" ht="15.75">
      <c r="A13" s="376"/>
      <c r="B13" s="376"/>
      <c r="C13" s="376"/>
      <c r="D13" s="376"/>
      <c r="E13" s="376"/>
      <c r="F13" s="376"/>
      <c r="G13" s="376"/>
    </row>
    <row r="14" ht="15.75">
      <c r="A14" s="378" t="s">
        <v>563</v>
      </c>
    </row>
    <row r="15" ht="15.75">
      <c r="A15" s="377"/>
    </row>
    <row r="16" ht="15.75">
      <c r="A16" s="377" t="s">
        <v>564</v>
      </c>
    </row>
    <row r="17" ht="15.75">
      <c r="A17" s="377" t="s">
        <v>565</v>
      </c>
    </row>
    <row r="18" ht="15.75">
      <c r="A18" s="377" t="s">
        <v>566</v>
      </c>
    </row>
    <row r="19" ht="15.75">
      <c r="A19" s="377"/>
    </row>
    <row r="20" ht="15.75">
      <c r="A20" s="377" t="s">
        <v>567</v>
      </c>
    </row>
    <row r="21" ht="15.75">
      <c r="A21" s="377" t="s">
        <v>568</v>
      </c>
    </row>
    <row r="22" ht="15.75">
      <c r="A22" s="377" t="s">
        <v>569</v>
      </c>
    </row>
    <row r="23" ht="15.75">
      <c r="A23" s="377" t="s">
        <v>570</v>
      </c>
    </row>
    <row r="24" ht="15.75">
      <c r="A24" s="377"/>
    </row>
    <row r="25" ht="15.75">
      <c r="A25" s="378" t="s">
        <v>532</v>
      </c>
    </row>
    <row r="26" ht="15.75">
      <c r="A26" s="378"/>
    </row>
    <row r="27" ht="15.75">
      <c r="A27" s="377" t="s">
        <v>533</v>
      </c>
    </row>
    <row r="28" spans="1:6" ht="15.75">
      <c r="A28" s="377" t="s">
        <v>534</v>
      </c>
      <c r="B28" s="377"/>
      <c r="C28" s="377"/>
      <c r="D28" s="377"/>
      <c r="E28" s="377"/>
      <c r="F28" s="377"/>
    </row>
    <row r="29" spans="1:6" ht="15.75">
      <c r="A29" s="377" t="s">
        <v>535</v>
      </c>
      <c r="B29" s="377"/>
      <c r="C29" s="377"/>
      <c r="D29" s="377"/>
      <c r="E29" s="377"/>
      <c r="F29" s="377"/>
    </row>
    <row r="30" spans="1:6" ht="15.75">
      <c r="A30" s="377" t="s">
        <v>536</v>
      </c>
      <c r="B30" s="377"/>
      <c r="C30" s="377"/>
      <c r="D30" s="377"/>
      <c r="E30" s="377"/>
      <c r="F30" s="377"/>
    </row>
    <row r="31" ht="15.75">
      <c r="A31" s="377"/>
    </row>
    <row r="32" spans="1:7" ht="15.75">
      <c r="A32" s="378" t="s">
        <v>537</v>
      </c>
      <c r="B32" s="378"/>
      <c r="C32" s="378"/>
      <c r="D32" s="378"/>
      <c r="E32" s="378"/>
      <c r="F32" s="378"/>
      <c r="G32" s="378"/>
    </row>
    <row r="33" spans="1:7" ht="15.75">
      <c r="A33" s="378" t="s">
        <v>538</v>
      </c>
      <c r="B33" s="378"/>
      <c r="C33" s="378"/>
      <c r="D33" s="378"/>
      <c r="E33" s="378"/>
      <c r="F33" s="378"/>
      <c r="G33" s="378"/>
    </row>
    <row r="34" spans="1:7" ht="15.75">
      <c r="A34" s="378"/>
      <c r="B34" s="378"/>
      <c r="C34" s="378"/>
      <c r="D34" s="378"/>
      <c r="E34" s="378"/>
      <c r="F34" s="378"/>
      <c r="G34" s="378"/>
    </row>
    <row r="35" spans="1:7" ht="15.75">
      <c r="A35" s="377" t="s">
        <v>571</v>
      </c>
      <c r="B35" s="377"/>
      <c r="C35" s="377"/>
      <c r="D35" s="377"/>
      <c r="E35" s="377"/>
      <c r="F35" s="377"/>
      <c r="G35" s="377"/>
    </row>
    <row r="36" spans="1:7" ht="15.75">
      <c r="A36" s="377" t="s">
        <v>572</v>
      </c>
      <c r="B36" s="377"/>
      <c r="C36" s="377"/>
      <c r="D36" s="377"/>
      <c r="E36" s="377"/>
      <c r="F36" s="377"/>
      <c r="G36" s="377"/>
    </row>
    <row r="37" spans="1:7" ht="15.75">
      <c r="A37" s="377" t="s">
        <v>573</v>
      </c>
      <c r="B37" s="377"/>
      <c r="C37" s="377"/>
      <c r="D37" s="377"/>
      <c r="E37" s="377"/>
      <c r="F37" s="377"/>
      <c r="G37" s="377"/>
    </row>
    <row r="38" spans="1:7" ht="15.75">
      <c r="A38" s="377" t="s">
        <v>574</v>
      </c>
      <c r="B38" s="377"/>
      <c r="C38" s="377"/>
      <c r="D38" s="377"/>
      <c r="E38" s="377"/>
      <c r="F38" s="377"/>
      <c r="G38" s="377"/>
    </row>
    <row r="39" spans="1:7" ht="15.75">
      <c r="A39" s="377" t="s">
        <v>575</v>
      </c>
      <c r="B39" s="377"/>
      <c r="C39" s="377"/>
      <c r="D39" s="377"/>
      <c r="E39" s="377"/>
      <c r="F39" s="377"/>
      <c r="G39" s="377"/>
    </row>
    <row r="40" spans="1:7" ht="15.75">
      <c r="A40" s="378"/>
      <c r="B40" s="378"/>
      <c r="C40" s="378"/>
      <c r="D40" s="378"/>
      <c r="E40" s="378"/>
      <c r="F40" s="378"/>
      <c r="G40" s="378"/>
    </row>
    <row r="41" spans="1:6" ht="15.75">
      <c r="A41" s="381" t="str">
        <f>CONCATENATE("So, let's look to see if any of your ",inputPrYr!D9-1," expenditures can")</f>
        <v>So, let's look to see if any of your 2012 expenditures can</v>
      </c>
      <c r="B41" s="377"/>
      <c r="C41" s="377"/>
      <c r="D41" s="377"/>
      <c r="E41" s="377"/>
      <c r="F41" s="377"/>
    </row>
    <row r="42" spans="1:6" ht="15.75">
      <c r="A42" s="381" t="s">
        <v>539</v>
      </c>
      <c r="B42" s="377"/>
      <c r="C42" s="377"/>
      <c r="D42" s="377"/>
      <c r="E42" s="377"/>
      <c r="F42" s="377"/>
    </row>
    <row r="43" spans="1:6" ht="15.75">
      <c r="A43" s="381" t="s">
        <v>423</v>
      </c>
      <c r="B43" s="377"/>
      <c r="C43" s="377"/>
      <c r="D43" s="377"/>
      <c r="E43" s="377"/>
      <c r="F43" s="377"/>
    </row>
    <row r="44" spans="1:6" ht="15.75">
      <c r="A44" s="381" t="s">
        <v>424</v>
      </c>
      <c r="B44" s="377"/>
      <c r="C44" s="377"/>
      <c r="D44" s="377"/>
      <c r="E44" s="377"/>
      <c r="F44" s="377"/>
    </row>
    <row r="45" ht="15.75">
      <c r="A45" s="377"/>
    </row>
    <row r="46" spans="1:6" ht="15.75">
      <c r="A46" s="381" t="str">
        <f>CONCATENATE("Additionally, do your ",inputPrYr!D9-1," receipts contain a reimbursement")</f>
        <v>Additionally, do your 2012 receipts contain a reimbursement</v>
      </c>
      <c r="B46" s="377"/>
      <c r="C46" s="377"/>
      <c r="D46" s="377"/>
      <c r="E46" s="377"/>
      <c r="F46" s="377"/>
    </row>
    <row r="47" spans="1:6" ht="15.75">
      <c r="A47" s="381" t="s">
        <v>425</v>
      </c>
      <c r="B47" s="377"/>
      <c r="C47" s="377"/>
      <c r="D47" s="377"/>
      <c r="E47" s="377"/>
      <c r="F47" s="377"/>
    </row>
    <row r="48" spans="1:6" ht="15.75">
      <c r="A48" s="381" t="s">
        <v>426</v>
      </c>
      <c r="B48" s="377"/>
      <c r="C48" s="377"/>
      <c r="D48" s="377"/>
      <c r="E48" s="377"/>
      <c r="F48" s="377"/>
    </row>
    <row r="49" spans="1:7" ht="15.75">
      <c r="A49" s="377"/>
      <c r="B49" s="377"/>
      <c r="C49" s="377"/>
      <c r="D49" s="377"/>
      <c r="E49" s="377"/>
      <c r="F49" s="377"/>
      <c r="G49" s="377"/>
    </row>
    <row r="50" spans="1:7" ht="15.75">
      <c r="A50" s="377" t="s">
        <v>493</v>
      </c>
      <c r="B50" s="377"/>
      <c r="C50" s="377"/>
      <c r="D50" s="377"/>
      <c r="E50" s="377"/>
      <c r="F50" s="377"/>
      <c r="G50" s="377"/>
    </row>
    <row r="51" spans="1:7" ht="15.75">
      <c r="A51" s="377" t="s">
        <v>494</v>
      </c>
      <c r="B51" s="377"/>
      <c r="C51" s="377"/>
      <c r="D51" s="377"/>
      <c r="E51" s="377"/>
      <c r="F51" s="377"/>
      <c r="G51" s="377"/>
    </row>
    <row r="52" spans="1:7" ht="15.75">
      <c r="A52" s="377" t="s">
        <v>495</v>
      </c>
      <c r="B52" s="377"/>
      <c r="C52" s="377"/>
      <c r="D52" s="377"/>
      <c r="E52" s="377"/>
      <c r="F52" s="377"/>
      <c r="G52" s="377"/>
    </row>
    <row r="53" spans="1:7" ht="15.75">
      <c r="A53" s="377" t="s">
        <v>496</v>
      </c>
      <c r="B53" s="377"/>
      <c r="C53" s="377"/>
      <c r="D53" s="377"/>
      <c r="E53" s="377"/>
      <c r="F53" s="377"/>
      <c r="G53" s="377"/>
    </row>
    <row r="54" spans="1:7" ht="15.75">
      <c r="A54" s="377" t="s">
        <v>497</v>
      </c>
      <c r="B54" s="377"/>
      <c r="C54" s="377"/>
      <c r="D54" s="377"/>
      <c r="E54" s="377"/>
      <c r="F54" s="377"/>
      <c r="G54" s="377"/>
    </row>
    <row r="55" spans="1:7" ht="15.75">
      <c r="A55" s="377"/>
      <c r="B55" s="377"/>
      <c r="C55" s="377"/>
      <c r="D55" s="377"/>
      <c r="E55" s="377"/>
      <c r="F55" s="377"/>
      <c r="G55" s="377"/>
    </row>
    <row r="56" spans="1:6" ht="15.75">
      <c r="A56" s="381" t="s">
        <v>435</v>
      </c>
      <c r="B56" s="377"/>
      <c r="C56" s="377"/>
      <c r="D56" s="377"/>
      <c r="E56" s="377"/>
      <c r="F56" s="377"/>
    </row>
    <row r="57" spans="1:6" ht="15.75">
      <c r="A57" s="381" t="s">
        <v>436</v>
      </c>
      <c r="B57" s="377"/>
      <c r="C57" s="377"/>
      <c r="D57" s="377"/>
      <c r="E57" s="377"/>
      <c r="F57" s="377"/>
    </row>
    <row r="58" spans="1:6" ht="15.75">
      <c r="A58" s="381" t="s">
        <v>437</v>
      </c>
      <c r="B58" s="377"/>
      <c r="C58" s="377"/>
      <c r="D58" s="377"/>
      <c r="E58" s="377"/>
      <c r="F58" s="377"/>
    </row>
    <row r="59" spans="1:6" ht="15.75">
      <c r="A59" s="381"/>
      <c r="B59" s="377"/>
      <c r="C59" s="377"/>
      <c r="D59" s="377"/>
      <c r="E59" s="377"/>
      <c r="F59" s="377"/>
    </row>
    <row r="60" spans="1:7" ht="15.75">
      <c r="A60" s="377" t="s">
        <v>576</v>
      </c>
      <c r="B60" s="377"/>
      <c r="C60" s="377"/>
      <c r="D60" s="377"/>
      <c r="E60" s="377"/>
      <c r="F60" s="377"/>
      <c r="G60" s="377"/>
    </row>
    <row r="61" spans="1:7" ht="15.75">
      <c r="A61" s="377" t="s">
        <v>577</v>
      </c>
      <c r="B61" s="377"/>
      <c r="C61" s="377"/>
      <c r="D61" s="377"/>
      <c r="E61" s="377"/>
      <c r="F61" s="377"/>
      <c r="G61" s="377"/>
    </row>
    <row r="62" spans="1:7" ht="15.75">
      <c r="A62" s="377" t="s">
        <v>578</v>
      </c>
      <c r="B62" s="377"/>
      <c r="C62" s="377"/>
      <c r="D62" s="377"/>
      <c r="E62" s="377"/>
      <c r="F62" s="377"/>
      <c r="G62" s="377"/>
    </row>
    <row r="63" spans="1:7" ht="15.75">
      <c r="A63" s="377" t="s">
        <v>579</v>
      </c>
      <c r="B63" s="377"/>
      <c r="C63" s="377"/>
      <c r="D63" s="377"/>
      <c r="E63" s="377"/>
      <c r="F63" s="377"/>
      <c r="G63" s="377"/>
    </row>
    <row r="64" spans="1:7" ht="15.75">
      <c r="A64" s="377" t="s">
        <v>580</v>
      </c>
      <c r="B64" s="377"/>
      <c r="C64" s="377"/>
      <c r="D64" s="377"/>
      <c r="E64" s="377"/>
      <c r="F64" s="377"/>
      <c r="G64" s="377"/>
    </row>
    <row r="66" spans="1:6" ht="15.75">
      <c r="A66" s="381" t="s">
        <v>543</v>
      </c>
      <c r="B66" s="377"/>
      <c r="C66" s="377"/>
      <c r="D66" s="377"/>
      <c r="E66" s="377"/>
      <c r="F66" s="377"/>
    </row>
    <row r="67" spans="1:6" ht="15.75">
      <c r="A67" s="381" t="s">
        <v>544</v>
      </c>
      <c r="B67" s="377"/>
      <c r="C67" s="377"/>
      <c r="D67" s="377"/>
      <c r="E67" s="377"/>
      <c r="F67" s="377"/>
    </row>
    <row r="68" spans="1:6" ht="15.75">
      <c r="A68" s="381" t="s">
        <v>545</v>
      </c>
      <c r="B68" s="377"/>
      <c r="C68" s="377"/>
      <c r="D68" s="377"/>
      <c r="E68" s="377"/>
      <c r="F68" s="377"/>
    </row>
    <row r="69" spans="1:6" ht="15.75">
      <c r="A69" s="381" t="s">
        <v>546</v>
      </c>
      <c r="B69" s="377"/>
      <c r="C69" s="377"/>
      <c r="D69" s="377"/>
      <c r="E69" s="377"/>
      <c r="F69" s="377"/>
    </row>
    <row r="70" spans="1:6" ht="15.75">
      <c r="A70" s="381" t="s">
        <v>547</v>
      </c>
      <c r="B70" s="377"/>
      <c r="C70" s="377"/>
      <c r="D70" s="377"/>
      <c r="E70" s="377"/>
      <c r="F70" s="377"/>
    </row>
    <row r="71" ht="15.75">
      <c r="A71" s="377"/>
    </row>
    <row r="72" ht="15.75">
      <c r="A72" s="377" t="s">
        <v>464</v>
      </c>
    </row>
    <row r="73" ht="15.75">
      <c r="A73" s="377"/>
    </row>
    <row r="74" ht="15.75">
      <c r="A74" s="377"/>
    </row>
    <row r="75" ht="15.75">
      <c r="A75" s="377"/>
    </row>
    <row r="78" ht="15.75">
      <c r="A78" s="378"/>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6" t="s">
        <v>581</v>
      </c>
      <c r="B3" s="376"/>
      <c r="C3" s="376"/>
      <c r="D3" s="376"/>
      <c r="E3" s="376"/>
      <c r="F3" s="376"/>
      <c r="G3" s="376"/>
    </row>
    <row r="4" spans="1:7" ht="15.75">
      <c r="A4" s="376" t="s">
        <v>582</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7" t="s">
        <v>409</v>
      </c>
    </row>
    <row r="8" ht="15.75">
      <c r="A8" s="377" t="str">
        <f>CONCATENATE("estimated ",inputPrYr!D9," 'total expenditures' exceed your ",inputPrYr!D9,"")</f>
        <v>estimated 2013 'total expenditures' exceed your 2013</v>
      </c>
    </row>
    <row r="9" ht="15.75">
      <c r="A9" s="380" t="s">
        <v>583</v>
      </c>
    </row>
    <row r="10" ht="15.75">
      <c r="A10" s="377"/>
    </row>
    <row r="11" ht="15.75">
      <c r="A11" s="377" t="s">
        <v>584</v>
      </c>
    </row>
    <row r="12" ht="15.75">
      <c r="A12" s="377" t="s">
        <v>585</v>
      </c>
    </row>
    <row r="13" ht="15.75">
      <c r="A13" s="377" t="s">
        <v>586</v>
      </c>
    </row>
    <row r="14" ht="15.75">
      <c r="A14" s="377"/>
    </row>
    <row r="15" ht="15.75">
      <c r="A15" s="378" t="s">
        <v>587</v>
      </c>
    </row>
    <row r="16" spans="1:7" ht="15.75">
      <c r="A16" s="376"/>
      <c r="B16" s="376"/>
      <c r="C16" s="376"/>
      <c r="D16" s="376"/>
      <c r="E16" s="376"/>
      <c r="F16" s="376"/>
      <c r="G16" s="376"/>
    </row>
    <row r="17" spans="1:8" ht="15.75">
      <c r="A17" s="383" t="s">
        <v>588</v>
      </c>
      <c r="B17" s="375"/>
      <c r="C17" s="375"/>
      <c r="D17" s="375"/>
      <c r="E17" s="375"/>
      <c r="F17" s="375"/>
      <c r="G17" s="375"/>
      <c r="H17" s="375"/>
    </row>
    <row r="18" spans="1:7" ht="15.75">
      <c r="A18" s="377" t="s">
        <v>589</v>
      </c>
      <c r="B18" s="384"/>
      <c r="C18" s="384"/>
      <c r="D18" s="384"/>
      <c r="E18" s="384"/>
      <c r="F18" s="384"/>
      <c r="G18" s="384"/>
    </row>
    <row r="19" ht="15.75">
      <c r="A19" s="377" t="s">
        <v>590</v>
      </c>
    </row>
    <row r="20" ht="15.75">
      <c r="A20" s="377" t="s">
        <v>591</v>
      </c>
    </row>
    <row r="22" ht="15.75">
      <c r="A22" s="378" t="s">
        <v>592</v>
      </c>
    </row>
    <row r="24" ht="15.75">
      <c r="A24" s="377" t="s">
        <v>593</v>
      </c>
    </row>
    <row r="25" ht="15.75">
      <c r="A25" s="377" t="s">
        <v>594</v>
      </c>
    </row>
    <row r="26" ht="15.75">
      <c r="A26" s="377" t="s">
        <v>595</v>
      </c>
    </row>
    <row r="28" ht="15.75">
      <c r="A28" s="378" t="s">
        <v>596</v>
      </c>
    </row>
    <row r="30" ht="15.75">
      <c r="A30" t="s">
        <v>597</v>
      </c>
    </row>
    <row r="31" ht="15.75">
      <c r="A31" t="s">
        <v>598</v>
      </c>
    </row>
    <row r="32" ht="15.75">
      <c r="A32" t="s">
        <v>599</v>
      </c>
    </row>
    <row r="33" ht="15.75">
      <c r="A33" s="377"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77" t="s">
        <v>613</v>
      </c>
    </row>
    <row r="50" ht="15.75">
      <c r="A50" s="377" t="s">
        <v>614</v>
      </c>
    </row>
    <row r="52" ht="15.75">
      <c r="A52" t="s">
        <v>464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8" customWidth="1"/>
    <col min="2" max="2" width="10.09765625" style="398" customWidth="1"/>
    <col min="3" max="3" width="6.69921875" style="398" customWidth="1"/>
    <col min="4" max="4" width="8.796875" style="398" customWidth="1"/>
    <col min="5" max="5" width="1.39062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488" customWidth="1"/>
    <col min="13" max="14" width="8.796875" style="488" customWidth="1"/>
    <col min="15" max="15" width="8.8984375" style="488" bestFit="1" customWidth="1"/>
    <col min="16" max="16384" width="8.796875" style="488"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868" t="s">
        <v>656</v>
      </c>
      <c r="C6" s="879"/>
      <c r="D6" s="879"/>
      <c r="E6" s="879"/>
      <c r="F6" s="879"/>
      <c r="G6" s="879"/>
      <c r="H6" s="879"/>
      <c r="I6" s="879"/>
      <c r="J6" s="879"/>
      <c r="K6" s="879"/>
      <c r="L6" s="399"/>
    </row>
    <row r="7" spans="1:12" ht="40.5" customHeight="1">
      <c r="A7" s="397"/>
      <c r="B7" s="888" t="s">
        <v>657</v>
      </c>
      <c r="C7" s="889"/>
      <c r="D7" s="889"/>
      <c r="E7" s="889"/>
      <c r="F7" s="889"/>
      <c r="G7" s="889"/>
      <c r="H7" s="889"/>
      <c r="I7" s="889"/>
      <c r="J7" s="889"/>
      <c r="K7" s="889"/>
      <c r="L7" s="397"/>
    </row>
    <row r="8" spans="1:12" ht="14.25">
      <c r="A8" s="397"/>
      <c r="B8" s="881" t="s">
        <v>658</v>
      </c>
      <c r="C8" s="881"/>
      <c r="D8" s="881"/>
      <c r="E8" s="881"/>
      <c r="F8" s="881"/>
      <c r="G8" s="881"/>
      <c r="H8" s="881"/>
      <c r="I8" s="881"/>
      <c r="J8" s="881"/>
      <c r="K8" s="881"/>
      <c r="L8" s="397"/>
    </row>
    <row r="9" spans="1:12" ht="14.25">
      <c r="A9" s="397"/>
      <c r="L9" s="397"/>
    </row>
    <row r="10" spans="1:12" ht="14.25">
      <c r="A10" s="397"/>
      <c r="B10" s="881" t="s">
        <v>659</v>
      </c>
      <c r="C10" s="881"/>
      <c r="D10" s="881"/>
      <c r="E10" s="881"/>
      <c r="F10" s="881"/>
      <c r="G10" s="881"/>
      <c r="H10" s="881"/>
      <c r="I10" s="881"/>
      <c r="J10" s="881"/>
      <c r="K10" s="881"/>
      <c r="L10" s="397"/>
    </row>
    <row r="11" spans="1:12" ht="14.25">
      <c r="A11" s="397"/>
      <c r="B11" s="400"/>
      <c r="C11" s="400"/>
      <c r="D11" s="400"/>
      <c r="E11" s="400"/>
      <c r="F11" s="400"/>
      <c r="G11" s="400"/>
      <c r="H11" s="400"/>
      <c r="I11" s="400"/>
      <c r="J11" s="400"/>
      <c r="K11" s="400"/>
      <c r="L11" s="397"/>
    </row>
    <row r="12" spans="1:12" ht="32.25" customHeight="1">
      <c r="A12" s="397"/>
      <c r="B12" s="869" t="s">
        <v>660</v>
      </c>
      <c r="C12" s="869"/>
      <c r="D12" s="869"/>
      <c r="E12" s="869"/>
      <c r="F12" s="869"/>
      <c r="G12" s="869"/>
      <c r="H12" s="869"/>
      <c r="I12" s="869"/>
      <c r="J12" s="869"/>
      <c r="K12" s="869"/>
      <c r="L12" s="397"/>
    </row>
    <row r="13" spans="1:12" ht="14.25">
      <c r="A13" s="397"/>
      <c r="L13" s="397"/>
    </row>
    <row r="14" spans="1:12" ht="14.25">
      <c r="A14" s="397"/>
      <c r="B14" s="401" t="s">
        <v>661</v>
      </c>
      <c r="L14" s="397"/>
    </row>
    <row r="15" spans="1:12" ht="14.25">
      <c r="A15" s="397"/>
      <c r="L15" s="397"/>
    </row>
    <row r="16" spans="1:12" ht="14.25">
      <c r="A16" s="397"/>
      <c r="B16" s="398" t="s">
        <v>662</v>
      </c>
      <c r="L16" s="397"/>
    </row>
    <row r="17" spans="1:12" ht="14.25">
      <c r="A17" s="397"/>
      <c r="B17" s="398" t="s">
        <v>663</v>
      </c>
      <c r="L17" s="397"/>
    </row>
    <row r="18" spans="1:12" ht="14.25">
      <c r="A18" s="397"/>
      <c r="L18" s="397"/>
    </row>
    <row r="19" spans="1:12" ht="14.25">
      <c r="A19" s="397"/>
      <c r="B19" s="401" t="s">
        <v>664</v>
      </c>
      <c r="L19" s="397"/>
    </row>
    <row r="20" spans="1:12" ht="14.25">
      <c r="A20" s="397"/>
      <c r="B20" s="401"/>
      <c r="L20" s="397"/>
    </row>
    <row r="21" spans="1:12" ht="14.25">
      <c r="A21" s="397"/>
      <c r="B21" s="398" t="s">
        <v>665</v>
      </c>
      <c r="L21" s="397"/>
    </row>
    <row r="22" spans="1:12" ht="14.25">
      <c r="A22" s="397"/>
      <c r="L22" s="397"/>
    </row>
    <row r="23" spans="1:12" ht="14.25">
      <c r="A23" s="397"/>
      <c r="B23" s="398" t="s">
        <v>666</v>
      </c>
      <c r="E23" s="398" t="s">
        <v>667</v>
      </c>
      <c r="F23" s="871">
        <v>133685008</v>
      </c>
      <c r="G23" s="871"/>
      <c r="L23" s="397"/>
    </row>
    <row r="24" spans="1:12" ht="14.25">
      <c r="A24" s="397"/>
      <c r="L24" s="397"/>
    </row>
    <row r="25" spans="1:12" ht="14.25">
      <c r="A25" s="397"/>
      <c r="C25" s="882">
        <f>F23</f>
        <v>133685008</v>
      </c>
      <c r="D25" s="882"/>
      <c r="E25" s="398" t="s">
        <v>668</v>
      </c>
      <c r="F25" s="402">
        <v>1000</v>
      </c>
      <c r="G25" s="402" t="s">
        <v>667</v>
      </c>
      <c r="H25" s="403">
        <f>F23/F25</f>
        <v>133685.008</v>
      </c>
      <c r="L25" s="397"/>
    </row>
    <row r="26" spans="1:12" ht="15" thickBot="1">
      <c r="A26" s="397"/>
      <c r="L26" s="397"/>
    </row>
    <row r="27" spans="1:12" ht="14.25">
      <c r="A27" s="397"/>
      <c r="B27" s="404" t="s">
        <v>661</v>
      </c>
      <c r="C27" s="405"/>
      <c r="D27" s="405"/>
      <c r="E27" s="405"/>
      <c r="F27" s="405"/>
      <c r="G27" s="405"/>
      <c r="H27" s="405"/>
      <c r="I27" s="405"/>
      <c r="J27" s="405"/>
      <c r="K27" s="406"/>
      <c r="L27" s="397"/>
    </row>
    <row r="28" spans="1:12" ht="14.25">
      <c r="A28" s="397"/>
      <c r="B28" s="407">
        <f>F23</f>
        <v>133685008</v>
      </c>
      <c r="C28" s="408" t="s">
        <v>669</v>
      </c>
      <c r="D28" s="408"/>
      <c r="E28" s="408" t="s">
        <v>668</v>
      </c>
      <c r="F28" s="409">
        <v>1000</v>
      </c>
      <c r="G28" s="409" t="s">
        <v>667</v>
      </c>
      <c r="H28" s="410">
        <f>B28/F28</f>
        <v>133685.008</v>
      </c>
      <c r="I28" s="408" t="s">
        <v>670</v>
      </c>
      <c r="J28" s="408"/>
      <c r="K28" s="411"/>
      <c r="L28" s="397"/>
    </row>
    <row r="29" spans="1:12" ht="15" thickBot="1">
      <c r="A29" s="397"/>
      <c r="B29" s="412"/>
      <c r="C29" s="413"/>
      <c r="D29" s="413"/>
      <c r="E29" s="413"/>
      <c r="F29" s="413"/>
      <c r="G29" s="413"/>
      <c r="H29" s="413"/>
      <c r="I29" s="413"/>
      <c r="J29" s="413"/>
      <c r="K29" s="414"/>
      <c r="L29" s="397"/>
    </row>
    <row r="30" spans="1:12" ht="40.5" customHeight="1">
      <c r="A30" s="397"/>
      <c r="B30" s="876" t="s">
        <v>657</v>
      </c>
      <c r="C30" s="876"/>
      <c r="D30" s="876"/>
      <c r="E30" s="876"/>
      <c r="F30" s="876"/>
      <c r="G30" s="876"/>
      <c r="H30" s="876"/>
      <c r="I30" s="876"/>
      <c r="J30" s="876"/>
      <c r="K30" s="876"/>
      <c r="L30" s="397"/>
    </row>
    <row r="31" spans="1:12" ht="14.25">
      <c r="A31" s="397"/>
      <c r="B31" s="881" t="s">
        <v>671</v>
      </c>
      <c r="C31" s="881"/>
      <c r="D31" s="881"/>
      <c r="E31" s="881"/>
      <c r="F31" s="881"/>
      <c r="G31" s="881"/>
      <c r="H31" s="881"/>
      <c r="I31" s="881"/>
      <c r="J31" s="881"/>
      <c r="K31" s="881"/>
      <c r="L31" s="397"/>
    </row>
    <row r="32" spans="1:12" ht="14.25">
      <c r="A32" s="397"/>
      <c r="L32" s="397"/>
    </row>
    <row r="33" spans="1:12" ht="14.25">
      <c r="A33" s="397"/>
      <c r="B33" s="881" t="s">
        <v>672</v>
      </c>
      <c r="C33" s="881"/>
      <c r="D33" s="881"/>
      <c r="E33" s="881"/>
      <c r="F33" s="881"/>
      <c r="G33" s="881"/>
      <c r="H33" s="881"/>
      <c r="I33" s="881"/>
      <c r="J33" s="881"/>
      <c r="K33" s="881"/>
      <c r="L33" s="397"/>
    </row>
    <row r="34" spans="1:12" ht="14.25">
      <c r="A34" s="397"/>
      <c r="L34" s="397"/>
    </row>
    <row r="35" spans="1:12" ht="89.25" customHeight="1">
      <c r="A35" s="397"/>
      <c r="B35" s="869" t="s">
        <v>673</v>
      </c>
      <c r="C35" s="874"/>
      <c r="D35" s="874"/>
      <c r="E35" s="874"/>
      <c r="F35" s="874"/>
      <c r="G35" s="874"/>
      <c r="H35" s="874"/>
      <c r="I35" s="874"/>
      <c r="J35" s="874"/>
      <c r="K35" s="874"/>
      <c r="L35" s="397"/>
    </row>
    <row r="36" spans="1:12" ht="14.25">
      <c r="A36" s="397"/>
      <c r="L36" s="397"/>
    </row>
    <row r="37" spans="1:12" ht="14.25">
      <c r="A37" s="397"/>
      <c r="B37" s="401" t="s">
        <v>674</v>
      </c>
      <c r="L37" s="397"/>
    </row>
    <row r="38" spans="1:12" ht="14.25">
      <c r="A38" s="397"/>
      <c r="L38" s="397"/>
    </row>
    <row r="39" spans="1:12" ht="14.25">
      <c r="A39" s="397"/>
      <c r="B39" s="398" t="s">
        <v>675</v>
      </c>
      <c r="L39" s="397"/>
    </row>
    <row r="40" spans="1:12" ht="14.25">
      <c r="A40" s="397"/>
      <c r="L40" s="397"/>
    </row>
    <row r="41" spans="1:12" ht="14.25">
      <c r="A41" s="397"/>
      <c r="C41" s="883">
        <v>3120000</v>
      </c>
      <c r="D41" s="883"/>
      <c r="E41" s="398" t="s">
        <v>668</v>
      </c>
      <c r="F41" s="402">
        <v>1000</v>
      </c>
      <c r="G41" s="402" t="s">
        <v>667</v>
      </c>
      <c r="H41" s="415">
        <f>C41/F41</f>
        <v>3120</v>
      </c>
      <c r="L41" s="397"/>
    </row>
    <row r="42" spans="1:12" ht="14.25">
      <c r="A42" s="397"/>
      <c r="L42" s="397"/>
    </row>
    <row r="43" spans="1:12" ht="14.25">
      <c r="A43" s="397"/>
      <c r="B43" s="398" t="s">
        <v>676</v>
      </c>
      <c r="L43" s="397"/>
    </row>
    <row r="44" spans="1:12" ht="14.25">
      <c r="A44" s="397"/>
      <c r="L44" s="397"/>
    </row>
    <row r="45" spans="1:12" ht="14.25">
      <c r="A45" s="397"/>
      <c r="B45" s="398" t="s">
        <v>677</v>
      </c>
      <c r="L45" s="397"/>
    </row>
    <row r="46" spans="1:12" ht="15" thickBot="1">
      <c r="A46" s="397"/>
      <c r="L46" s="397"/>
    </row>
    <row r="47" spans="1:12" ht="14.25">
      <c r="A47" s="397"/>
      <c r="B47" s="416" t="s">
        <v>661</v>
      </c>
      <c r="C47" s="405"/>
      <c r="D47" s="405"/>
      <c r="E47" s="405"/>
      <c r="F47" s="405"/>
      <c r="G47" s="405"/>
      <c r="H47" s="405"/>
      <c r="I47" s="405"/>
      <c r="J47" s="405"/>
      <c r="K47" s="406"/>
      <c r="L47" s="397"/>
    </row>
    <row r="48" spans="1:12" ht="14.25">
      <c r="A48" s="397"/>
      <c r="B48" s="871">
        <v>133685008</v>
      </c>
      <c r="C48" s="871"/>
      <c r="D48" s="408" t="s">
        <v>678</v>
      </c>
      <c r="E48" s="408" t="s">
        <v>668</v>
      </c>
      <c r="F48" s="409">
        <v>1000</v>
      </c>
      <c r="G48" s="409" t="s">
        <v>667</v>
      </c>
      <c r="H48" s="410">
        <f>B48/F48</f>
        <v>133685.008</v>
      </c>
      <c r="I48" s="408" t="s">
        <v>679</v>
      </c>
      <c r="J48" s="408"/>
      <c r="K48" s="411"/>
      <c r="L48" s="397"/>
    </row>
    <row r="49" spans="1:12" ht="14.25">
      <c r="A49" s="397"/>
      <c r="B49" s="417"/>
      <c r="C49" s="408"/>
      <c r="D49" s="408"/>
      <c r="E49" s="408"/>
      <c r="F49" s="408"/>
      <c r="G49" s="408"/>
      <c r="H49" s="408"/>
      <c r="I49" s="408"/>
      <c r="J49" s="408"/>
      <c r="K49" s="411"/>
      <c r="L49" s="397"/>
    </row>
    <row r="50" spans="1:12" ht="14.25">
      <c r="A50" s="397"/>
      <c r="B50" s="418">
        <v>7067793</v>
      </c>
      <c r="C50" s="408" t="s">
        <v>680</v>
      </c>
      <c r="D50" s="408"/>
      <c r="E50" s="408" t="s">
        <v>668</v>
      </c>
      <c r="F50" s="410">
        <f>H48</f>
        <v>133685.008</v>
      </c>
      <c r="G50" s="884" t="s">
        <v>681</v>
      </c>
      <c r="H50" s="885"/>
      <c r="I50" s="409" t="s">
        <v>667</v>
      </c>
      <c r="J50" s="419">
        <f>B50/F50</f>
        <v>52.8690023342034</v>
      </c>
      <c r="K50" s="411"/>
      <c r="L50" s="397"/>
    </row>
    <row r="51" spans="1:15" ht="15" thickBot="1">
      <c r="A51" s="397"/>
      <c r="B51" s="412"/>
      <c r="C51" s="413"/>
      <c r="D51" s="413"/>
      <c r="E51" s="413"/>
      <c r="F51" s="413"/>
      <c r="G51" s="413"/>
      <c r="H51" s="413"/>
      <c r="I51" s="886" t="s">
        <v>682</v>
      </c>
      <c r="J51" s="886"/>
      <c r="K51" s="887"/>
      <c r="L51" s="397"/>
      <c r="O51" s="420"/>
    </row>
    <row r="52" spans="1:12" ht="40.5" customHeight="1">
      <c r="A52" s="397"/>
      <c r="B52" s="876" t="s">
        <v>657</v>
      </c>
      <c r="C52" s="876"/>
      <c r="D52" s="876"/>
      <c r="E52" s="876"/>
      <c r="F52" s="876"/>
      <c r="G52" s="876"/>
      <c r="H52" s="876"/>
      <c r="I52" s="876"/>
      <c r="J52" s="876"/>
      <c r="K52" s="876"/>
      <c r="L52" s="397"/>
    </row>
    <row r="53" spans="1:12" ht="14.25">
      <c r="A53" s="397"/>
      <c r="B53" s="881" t="s">
        <v>683</v>
      </c>
      <c r="C53" s="881"/>
      <c r="D53" s="881"/>
      <c r="E53" s="881"/>
      <c r="F53" s="881"/>
      <c r="G53" s="881"/>
      <c r="H53" s="881"/>
      <c r="I53" s="881"/>
      <c r="J53" s="881"/>
      <c r="K53" s="881"/>
      <c r="L53" s="397"/>
    </row>
    <row r="54" spans="1:12" ht="14.25">
      <c r="A54" s="397"/>
      <c r="B54" s="400"/>
      <c r="C54" s="400"/>
      <c r="D54" s="400"/>
      <c r="E54" s="400"/>
      <c r="F54" s="400"/>
      <c r="G54" s="400"/>
      <c r="H54" s="400"/>
      <c r="I54" s="400"/>
      <c r="J54" s="400"/>
      <c r="K54" s="400"/>
      <c r="L54" s="397"/>
    </row>
    <row r="55" spans="1:12" ht="14.25">
      <c r="A55" s="397"/>
      <c r="B55" s="868" t="s">
        <v>684</v>
      </c>
      <c r="C55" s="868"/>
      <c r="D55" s="868"/>
      <c r="E55" s="868"/>
      <c r="F55" s="868"/>
      <c r="G55" s="868"/>
      <c r="H55" s="868"/>
      <c r="I55" s="868"/>
      <c r="J55" s="868"/>
      <c r="K55" s="868"/>
      <c r="L55" s="397"/>
    </row>
    <row r="56" spans="1:12" ht="15" customHeight="1">
      <c r="A56" s="397"/>
      <c r="L56" s="397"/>
    </row>
    <row r="57" spans="1:24" ht="74.25" customHeight="1">
      <c r="A57" s="397"/>
      <c r="B57" s="869" t="s">
        <v>685</v>
      </c>
      <c r="C57" s="874"/>
      <c r="D57" s="874"/>
      <c r="E57" s="874"/>
      <c r="F57" s="874"/>
      <c r="G57" s="874"/>
      <c r="H57" s="874"/>
      <c r="I57" s="874"/>
      <c r="J57" s="874"/>
      <c r="K57" s="874"/>
      <c r="L57" s="397"/>
      <c r="M57" s="421"/>
      <c r="N57" s="422"/>
      <c r="O57" s="422"/>
      <c r="P57" s="422"/>
      <c r="Q57" s="422"/>
      <c r="R57" s="422"/>
      <c r="S57" s="422"/>
      <c r="T57" s="422"/>
      <c r="U57" s="422"/>
      <c r="V57" s="422"/>
      <c r="W57" s="422"/>
      <c r="X57" s="422"/>
    </row>
    <row r="58" spans="1:24" ht="15" customHeight="1">
      <c r="A58" s="397"/>
      <c r="B58" s="869"/>
      <c r="C58" s="874"/>
      <c r="D58" s="874"/>
      <c r="E58" s="874"/>
      <c r="F58" s="874"/>
      <c r="G58" s="874"/>
      <c r="H58" s="874"/>
      <c r="I58" s="874"/>
      <c r="J58" s="874"/>
      <c r="K58" s="874"/>
      <c r="L58" s="397"/>
      <c r="M58" s="421"/>
      <c r="N58" s="422"/>
      <c r="O58" s="422"/>
      <c r="P58" s="422"/>
      <c r="Q58" s="422"/>
      <c r="R58" s="422"/>
      <c r="S58" s="422"/>
      <c r="T58" s="422"/>
      <c r="U58" s="422"/>
      <c r="V58" s="422"/>
      <c r="W58" s="422"/>
      <c r="X58" s="422"/>
    </row>
    <row r="59" spans="1:24" ht="14.25">
      <c r="A59" s="397"/>
      <c r="B59" s="401" t="s">
        <v>674</v>
      </c>
      <c r="L59" s="397"/>
      <c r="M59" s="422"/>
      <c r="N59" s="422"/>
      <c r="O59" s="422"/>
      <c r="P59" s="422"/>
      <c r="Q59" s="422"/>
      <c r="R59" s="422"/>
      <c r="S59" s="422"/>
      <c r="T59" s="422"/>
      <c r="U59" s="422"/>
      <c r="V59" s="422"/>
      <c r="W59" s="422"/>
      <c r="X59" s="422"/>
    </row>
    <row r="60" spans="1:24" ht="14.25">
      <c r="A60" s="397"/>
      <c r="L60" s="397"/>
      <c r="M60" s="422"/>
      <c r="N60" s="422"/>
      <c r="O60" s="422"/>
      <c r="P60" s="422"/>
      <c r="Q60" s="422"/>
      <c r="R60" s="422"/>
      <c r="S60" s="422"/>
      <c r="T60" s="422"/>
      <c r="U60" s="422"/>
      <c r="V60" s="422"/>
      <c r="W60" s="422"/>
      <c r="X60" s="422"/>
    </row>
    <row r="61" spans="1:24" ht="14.25">
      <c r="A61" s="397"/>
      <c r="B61" s="398" t="s">
        <v>686</v>
      </c>
      <c r="L61" s="397"/>
      <c r="M61" s="422"/>
      <c r="N61" s="422"/>
      <c r="O61" s="422"/>
      <c r="P61" s="422"/>
      <c r="Q61" s="422"/>
      <c r="R61" s="422"/>
      <c r="S61" s="422"/>
      <c r="T61" s="422"/>
      <c r="U61" s="422"/>
      <c r="V61" s="422"/>
      <c r="W61" s="422"/>
      <c r="X61" s="422"/>
    </row>
    <row r="62" spans="1:24" ht="14.25">
      <c r="A62" s="397"/>
      <c r="B62" s="398" t="s">
        <v>687</v>
      </c>
      <c r="L62" s="397"/>
      <c r="M62" s="422"/>
      <c r="N62" s="422"/>
      <c r="O62" s="422"/>
      <c r="P62" s="422"/>
      <c r="Q62" s="422"/>
      <c r="R62" s="422"/>
      <c r="S62" s="422"/>
      <c r="T62" s="422"/>
      <c r="U62" s="422"/>
      <c r="V62" s="422"/>
      <c r="W62" s="422"/>
      <c r="X62" s="422"/>
    </row>
    <row r="63" spans="1:24" ht="14.25">
      <c r="A63" s="397"/>
      <c r="B63" s="398" t="s">
        <v>688</v>
      </c>
      <c r="L63" s="397"/>
      <c r="M63" s="422"/>
      <c r="N63" s="422"/>
      <c r="O63" s="422"/>
      <c r="P63" s="422"/>
      <c r="Q63" s="422"/>
      <c r="R63" s="422"/>
      <c r="S63" s="422"/>
      <c r="T63" s="422"/>
      <c r="U63" s="422"/>
      <c r="V63" s="422"/>
      <c r="W63" s="422"/>
      <c r="X63" s="422"/>
    </row>
    <row r="64" spans="1:24" ht="14.25">
      <c r="A64" s="397"/>
      <c r="L64" s="397"/>
      <c r="M64" s="422"/>
      <c r="N64" s="422"/>
      <c r="O64" s="422"/>
      <c r="P64" s="422"/>
      <c r="Q64" s="422"/>
      <c r="R64" s="422"/>
      <c r="S64" s="422"/>
      <c r="T64" s="422"/>
      <c r="U64" s="422"/>
      <c r="V64" s="422"/>
      <c r="W64" s="422"/>
      <c r="X64" s="422"/>
    </row>
    <row r="65" spans="1:24" ht="14.25">
      <c r="A65" s="397"/>
      <c r="B65" s="398" t="s">
        <v>689</v>
      </c>
      <c r="L65" s="397"/>
      <c r="M65" s="422"/>
      <c r="N65" s="422"/>
      <c r="O65" s="422"/>
      <c r="P65" s="422"/>
      <c r="Q65" s="422"/>
      <c r="R65" s="422"/>
      <c r="S65" s="422"/>
      <c r="T65" s="422"/>
      <c r="U65" s="422"/>
      <c r="V65" s="422"/>
      <c r="W65" s="422"/>
      <c r="X65" s="422"/>
    </row>
    <row r="66" spans="1:24" ht="14.25">
      <c r="A66" s="397"/>
      <c r="B66" s="398" t="s">
        <v>690</v>
      </c>
      <c r="L66" s="397"/>
      <c r="M66" s="422"/>
      <c r="N66" s="422"/>
      <c r="O66" s="422"/>
      <c r="P66" s="422"/>
      <c r="Q66" s="422"/>
      <c r="R66" s="422"/>
      <c r="S66" s="422"/>
      <c r="T66" s="422"/>
      <c r="U66" s="422"/>
      <c r="V66" s="422"/>
      <c r="W66" s="422"/>
      <c r="X66" s="422"/>
    </row>
    <row r="67" spans="1:24" ht="14.25">
      <c r="A67" s="397"/>
      <c r="L67" s="397"/>
      <c r="M67" s="422"/>
      <c r="N67" s="422"/>
      <c r="O67" s="422"/>
      <c r="P67" s="422"/>
      <c r="Q67" s="422"/>
      <c r="R67" s="422"/>
      <c r="S67" s="422"/>
      <c r="T67" s="422"/>
      <c r="U67" s="422"/>
      <c r="V67" s="422"/>
      <c r="W67" s="422"/>
      <c r="X67" s="422"/>
    </row>
    <row r="68" spans="1:24" ht="14.25">
      <c r="A68" s="397"/>
      <c r="B68" s="398" t="s">
        <v>691</v>
      </c>
      <c r="L68" s="397"/>
      <c r="M68" s="423"/>
      <c r="N68" s="424"/>
      <c r="O68" s="424"/>
      <c r="P68" s="424"/>
      <c r="Q68" s="424"/>
      <c r="R68" s="424"/>
      <c r="S68" s="424"/>
      <c r="T68" s="424"/>
      <c r="U68" s="424"/>
      <c r="V68" s="424"/>
      <c r="W68" s="424"/>
      <c r="X68" s="422"/>
    </row>
    <row r="69" spans="1:24" ht="14.25">
      <c r="A69" s="397"/>
      <c r="B69" s="398" t="s">
        <v>692</v>
      </c>
      <c r="L69" s="397"/>
      <c r="M69" s="422"/>
      <c r="N69" s="422"/>
      <c r="O69" s="422"/>
      <c r="P69" s="422"/>
      <c r="Q69" s="422"/>
      <c r="R69" s="422"/>
      <c r="S69" s="422"/>
      <c r="T69" s="422"/>
      <c r="U69" s="422"/>
      <c r="V69" s="422"/>
      <c r="W69" s="422"/>
      <c r="X69" s="422"/>
    </row>
    <row r="70" spans="1:24" ht="14.25">
      <c r="A70" s="397"/>
      <c r="B70" s="398" t="s">
        <v>693</v>
      </c>
      <c r="L70" s="397"/>
      <c r="M70" s="422"/>
      <c r="N70" s="422"/>
      <c r="O70" s="422"/>
      <c r="P70" s="422"/>
      <c r="Q70" s="422"/>
      <c r="R70" s="422"/>
      <c r="S70" s="422"/>
      <c r="T70" s="422"/>
      <c r="U70" s="422"/>
      <c r="V70" s="422"/>
      <c r="W70" s="422"/>
      <c r="X70" s="422"/>
    </row>
    <row r="71" spans="1:12" ht="15" thickBot="1">
      <c r="A71" s="397"/>
      <c r="B71" s="408"/>
      <c r="C71" s="408"/>
      <c r="D71" s="408"/>
      <c r="E71" s="408"/>
      <c r="F71" s="408"/>
      <c r="G71" s="408"/>
      <c r="H71" s="408"/>
      <c r="I71" s="408"/>
      <c r="J71" s="408"/>
      <c r="K71" s="408"/>
      <c r="L71" s="397"/>
    </row>
    <row r="72" spans="1:12" ht="14.25">
      <c r="A72" s="397"/>
      <c r="B72" s="404" t="s">
        <v>661</v>
      </c>
      <c r="C72" s="405"/>
      <c r="D72" s="405"/>
      <c r="E72" s="405"/>
      <c r="F72" s="405"/>
      <c r="G72" s="405"/>
      <c r="H72" s="405"/>
      <c r="I72" s="405"/>
      <c r="J72" s="405"/>
      <c r="K72" s="406"/>
      <c r="L72" s="425"/>
    </row>
    <row r="73" spans="1:12" ht="14.25">
      <c r="A73" s="397"/>
      <c r="B73" s="417"/>
      <c r="C73" s="408" t="s">
        <v>669</v>
      </c>
      <c r="D73" s="408"/>
      <c r="E73" s="408"/>
      <c r="F73" s="408"/>
      <c r="G73" s="408"/>
      <c r="H73" s="408"/>
      <c r="I73" s="408"/>
      <c r="J73" s="408"/>
      <c r="K73" s="411"/>
      <c r="L73" s="425"/>
    </row>
    <row r="74" spans="1:12" ht="14.25">
      <c r="A74" s="397"/>
      <c r="B74" s="417" t="s">
        <v>694</v>
      </c>
      <c r="C74" s="871">
        <v>133685008</v>
      </c>
      <c r="D74" s="871"/>
      <c r="E74" s="409" t="s">
        <v>668</v>
      </c>
      <c r="F74" s="409">
        <v>1000</v>
      </c>
      <c r="G74" s="409" t="s">
        <v>667</v>
      </c>
      <c r="H74" s="426">
        <f>C74/F74</f>
        <v>133685.008</v>
      </c>
      <c r="I74" s="408" t="s">
        <v>695</v>
      </c>
      <c r="J74" s="408"/>
      <c r="K74" s="411"/>
      <c r="L74" s="425"/>
    </row>
    <row r="75" spans="1:12" ht="14.25">
      <c r="A75" s="397"/>
      <c r="B75" s="417"/>
      <c r="C75" s="408"/>
      <c r="D75" s="408"/>
      <c r="E75" s="409"/>
      <c r="F75" s="408"/>
      <c r="G75" s="408"/>
      <c r="H75" s="408"/>
      <c r="I75" s="408"/>
      <c r="J75" s="408"/>
      <c r="K75" s="411"/>
      <c r="L75" s="425"/>
    </row>
    <row r="76" spans="1:12" ht="14.25">
      <c r="A76" s="397"/>
      <c r="B76" s="417"/>
      <c r="C76" s="408" t="s">
        <v>696</v>
      </c>
      <c r="D76" s="408"/>
      <c r="E76" s="409"/>
      <c r="F76" s="408" t="s">
        <v>695</v>
      </c>
      <c r="G76" s="408"/>
      <c r="H76" s="408"/>
      <c r="I76" s="408"/>
      <c r="J76" s="408"/>
      <c r="K76" s="411"/>
      <c r="L76" s="425"/>
    </row>
    <row r="77" spans="1:12" ht="14.25">
      <c r="A77" s="397"/>
      <c r="B77" s="417" t="s">
        <v>697</v>
      </c>
      <c r="C77" s="871">
        <v>5000</v>
      </c>
      <c r="D77" s="871"/>
      <c r="E77" s="409" t="s">
        <v>668</v>
      </c>
      <c r="F77" s="426">
        <f>H74</f>
        <v>133685.008</v>
      </c>
      <c r="G77" s="409" t="s">
        <v>667</v>
      </c>
      <c r="H77" s="419">
        <f>C77/F77</f>
        <v>0.03740135169083432</v>
      </c>
      <c r="I77" s="408" t="s">
        <v>698</v>
      </c>
      <c r="J77" s="408"/>
      <c r="K77" s="411"/>
      <c r="L77" s="425"/>
    </row>
    <row r="78" spans="1:12" ht="14.25">
      <c r="A78" s="397"/>
      <c r="B78" s="417"/>
      <c r="C78" s="408"/>
      <c r="D78" s="408"/>
      <c r="E78" s="409"/>
      <c r="F78" s="408"/>
      <c r="G78" s="408"/>
      <c r="H78" s="408"/>
      <c r="I78" s="408"/>
      <c r="J78" s="408"/>
      <c r="K78" s="411"/>
      <c r="L78" s="425"/>
    </row>
    <row r="79" spans="1:12" ht="14.25">
      <c r="A79" s="397"/>
      <c r="B79" s="427"/>
      <c r="C79" s="428" t="s">
        <v>699</v>
      </c>
      <c r="D79" s="428"/>
      <c r="E79" s="429"/>
      <c r="F79" s="428"/>
      <c r="G79" s="428"/>
      <c r="H79" s="428"/>
      <c r="I79" s="428"/>
      <c r="J79" s="428"/>
      <c r="K79" s="430"/>
      <c r="L79" s="425"/>
    </row>
    <row r="80" spans="1:12" ht="14.25">
      <c r="A80" s="397"/>
      <c r="B80" s="417" t="s">
        <v>700</v>
      </c>
      <c r="C80" s="871">
        <v>100000</v>
      </c>
      <c r="D80" s="871"/>
      <c r="E80" s="409" t="s">
        <v>255</v>
      </c>
      <c r="F80" s="409">
        <v>0.115</v>
      </c>
      <c r="G80" s="409" t="s">
        <v>667</v>
      </c>
      <c r="H80" s="426">
        <f>C80*F80</f>
        <v>11500</v>
      </c>
      <c r="I80" s="408" t="s">
        <v>701</v>
      </c>
      <c r="J80" s="408"/>
      <c r="K80" s="411"/>
      <c r="L80" s="425"/>
    </row>
    <row r="81" spans="1:12" ht="14.25">
      <c r="A81" s="397"/>
      <c r="B81" s="417"/>
      <c r="C81" s="408"/>
      <c r="D81" s="408"/>
      <c r="E81" s="409"/>
      <c r="F81" s="408"/>
      <c r="G81" s="408"/>
      <c r="H81" s="408"/>
      <c r="I81" s="408"/>
      <c r="J81" s="408"/>
      <c r="K81" s="411"/>
      <c r="L81" s="425"/>
    </row>
    <row r="82" spans="1:12" ht="14.25">
      <c r="A82" s="397"/>
      <c r="B82" s="427"/>
      <c r="C82" s="428" t="s">
        <v>702</v>
      </c>
      <c r="D82" s="428"/>
      <c r="E82" s="429"/>
      <c r="F82" s="428" t="s">
        <v>698</v>
      </c>
      <c r="G82" s="428"/>
      <c r="H82" s="428"/>
      <c r="I82" s="428"/>
      <c r="J82" s="428" t="s">
        <v>703</v>
      </c>
      <c r="K82" s="430"/>
      <c r="L82" s="425"/>
    </row>
    <row r="83" spans="1:12" ht="14.25">
      <c r="A83" s="397"/>
      <c r="B83" s="417" t="s">
        <v>704</v>
      </c>
      <c r="C83" s="875">
        <f>H80</f>
        <v>11500</v>
      </c>
      <c r="D83" s="875"/>
      <c r="E83" s="409" t="s">
        <v>255</v>
      </c>
      <c r="F83" s="419">
        <f>H77</f>
        <v>0.03740135169083432</v>
      </c>
      <c r="G83" s="409" t="s">
        <v>668</v>
      </c>
      <c r="H83" s="409">
        <v>1000</v>
      </c>
      <c r="I83" s="409" t="s">
        <v>667</v>
      </c>
      <c r="J83" s="431">
        <f>C83*F83/H83</f>
        <v>0.43011554444459466</v>
      </c>
      <c r="K83" s="411"/>
      <c r="L83" s="425"/>
    </row>
    <row r="84" spans="1:12" ht="15" thickBot="1">
      <c r="A84" s="397"/>
      <c r="B84" s="412"/>
      <c r="C84" s="432"/>
      <c r="D84" s="432"/>
      <c r="E84" s="433"/>
      <c r="F84" s="434"/>
      <c r="G84" s="433"/>
      <c r="H84" s="433"/>
      <c r="I84" s="433"/>
      <c r="J84" s="435"/>
      <c r="K84" s="414"/>
      <c r="L84" s="425"/>
    </row>
    <row r="85" spans="1:12" ht="40.5" customHeight="1">
      <c r="A85" s="397"/>
      <c r="B85" s="876" t="s">
        <v>657</v>
      </c>
      <c r="C85" s="876"/>
      <c r="D85" s="876"/>
      <c r="E85" s="876"/>
      <c r="F85" s="876"/>
      <c r="G85" s="876"/>
      <c r="H85" s="876"/>
      <c r="I85" s="876"/>
      <c r="J85" s="876"/>
      <c r="K85" s="876"/>
      <c r="L85" s="397"/>
    </row>
    <row r="86" spans="1:12" ht="14.25">
      <c r="A86" s="397"/>
      <c r="B86" s="868" t="s">
        <v>705</v>
      </c>
      <c r="C86" s="868"/>
      <c r="D86" s="868"/>
      <c r="E86" s="868"/>
      <c r="F86" s="868"/>
      <c r="G86" s="868"/>
      <c r="H86" s="868"/>
      <c r="I86" s="868"/>
      <c r="J86" s="868"/>
      <c r="K86" s="868"/>
      <c r="L86" s="397"/>
    </row>
    <row r="87" spans="1:12" ht="14.25">
      <c r="A87" s="397"/>
      <c r="B87" s="436"/>
      <c r="C87" s="436"/>
      <c r="D87" s="436"/>
      <c r="E87" s="436"/>
      <c r="F87" s="436"/>
      <c r="G87" s="436"/>
      <c r="H87" s="436"/>
      <c r="I87" s="436"/>
      <c r="J87" s="436"/>
      <c r="K87" s="436"/>
      <c r="L87" s="397"/>
    </row>
    <row r="88" spans="1:12" ht="14.25">
      <c r="A88" s="397"/>
      <c r="B88" s="868" t="s">
        <v>706</v>
      </c>
      <c r="C88" s="868"/>
      <c r="D88" s="868"/>
      <c r="E88" s="868"/>
      <c r="F88" s="868"/>
      <c r="G88" s="868"/>
      <c r="H88" s="868"/>
      <c r="I88" s="868"/>
      <c r="J88" s="868"/>
      <c r="K88" s="868"/>
      <c r="L88" s="397"/>
    </row>
    <row r="89" spans="1:12" ht="14.25">
      <c r="A89" s="397"/>
      <c r="B89" s="437"/>
      <c r="C89" s="437"/>
      <c r="D89" s="437"/>
      <c r="E89" s="437"/>
      <c r="F89" s="437"/>
      <c r="G89" s="437"/>
      <c r="H89" s="437"/>
      <c r="I89" s="437"/>
      <c r="J89" s="437"/>
      <c r="K89" s="437"/>
      <c r="L89" s="397"/>
    </row>
    <row r="90" spans="1:12" ht="45" customHeight="1">
      <c r="A90" s="397"/>
      <c r="B90" s="869" t="s">
        <v>707</v>
      </c>
      <c r="C90" s="869"/>
      <c r="D90" s="869"/>
      <c r="E90" s="869"/>
      <c r="F90" s="869"/>
      <c r="G90" s="869"/>
      <c r="H90" s="869"/>
      <c r="I90" s="869"/>
      <c r="J90" s="869"/>
      <c r="K90" s="869"/>
      <c r="L90" s="397"/>
    </row>
    <row r="91" spans="1:12" ht="15" customHeight="1" thickBot="1">
      <c r="A91" s="397"/>
      <c r="L91" s="397"/>
    </row>
    <row r="92" spans="1:12" ht="15" customHeight="1">
      <c r="A92" s="397"/>
      <c r="B92" s="438" t="s">
        <v>661</v>
      </c>
      <c r="C92" s="439"/>
      <c r="D92" s="439"/>
      <c r="E92" s="439"/>
      <c r="F92" s="439"/>
      <c r="G92" s="439"/>
      <c r="H92" s="439"/>
      <c r="I92" s="439"/>
      <c r="J92" s="439"/>
      <c r="K92" s="440"/>
      <c r="L92" s="397"/>
    </row>
    <row r="93" spans="1:12" ht="15" customHeight="1">
      <c r="A93" s="397"/>
      <c r="B93" s="441"/>
      <c r="C93" s="442" t="s">
        <v>669</v>
      </c>
      <c r="D93" s="442"/>
      <c r="E93" s="442"/>
      <c r="F93" s="442"/>
      <c r="G93" s="442"/>
      <c r="H93" s="442"/>
      <c r="I93" s="442"/>
      <c r="J93" s="442"/>
      <c r="K93" s="443"/>
      <c r="L93" s="397"/>
    </row>
    <row r="94" spans="1:12" ht="15" customHeight="1">
      <c r="A94" s="397"/>
      <c r="B94" s="441" t="s">
        <v>694</v>
      </c>
      <c r="C94" s="871">
        <v>133685008</v>
      </c>
      <c r="D94" s="871"/>
      <c r="E94" s="409" t="s">
        <v>668</v>
      </c>
      <c r="F94" s="409">
        <v>1000</v>
      </c>
      <c r="G94" s="409" t="s">
        <v>667</v>
      </c>
      <c r="H94" s="426">
        <f>C94/F94</f>
        <v>133685.008</v>
      </c>
      <c r="I94" s="442" t="s">
        <v>695</v>
      </c>
      <c r="J94" s="442"/>
      <c r="K94" s="443"/>
      <c r="L94" s="397"/>
    </row>
    <row r="95" spans="1:12" ht="15" customHeight="1">
      <c r="A95" s="397"/>
      <c r="B95" s="441"/>
      <c r="C95" s="442"/>
      <c r="D95" s="442"/>
      <c r="E95" s="409"/>
      <c r="F95" s="442"/>
      <c r="G95" s="442"/>
      <c r="H95" s="442"/>
      <c r="I95" s="442"/>
      <c r="J95" s="442"/>
      <c r="K95" s="443"/>
      <c r="L95" s="397"/>
    </row>
    <row r="96" spans="1:12" ht="15" customHeight="1">
      <c r="A96" s="397"/>
      <c r="B96" s="441"/>
      <c r="C96" s="442" t="s">
        <v>696</v>
      </c>
      <c r="D96" s="442"/>
      <c r="E96" s="409"/>
      <c r="F96" s="442" t="s">
        <v>695</v>
      </c>
      <c r="G96" s="442"/>
      <c r="H96" s="442"/>
      <c r="I96" s="442"/>
      <c r="J96" s="442"/>
      <c r="K96" s="443"/>
      <c r="L96" s="397"/>
    </row>
    <row r="97" spans="1:12" ht="15" customHeight="1">
      <c r="A97" s="397"/>
      <c r="B97" s="441" t="s">
        <v>697</v>
      </c>
      <c r="C97" s="871">
        <v>50000</v>
      </c>
      <c r="D97" s="871"/>
      <c r="E97" s="409" t="s">
        <v>668</v>
      </c>
      <c r="F97" s="426">
        <f>H94</f>
        <v>133685.008</v>
      </c>
      <c r="G97" s="409" t="s">
        <v>667</v>
      </c>
      <c r="H97" s="419">
        <f>C97/F97</f>
        <v>0.3740135169083432</v>
      </c>
      <c r="I97" s="442" t="s">
        <v>698</v>
      </c>
      <c r="J97" s="442"/>
      <c r="K97" s="443"/>
      <c r="L97" s="397"/>
    </row>
    <row r="98" spans="1:12" ht="15" customHeight="1">
      <c r="A98" s="397"/>
      <c r="B98" s="441"/>
      <c r="C98" s="442"/>
      <c r="D98" s="442"/>
      <c r="E98" s="409"/>
      <c r="F98" s="442"/>
      <c r="G98" s="442"/>
      <c r="H98" s="442"/>
      <c r="I98" s="442"/>
      <c r="J98" s="442"/>
      <c r="K98" s="443"/>
      <c r="L98" s="397"/>
    </row>
    <row r="99" spans="1:12" ht="15" customHeight="1">
      <c r="A99" s="397"/>
      <c r="B99" s="444"/>
      <c r="C99" s="445" t="s">
        <v>708</v>
      </c>
      <c r="D99" s="445"/>
      <c r="E99" s="429"/>
      <c r="F99" s="445"/>
      <c r="G99" s="445"/>
      <c r="H99" s="445"/>
      <c r="I99" s="445"/>
      <c r="J99" s="445"/>
      <c r="K99" s="446"/>
      <c r="L99" s="397"/>
    </row>
    <row r="100" spans="1:12" ht="15" customHeight="1">
      <c r="A100" s="397"/>
      <c r="B100" s="441" t="s">
        <v>700</v>
      </c>
      <c r="C100" s="871">
        <v>2500000</v>
      </c>
      <c r="D100" s="871"/>
      <c r="E100" s="409" t="s">
        <v>255</v>
      </c>
      <c r="F100" s="447">
        <v>0.3</v>
      </c>
      <c r="G100" s="409" t="s">
        <v>667</v>
      </c>
      <c r="H100" s="426">
        <f>C100*F100</f>
        <v>750000</v>
      </c>
      <c r="I100" s="442" t="s">
        <v>701</v>
      </c>
      <c r="J100" s="442"/>
      <c r="K100" s="443"/>
      <c r="L100" s="397"/>
    </row>
    <row r="101" spans="1:12" ht="15" customHeight="1">
      <c r="A101" s="397"/>
      <c r="B101" s="441"/>
      <c r="C101" s="442"/>
      <c r="D101" s="442"/>
      <c r="E101" s="409"/>
      <c r="F101" s="442"/>
      <c r="G101" s="442"/>
      <c r="H101" s="442"/>
      <c r="I101" s="442"/>
      <c r="J101" s="442"/>
      <c r="K101" s="443"/>
      <c r="L101" s="397"/>
    </row>
    <row r="102" spans="1:12" ht="15" customHeight="1">
      <c r="A102" s="397"/>
      <c r="B102" s="444"/>
      <c r="C102" s="445" t="s">
        <v>702</v>
      </c>
      <c r="D102" s="445"/>
      <c r="E102" s="429"/>
      <c r="F102" s="445" t="s">
        <v>698</v>
      </c>
      <c r="G102" s="445"/>
      <c r="H102" s="445"/>
      <c r="I102" s="445"/>
      <c r="J102" s="445" t="s">
        <v>703</v>
      </c>
      <c r="K102" s="446"/>
      <c r="L102" s="397"/>
    </row>
    <row r="103" spans="1:12" ht="15" customHeight="1">
      <c r="A103" s="397"/>
      <c r="B103" s="441" t="s">
        <v>704</v>
      </c>
      <c r="C103" s="875">
        <f>H100</f>
        <v>750000</v>
      </c>
      <c r="D103" s="875"/>
      <c r="E103" s="409" t="s">
        <v>255</v>
      </c>
      <c r="F103" s="419">
        <f>H97</f>
        <v>0.3740135169083432</v>
      </c>
      <c r="G103" s="409" t="s">
        <v>668</v>
      </c>
      <c r="H103" s="409">
        <v>1000</v>
      </c>
      <c r="I103" s="409" t="s">
        <v>667</v>
      </c>
      <c r="J103" s="431">
        <f>C103*F103/H103</f>
        <v>280.51013768125745</v>
      </c>
      <c r="K103" s="443"/>
      <c r="L103" s="397"/>
    </row>
    <row r="104" spans="1:12" ht="15" customHeight="1" thickBot="1">
      <c r="A104" s="397"/>
      <c r="B104" s="448"/>
      <c r="C104" s="432"/>
      <c r="D104" s="432"/>
      <c r="E104" s="433"/>
      <c r="F104" s="434"/>
      <c r="G104" s="433"/>
      <c r="H104" s="433"/>
      <c r="I104" s="433"/>
      <c r="J104" s="435"/>
      <c r="K104" s="449"/>
      <c r="L104" s="397"/>
    </row>
    <row r="105" spans="1:12" ht="40.5" customHeight="1">
      <c r="A105" s="397"/>
      <c r="B105" s="876" t="s">
        <v>657</v>
      </c>
      <c r="C105" s="877"/>
      <c r="D105" s="877"/>
      <c r="E105" s="877"/>
      <c r="F105" s="877"/>
      <c r="G105" s="877"/>
      <c r="H105" s="877"/>
      <c r="I105" s="877"/>
      <c r="J105" s="877"/>
      <c r="K105" s="877"/>
      <c r="L105" s="397"/>
    </row>
    <row r="106" spans="1:12" ht="15" customHeight="1">
      <c r="A106" s="397"/>
      <c r="B106" s="878" t="s">
        <v>709</v>
      </c>
      <c r="C106" s="879"/>
      <c r="D106" s="879"/>
      <c r="E106" s="879"/>
      <c r="F106" s="879"/>
      <c r="G106" s="879"/>
      <c r="H106" s="879"/>
      <c r="I106" s="879"/>
      <c r="J106" s="879"/>
      <c r="K106" s="879"/>
      <c r="L106" s="397"/>
    </row>
    <row r="107" spans="1:12" ht="15" customHeight="1">
      <c r="A107" s="397"/>
      <c r="B107" s="442"/>
      <c r="C107" s="450"/>
      <c r="D107" s="450"/>
      <c r="E107" s="409"/>
      <c r="F107" s="419"/>
      <c r="G107" s="409"/>
      <c r="H107" s="409"/>
      <c r="I107" s="409"/>
      <c r="J107" s="431"/>
      <c r="K107" s="442"/>
      <c r="L107" s="397"/>
    </row>
    <row r="108" spans="1:12" ht="15" customHeight="1">
      <c r="A108" s="397"/>
      <c r="B108" s="878" t="s">
        <v>710</v>
      </c>
      <c r="C108" s="880"/>
      <c r="D108" s="880"/>
      <c r="E108" s="880"/>
      <c r="F108" s="880"/>
      <c r="G108" s="880"/>
      <c r="H108" s="880"/>
      <c r="I108" s="880"/>
      <c r="J108" s="880"/>
      <c r="K108" s="880"/>
      <c r="L108" s="397"/>
    </row>
    <row r="109" spans="1:12" ht="15" customHeight="1">
      <c r="A109" s="397"/>
      <c r="B109" s="442"/>
      <c r="C109" s="450"/>
      <c r="D109" s="450"/>
      <c r="E109" s="409"/>
      <c r="F109" s="419"/>
      <c r="G109" s="409"/>
      <c r="H109" s="409"/>
      <c r="I109" s="409"/>
      <c r="J109" s="431"/>
      <c r="K109" s="442"/>
      <c r="L109" s="397"/>
    </row>
    <row r="110" spans="1:12" ht="59.25" customHeight="1">
      <c r="A110" s="397"/>
      <c r="B110" s="873" t="s">
        <v>711</v>
      </c>
      <c r="C110" s="874"/>
      <c r="D110" s="874"/>
      <c r="E110" s="874"/>
      <c r="F110" s="874"/>
      <c r="G110" s="874"/>
      <c r="H110" s="874"/>
      <c r="I110" s="874"/>
      <c r="J110" s="874"/>
      <c r="K110" s="874"/>
      <c r="L110" s="397"/>
    </row>
    <row r="111" spans="1:12" ht="15" thickBot="1">
      <c r="A111" s="397"/>
      <c r="B111" s="400"/>
      <c r="C111" s="400"/>
      <c r="D111" s="400"/>
      <c r="E111" s="400"/>
      <c r="F111" s="400"/>
      <c r="G111" s="400"/>
      <c r="H111" s="400"/>
      <c r="I111" s="400"/>
      <c r="J111" s="400"/>
      <c r="K111" s="400"/>
      <c r="L111" s="451"/>
    </row>
    <row r="112" spans="1:12" ht="14.25">
      <c r="A112" s="397"/>
      <c r="B112" s="404" t="s">
        <v>661</v>
      </c>
      <c r="C112" s="405"/>
      <c r="D112" s="405"/>
      <c r="E112" s="405"/>
      <c r="F112" s="405"/>
      <c r="G112" s="405"/>
      <c r="H112" s="405"/>
      <c r="I112" s="405"/>
      <c r="J112" s="405"/>
      <c r="K112" s="406"/>
      <c r="L112" s="397"/>
    </row>
    <row r="113" spans="1:12" ht="14.25">
      <c r="A113" s="397"/>
      <c r="B113" s="417"/>
      <c r="C113" s="408" t="s">
        <v>669</v>
      </c>
      <c r="D113" s="408"/>
      <c r="E113" s="408"/>
      <c r="F113" s="408"/>
      <c r="G113" s="408"/>
      <c r="H113" s="408"/>
      <c r="I113" s="408"/>
      <c r="J113" s="408"/>
      <c r="K113" s="411"/>
      <c r="L113" s="397"/>
    </row>
    <row r="114" spans="1:12" ht="14.25">
      <c r="A114" s="397"/>
      <c r="B114" s="417" t="s">
        <v>694</v>
      </c>
      <c r="C114" s="871">
        <v>133685008</v>
      </c>
      <c r="D114" s="871"/>
      <c r="E114" s="409" t="s">
        <v>668</v>
      </c>
      <c r="F114" s="409">
        <v>1000</v>
      </c>
      <c r="G114" s="409" t="s">
        <v>667</v>
      </c>
      <c r="H114" s="426">
        <f>C114/F114</f>
        <v>133685.008</v>
      </c>
      <c r="I114" s="408" t="s">
        <v>695</v>
      </c>
      <c r="J114" s="408"/>
      <c r="K114" s="411"/>
      <c r="L114" s="397"/>
    </row>
    <row r="115" spans="1:12" ht="14.25">
      <c r="A115" s="397"/>
      <c r="B115" s="417"/>
      <c r="C115" s="408"/>
      <c r="D115" s="408"/>
      <c r="E115" s="409"/>
      <c r="F115" s="408"/>
      <c r="G115" s="408"/>
      <c r="H115" s="408"/>
      <c r="I115" s="408"/>
      <c r="J115" s="408"/>
      <c r="K115" s="411"/>
      <c r="L115" s="397"/>
    </row>
    <row r="116" spans="1:12" ht="14.25">
      <c r="A116" s="397"/>
      <c r="B116" s="417"/>
      <c r="C116" s="408" t="s">
        <v>696</v>
      </c>
      <c r="D116" s="408"/>
      <c r="E116" s="409"/>
      <c r="F116" s="408" t="s">
        <v>695</v>
      </c>
      <c r="G116" s="408"/>
      <c r="H116" s="408"/>
      <c r="I116" s="408"/>
      <c r="J116" s="408"/>
      <c r="K116" s="411"/>
      <c r="L116" s="397"/>
    </row>
    <row r="117" spans="1:12" ht="14.25">
      <c r="A117" s="397"/>
      <c r="B117" s="417" t="s">
        <v>697</v>
      </c>
      <c r="C117" s="871">
        <v>50000</v>
      </c>
      <c r="D117" s="871"/>
      <c r="E117" s="409" t="s">
        <v>668</v>
      </c>
      <c r="F117" s="426">
        <f>H114</f>
        <v>133685.008</v>
      </c>
      <c r="G117" s="409" t="s">
        <v>667</v>
      </c>
      <c r="H117" s="419">
        <f>C117/F117</f>
        <v>0.3740135169083432</v>
      </c>
      <c r="I117" s="408" t="s">
        <v>698</v>
      </c>
      <c r="J117" s="408"/>
      <c r="K117" s="411"/>
      <c r="L117" s="397"/>
    </row>
    <row r="118" spans="1:12" ht="14.25">
      <c r="A118" s="397"/>
      <c r="B118" s="417"/>
      <c r="C118" s="408"/>
      <c r="D118" s="408"/>
      <c r="E118" s="409"/>
      <c r="F118" s="408"/>
      <c r="G118" s="408"/>
      <c r="H118" s="408"/>
      <c r="I118" s="408"/>
      <c r="J118" s="408"/>
      <c r="K118" s="411"/>
      <c r="L118" s="397"/>
    </row>
    <row r="119" spans="1:12" ht="14.25">
      <c r="A119" s="397"/>
      <c r="B119" s="427"/>
      <c r="C119" s="428" t="s">
        <v>708</v>
      </c>
      <c r="D119" s="428"/>
      <c r="E119" s="429"/>
      <c r="F119" s="428"/>
      <c r="G119" s="428"/>
      <c r="H119" s="428"/>
      <c r="I119" s="428"/>
      <c r="J119" s="428"/>
      <c r="K119" s="430"/>
      <c r="L119" s="397"/>
    </row>
    <row r="120" spans="1:12" ht="14.25">
      <c r="A120" s="397"/>
      <c r="B120" s="417" t="s">
        <v>700</v>
      </c>
      <c r="C120" s="871">
        <v>2500000</v>
      </c>
      <c r="D120" s="871"/>
      <c r="E120" s="409" t="s">
        <v>255</v>
      </c>
      <c r="F120" s="447">
        <v>0.25</v>
      </c>
      <c r="G120" s="409" t="s">
        <v>667</v>
      </c>
      <c r="H120" s="426">
        <f>C120*F120</f>
        <v>625000</v>
      </c>
      <c r="I120" s="408" t="s">
        <v>701</v>
      </c>
      <c r="J120" s="408"/>
      <c r="K120" s="411"/>
      <c r="L120" s="397"/>
    </row>
    <row r="121" spans="1:12" ht="14.25">
      <c r="A121" s="397"/>
      <c r="B121" s="417"/>
      <c r="C121" s="408"/>
      <c r="D121" s="408"/>
      <c r="E121" s="409"/>
      <c r="F121" s="408"/>
      <c r="G121" s="408"/>
      <c r="H121" s="408"/>
      <c r="I121" s="408"/>
      <c r="J121" s="408"/>
      <c r="K121" s="411"/>
      <c r="L121" s="397"/>
    </row>
    <row r="122" spans="1:12" ht="14.25">
      <c r="A122" s="397"/>
      <c r="B122" s="427"/>
      <c r="C122" s="428" t="s">
        <v>702</v>
      </c>
      <c r="D122" s="428"/>
      <c r="E122" s="429"/>
      <c r="F122" s="428" t="s">
        <v>698</v>
      </c>
      <c r="G122" s="428"/>
      <c r="H122" s="428"/>
      <c r="I122" s="428"/>
      <c r="J122" s="428" t="s">
        <v>703</v>
      </c>
      <c r="K122" s="430"/>
      <c r="L122" s="397"/>
    </row>
    <row r="123" spans="1:12" ht="14.25">
      <c r="A123" s="397"/>
      <c r="B123" s="417" t="s">
        <v>704</v>
      </c>
      <c r="C123" s="875">
        <f>H120</f>
        <v>625000</v>
      </c>
      <c r="D123" s="875"/>
      <c r="E123" s="409" t="s">
        <v>255</v>
      </c>
      <c r="F123" s="419">
        <f>H117</f>
        <v>0.3740135169083432</v>
      </c>
      <c r="G123" s="409" t="s">
        <v>668</v>
      </c>
      <c r="H123" s="409">
        <v>1000</v>
      </c>
      <c r="I123" s="409" t="s">
        <v>667</v>
      </c>
      <c r="J123" s="431">
        <f>C123*F123/H123</f>
        <v>233.7584480677145</v>
      </c>
      <c r="K123" s="411"/>
      <c r="L123" s="397"/>
    </row>
    <row r="124" spans="1:12" ht="15" thickBot="1">
      <c r="A124" s="397"/>
      <c r="B124" s="412"/>
      <c r="C124" s="432"/>
      <c r="D124" s="432"/>
      <c r="E124" s="433"/>
      <c r="F124" s="434"/>
      <c r="G124" s="433"/>
      <c r="H124" s="433"/>
      <c r="I124" s="433"/>
      <c r="J124" s="435"/>
      <c r="K124" s="414"/>
      <c r="L124" s="397"/>
    </row>
    <row r="125" spans="1:12" ht="40.5" customHeight="1">
      <c r="A125" s="397"/>
      <c r="B125" s="876" t="s">
        <v>657</v>
      </c>
      <c r="C125" s="876"/>
      <c r="D125" s="876"/>
      <c r="E125" s="876"/>
      <c r="F125" s="876"/>
      <c r="G125" s="876"/>
      <c r="H125" s="876"/>
      <c r="I125" s="876"/>
      <c r="J125" s="876"/>
      <c r="K125" s="876"/>
      <c r="L125" s="451"/>
    </row>
    <row r="126" spans="1:12" ht="14.25">
      <c r="A126" s="397"/>
      <c r="B126" s="868" t="s">
        <v>712</v>
      </c>
      <c r="C126" s="868"/>
      <c r="D126" s="868"/>
      <c r="E126" s="868"/>
      <c r="F126" s="868"/>
      <c r="G126" s="868"/>
      <c r="H126" s="868"/>
      <c r="I126" s="868"/>
      <c r="J126" s="868"/>
      <c r="K126" s="868"/>
      <c r="L126" s="451"/>
    </row>
    <row r="127" spans="1:12" ht="14.25">
      <c r="A127" s="397"/>
      <c r="B127" s="400"/>
      <c r="C127" s="400"/>
      <c r="D127" s="400"/>
      <c r="E127" s="400"/>
      <c r="F127" s="400"/>
      <c r="G127" s="400"/>
      <c r="H127" s="400"/>
      <c r="I127" s="400"/>
      <c r="J127" s="400"/>
      <c r="K127" s="400"/>
      <c r="L127" s="451"/>
    </row>
    <row r="128" spans="1:12" ht="14.25">
      <c r="A128" s="397"/>
      <c r="B128" s="868" t="s">
        <v>713</v>
      </c>
      <c r="C128" s="868"/>
      <c r="D128" s="868"/>
      <c r="E128" s="868"/>
      <c r="F128" s="868"/>
      <c r="G128" s="868"/>
      <c r="H128" s="868"/>
      <c r="I128" s="868"/>
      <c r="J128" s="868"/>
      <c r="K128" s="868"/>
      <c r="L128" s="451"/>
    </row>
    <row r="129" spans="1:12" ht="14.25">
      <c r="A129" s="397"/>
      <c r="B129" s="437"/>
      <c r="C129" s="437"/>
      <c r="D129" s="437"/>
      <c r="E129" s="437"/>
      <c r="F129" s="437"/>
      <c r="G129" s="437"/>
      <c r="H129" s="437"/>
      <c r="I129" s="437"/>
      <c r="J129" s="437"/>
      <c r="K129" s="437"/>
      <c r="L129" s="451"/>
    </row>
    <row r="130" spans="1:12" ht="74.25" customHeight="1">
      <c r="A130" s="397"/>
      <c r="B130" s="869" t="s">
        <v>714</v>
      </c>
      <c r="C130" s="869"/>
      <c r="D130" s="869"/>
      <c r="E130" s="869"/>
      <c r="F130" s="869"/>
      <c r="G130" s="869"/>
      <c r="H130" s="869"/>
      <c r="I130" s="869"/>
      <c r="J130" s="869"/>
      <c r="K130" s="869"/>
      <c r="L130" s="451"/>
    </row>
    <row r="131" spans="1:12" ht="15" thickBot="1">
      <c r="A131" s="397"/>
      <c r="L131" s="397"/>
    </row>
    <row r="132" spans="1:12" ht="14.25">
      <c r="A132" s="397"/>
      <c r="B132" s="404" t="s">
        <v>661</v>
      </c>
      <c r="C132" s="405"/>
      <c r="D132" s="405"/>
      <c r="E132" s="405"/>
      <c r="F132" s="405"/>
      <c r="G132" s="405"/>
      <c r="H132" s="405"/>
      <c r="I132" s="405"/>
      <c r="J132" s="405"/>
      <c r="K132" s="406"/>
      <c r="L132" s="397"/>
    </row>
    <row r="133" spans="1:12" ht="14.25">
      <c r="A133" s="397"/>
      <c r="B133" s="417"/>
      <c r="C133" s="870" t="s">
        <v>715</v>
      </c>
      <c r="D133" s="870"/>
      <c r="E133" s="408"/>
      <c r="F133" s="409" t="s">
        <v>716</v>
      </c>
      <c r="G133" s="408"/>
      <c r="H133" s="870" t="s">
        <v>701</v>
      </c>
      <c r="I133" s="870"/>
      <c r="J133" s="408"/>
      <c r="K133" s="411"/>
      <c r="L133" s="397"/>
    </row>
    <row r="134" spans="1:12" ht="14.25">
      <c r="A134" s="397"/>
      <c r="B134" s="417" t="s">
        <v>694</v>
      </c>
      <c r="C134" s="871">
        <v>100000</v>
      </c>
      <c r="D134" s="871"/>
      <c r="E134" s="409" t="s">
        <v>255</v>
      </c>
      <c r="F134" s="409">
        <v>0.115</v>
      </c>
      <c r="G134" s="409" t="s">
        <v>667</v>
      </c>
      <c r="H134" s="863">
        <f>C134*F134</f>
        <v>11500</v>
      </c>
      <c r="I134" s="863"/>
      <c r="J134" s="408"/>
      <c r="K134" s="411"/>
      <c r="L134" s="397"/>
    </row>
    <row r="135" spans="1:12" ht="14.25">
      <c r="A135" s="397"/>
      <c r="B135" s="417"/>
      <c r="C135" s="408"/>
      <c r="D135" s="408"/>
      <c r="E135" s="408"/>
      <c r="F135" s="408"/>
      <c r="G135" s="408"/>
      <c r="H135" s="408"/>
      <c r="I135" s="408"/>
      <c r="J135" s="408"/>
      <c r="K135" s="411"/>
      <c r="L135" s="397"/>
    </row>
    <row r="136" spans="1:12" ht="14.25">
      <c r="A136" s="397"/>
      <c r="B136" s="427"/>
      <c r="C136" s="872" t="s">
        <v>701</v>
      </c>
      <c r="D136" s="872"/>
      <c r="E136" s="428"/>
      <c r="F136" s="429" t="s">
        <v>717</v>
      </c>
      <c r="G136" s="429"/>
      <c r="H136" s="428"/>
      <c r="I136" s="428"/>
      <c r="J136" s="428" t="s">
        <v>718</v>
      </c>
      <c r="K136" s="430"/>
      <c r="L136" s="397"/>
    </row>
    <row r="137" spans="1:12" ht="14.25">
      <c r="A137" s="397"/>
      <c r="B137" s="417" t="s">
        <v>697</v>
      </c>
      <c r="C137" s="863">
        <f>H134</f>
        <v>11500</v>
      </c>
      <c r="D137" s="863"/>
      <c r="E137" s="409" t="s">
        <v>255</v>
      </c>
      <c r="F137" s="452">
        <v>52.869</v>
      </c>
      <c r="G137" s="409" t="s">
        <v>668</v>
      </c>
      <c r="H137" s="409">
        <v>1000</v>
      </c>
      <c r="I137" s="409" t="s">
        <v>667</v>
      </c>
      <c r="J137" s="453">
        <f>C137*F137/H137</f>
        <v>607.9935</v>
      </c>
      <c r="K137" s="411"/>
      <c r="L137" s="397"/>
    </row>
    <row r="138" spans="1:12" ht="15" thickBot="1">
      <c r="A138" s="397"/>
      <c r="B138" s="412"/>
      <c r="C138" s="454"/>
      <c r="D138" s="454"/>
      <c r="E138" s="433"/>
      <c r="F138" s="455"/>
      <c r="G138" s="433"/>
      <c r="H138" s="433"/>
      <c r="I138" s="433"/>
      <c r="J138" s="456"/>
      <c r="K138" s="414"/>
      <c r="L138" s="397"/>
    </row>
    <row r="139" spans="1:12" ht="40.5" customHeight="1">
      <c r="A139" s="397"/>
      <c r="B139" s="457" t="s">
        <v>657</v>
      </c>
      <c r="C139" s="458"/>
      <c r="D139" s="458"/>
      <c r="E139" s="459"/>
      <c r="F139" s="460"/>
      <c r="G139" s="459"/>
      <c r="H139" s="459"/>
      <c r="I139" s="459"/>
      <c r="J139" s="461"/>
      <c r="K139" s="462"/>
      <c r="L139" s="397"/>
    </row>
    <row r="140" spans="1:12" ht="14.25">
      <c r="A140" s="397"/>
      <c r="B140" s="463" t="s">
        <v>719</v>
      </c>
      <c r="C140" s="464"/>
      <c r="D140" s="464"/>
      <c r="E140" s="465"/>
      <c r="F140" s="466"/>
      <c r="G140" s="465"/>
      <c r="H140" s="465"/>
      <c r="I140" s="465"/>
      <c r="J140" s="467"/>
      <c r="K140" s="468"/>
      <c r="L140" s="397"/>
    </row>
    <row r="141" spans="1:12" ht="14.25">
      <c r="A141" s="397"/>
      <c r="B141" s="417"/>
      <c r="C141" s="426"/>
      <c r="D141" s="426"/>
      <c r="E141" s="409"/>
      <c r="F141" s="469"/>
      <c r="G141" s="409"/>
      <c r="H141" s="409"/>
      <c r="I141" s="409"/>
      <c r="J141" s="453"/>
      <c r="K141" s="411"/>
      <c r="L141" s="397"/>
    </row>
    <row r="142" spans="1:12" ht="14.25">
      <c r="A142" s="397"/>
      <c r="B142" s="463" t="s">
        <v>720</v>
      </c>
      <c r="C142" s="464"/>
      <c r="D142" s="464"/>
      <c r="E142" s="465"/>
      <c r="F142" s="466"/>
      <c r="G142" s="465"/>
      <c r="H142" s="465"/>
      <c r="I142" s="465"/>
      <c r="J142" s="467"/>
      <c r="K142" s="468"/>
      <c r="L142" s="397"/>
    </row>
    <row r="143" spans="1:12" ht="14.25">
      <c r="A143" s="397"/>
      <c r="B143" s="417"/>
      <c r="C143" s="426"/>
      <c r="D143" s="426"/>
      <c r="E143" s="409"/>
      <c r="F143" s="469"/>
      <c r="G143" s="409"/>
      <c r="H143" s="409"/>
      <c r="I143" s="409"/>
      <c r="J143" s="453"/>
      <c r="K143" s="411"/>
      <c r="L143" s="397"/>
    </row>
    <row r="144" spans="1:12" ht="76.5" customHeight="1">
      <c r="A144" s="397"/>
      <c r="B144" s="860" t="s">
        <v>721</v>
      </c>
      <c r="C144" s="861"/>
      <c r="D144" s="861"/>
      <c r="E144" s="861"/>
      <c r="F144" s="861"/>
      <c r="G144" s="861"/>
      <c r="H144" s="861"/>
      <c r="I144" s="861"/>
      <c r="J144" s="861"/>
      <c r="K144" s="862"/>
      <c r="L144" s="397"/>
    </row>
    <row r="145" spans="1:12" ht="15" thickBot="1">
      <c r="A145" s="397"/>
      <c r="B145" s="417"/>
      <c r="C145" s="426"/>
      <c r="D145" s="426"/>
      <c r="E145" s="409"/>
      <c r="F145" s="469"/>
      <c r="G145" s="409"/>
      <c r="H145" s="409"/>
      <c r="I145" s="409"/>
      <c r="J145" s="453"/>
      <c r="K145" s="411"/>
      <c r="L145" s="397"/>
    </row>
    <row r="146" spans="1:12" ht="14.25">
      <c r="A146" s="397"/>
      <c r="B146" s="404" t="s">
        <v>661</v>
      </c>
      <c r="C146" s="470"/>
      <c r="D146" s="470"/>
      <c r="E146" s="471"/>
      <c r="F146" s="472"/>
      <c r="G146" s="471"/>
      <c r="H146" s="471"/>
      <c r="I146" s="471"/>
      <c r="J146" s="473"/>
      <c r="K146" s="406"/>
      <c r="L146" s="397"/>
    </row>
    <row r="147" spans="1:12" ht="14.25">
      <c r="A147" s="397"/>
      <c r="B147" s="417"/>
      <c r="C147" s="863" t="s">
        <v>722</v>
      </c>
      <c r="D147" s="863"/>
      <c r="E147" s="409"/>
      <c r="F147" s="469" t="s">
        <v>723</v>
      </c>
      <c r="G147" s="409"/>
      <c r="H147" s="409"/>
      <c r="I147" s="409"/>
      <c r="J147" s="864" t="s">
        <v>724</v>
      </c>
      <c r="K147" s="865"/>
      <c r="L147" s="397"/>
    </row>
    <row r="148" spans="1:12" ht="14.25">
      <c r="A148" s="397"/>
      <c r="B148" s="417"/>
      <c r="C148" s="866">
        <v>52.869</v>
      </c>
      <c r="D148" s="866"/>
      <c r="E148" s="409" t="s">
        <v>255</v>
      </c>
      <c r="F148" s="474">
        <v>133685008</v>
      </c>
      <c r="G148" s="475" t="s">
        <v>668</v>
      </c>
      <c r="H148" s="409">
        <v>1000</v>
      </c>
      <c r="I148" s="409" t="s">
        <v>667</v>
      </c>
      <c r="J148" s="863">
        <f>C148*(F148/1000)</f>
        <v>7067792.687952</v>
      </c>
      <c r="K148" s="867"/>
      <c r="L148" s="397"/>
    </row>
    <row r="149" spans="1:12" ht="15" thickBot="1">
      <c r="A149" s="397"/>
      <c r="B149" s="412"/>
      <c r="C149" s="454"/>
      <c r="D149" s="454"/>
      <c r="E149" s="433"/>
      <c r="F149" s="455"/>
      <c r="G149" s="433"/>
      <c r="H149" s="433"/>
      <c r="I149" s="433"/>
      <c r="J149" s="456"/>
      <c r="K149" s="414"/>
      <c r="L149" s="397"/>
    </row>
    <row r="150" spans="1:12" ht="15" thickBot="1">
      <c r="A150" s="397"/>
      <c r="B150" s="412"/>
      <c r="C150" s="413"/>
      <c r="D150" s="413"/>
      <c r="E150" s="413"/>
      <c r="F150" s="413"/>
      <c r="G150" s="413"/>
      <c r="H150" s="413"/>
      <c r="I150" s="413"/>
      <c r="J150" s="413"/>
      <c r="K150" s="414"/>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Morrill Township</v>
      </c>
      <c r="C1" s="65"/>
      <c r="D1" s="65"/>
      <c r="E1" s="223">
        <f>inputPrYr!D9</f>
        <v>2013</v>
      </c>
    </row>
    <row r="2" spans="2:5" ht="15.75">
      <c r="B2" s="542" t="s">
        <v>762</v>
      </c>
      <c r="C2" s="65"/>
      <c r="D2" s="206"/>
      <c r="E2" s="67"/>
    </row>
    <row r="3" spans="2:5" ht="15.75">
      <c r="B3" s="65"/>
      <c r="C3" s="69"/>
      <c r="D3" s="69"/>
      <c r="E3" s="69"/>
    </row>
    <row r="4" spans="2:5" ht="15.75">
      <c r="B4" s="71" t="s">
        <v>270</v>
      </c>
      <c r="C4" s="390" t="s">
        <v>271</v>
      </c>
      <c r="D4" s="393" t="s">
        <v>272</v>
      </c>
      <c r="E4" s="73" t="s">
        <v>273</v>
      </c>
    </row>
    <row r="5" spans="2:5" ht="15.75">
      <c r="B5" s="486">
        <f>inputPrYr!B28</f>
        <v>0</v>
      </c>
      <c r="C5" s="391" t="str">
        <f>gen!C5</f>
        <v>Actual for 2011</v>
      </c>
      <c r="D5" s="391" t="str">
        <f>gen!D5</f>
        <v>Estimate for 2012</v>
      </c>
      <c r="E5" s="78" t="str">
        <f>gen!E5</f>
        <v>Year for 2013</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IF(inputPrYr!H19&gt;0,inputPrYr!G28,inputPrYr!E28)</f>
        <v>0</v>
      </c>
      <c r="E8" s="313" t="s">
        <v>255</v>
      </c>
    </row>
    <row r="9" spans="2:5" ht="15.75">
      <c r="B9" s="79" t="s">
        <v>277</v>
      </c>
      <c r="C9" s="311"/>
      <c r="D9" s="311"/>
      <c r="E9" s="169"/>
    </row>
    <row r="10" spans="2:5" ht="15.75">
      <c r="B10" s="79" t="s">
        <v>278</v>
      </c>
      <c r="C10" s="311"/>
      <c r="D10" s="311"/>
      <c r="E10" s="259">
        <f>mvalloc!G19</f>
        <v>0</v>
      </c>
    </row>
    <row r="11" spans="2:5" ht="15.75">
      <c r="B11" s="79" t="s">
        <v>279</v>
      </c>
      <c r="C11" s="311"/>
      <c r="D11" s="311"/>
      <c r="E11" s="259">
        <f>mvalloc!I19</f>
        <v>0</v>
      </c>
    </row>
    <row r="12" spans="2:5" ht="15.75">
      <c r="B12" s="79" t="s">
        <v>48</v>
      </c>
      <c r="C12" s="311"/>
      <c r="D12" s="311"/>
      <c r="E12" s="259">
        <f>mvalloc!J19</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23" t="str">
        <f>CONCATENATE("Desired Carryover Into ",E1+1,"")</f>
        <v>Desired Carryover Into 2014</v>
      </c>
      <c r="H24" s="824"/>
      <c r="I24" s="824"/>
      <c r="J24" s="825"/>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1"/>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2013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nhood!E14</f>
      </c>
      <c r="G30" s="616"/>
      <c r="H30" s="616"/>
      <c r="I30" s="616"/>
      <c r="J30" s="616"/>
      <c r="K30" s="616"/>
    </row>
    <row r="31" spans="2:11" ht="15.75">
      <c r="B31" s="314" t="s">
        <v>228</v>
      </c>
      <c r="C31" s="311"/>
      <c r="D31" s="311"/>
      <c r="E31" s="169"/>
      <c r="G31" s="823" t="str">
        <f>CONCATENATE("Projected Carryover Into ",E1+1,"")</f>
        <v>Projected Carryover Into 2014</v>
      </c>
      <c r="H31" s="833"/>
      <c r="I31" s="833"/>
      <c r="J31" s="827"/>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2012 Ending Cash Balance (est.)</v>
      </c>
      <c r="I33" s="668"/>
      <c r="J33" s="663"/>
      <c r="K33" s="616"/>
    </row>
    <row r="34" spans="2:11" ht="15.75">
      <c r="B34" s="79" t="s">
        <v>68</v>
      </c>
      <c r="C34" s="396">
        <f>C21-C33</f>
        <v>0</v>
      </c>
      <c r="D34" s="396">
        <f>D21-D33</f>
        <v>0</v>
      </c>
      <c r="E34" s="313" t="s">
        <v>255</v>
      </c>
      <c r="G34" s="666">
        <f>E20</f>
        <v>0</v>
      </c>
      <c r="H34" s="650" t="str">
        <f>CONCATENATE("",E1," Non-AV Receipts (est.)")</f>
        <v>2013 Non-AV Receipts (est.)</v>
      </c>
      <c r="I34" s="668"/>
      <c r="J34" s="663"/>
      <c r="K34" s="616"/>
    </row>
    <row r="35" spans="2:11" ht="15.75">
      <c r="B35" s="115" t="str">
        <f>CONCATENATE("",$E$1-2,"/",$E$1-1," Budget Authority Amount:")</f>
        <v>2011/2012 Budget Authority Amount:</v>
      </c>
      <c r="C35" s="336">
        <f>inputOth!$B91</f>
        <v>0</v>
      </c>
      <c r="D35" s="82">
        <f>inputPrYr!$D28</f>
        <v>0</v>
      </c>
      <c r="E35" s="313" t="s">
        <v>255</v>
      </c>
      <c r="F35" s="322"/>
      <c r="G35" s="675">
        <f>IF(E39&gt;0,E38,E40)</f>
        <v>0</v>
      </c>
      <c r="H35" s="650" t="str">
        <f>CONCATENATE("",E1," Ad Valorem Tax (est.)")</f>
        <v>2013 Ad Valorem Tax (est.)</v>
      </c>
      <c r="I35" s="668"/>
      <c r="J35" s="663"/>
      <c r="K35" s="676">
        <f>IF(G35=E40,"","Note: Does not include Delinquent Taxes")</f>
      </c>
    </row>
    <row r="36" spans="2:11" ht="15.75">
      <c r="B36" s="115"/>
      <c r="C36" s="811" t="s">
        <v>726</v>
      </c>
      <c r="D36" s="812"/>
      <c r="E36" s="169"/>
      <c r="F36" s="735">
        <f>IF(E33/0.95-E33&lt;E36,"Exceeds 5%","")</f>
      </c>
      <c r="G36" s="666">
        <f>SUM(G33:G35)</f>
        <v>0</v>
      </c>
      <c r="H36" s="650" t="str">
        <f>CONCATENATE("Total ",E1," Resources Available")</f>
        <v>Total 2013 Resources Available</v>
      </c>
      <c r="I36" s="668"/>
      <c r="J36" s="663"/>
      <c r="K36" s="616"/>
    </row>
    <row r="37" spans="2:11" ht="15.75">
      <c r="B37" s="501" t="str">
        <f>CONCATENATE(C85,"     ",D85)</f>
        <v>     </v>
      </c>
      <c r="C37" s="813" t="s">
        <v>727</v>
      </c>
      <c r="D37" s="814"/>
      <c r="E37" s="259">
        <f>E33+E36</f>
        <v>0</v>
      </c>
      <c r="G37" s="679"/>
      <c r="H37" s="650"/>
      <c r="I37" s="650"/>
      <c r="J37" s="663"/>
      <c r="K37" s="616"/>
    </row>
    <row r="38" spans="2:11" ht="15.75">
      <c r="B38" s="501" t="str">
        <f>CONCATENATE(C86,"     ",D86)</f>
        <v>     </v>
      </c>
      <c r="C38" s="504"/>
      <c r="D38" s="503" t="s">
        <v>288</v>
      </c>
      <c r="E38" s="180">
        <f>IF(E37-E21&gt;0,E37-E21,0)</f>
        <v>0</v>
      </c>
      <c r="G38" s="675">
        <f>C33*0.05+C33</f>
        <v>0</v>
      </c>
      <c r="H38" s="650" t="str">
        <f>CONCATENATE("Less ",E1-2," Expenditures + 5%")</f>
        <v>Less 2011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2014 carryover (est.)</v>
      </c>
      <c r="I39" s="685"/>
      <c r="J39" s="686"/>
      <c r="K39" s="616"/>
    </row>
    <row r="40" spans="2:11" ht="15.75">
      <c r="B40" s="65"/>
      <c r="C40" s="815" t="str">
        <f>CONCATENATE("Amount of  ",$E$1-1," Ad Valorem Tax")</f>
        <v>Amount of  2012 Ad Valorem Tax</v>
      </c>
      <c r="D40" s="816"/>
      <c r="E40" s="180">
        <f>E38+E39</f>
        <v>0</v>
      </c>
      <c r="G40" s="616"/>
      <c r="H40" s="616"/>
      <c r="I40" s="616"/>
      <c r="J40" s="616"/>
      <c r="K40" s="616"/>
    </row>
    <row r="41" spans="2:11" ht="15.75">
      <c r="B41" s="65"/>
      <c r="C41" s="561"/>
      <c r="D41" s="65"/>
      <c r="E41" s="65"/>
      <c r="G41" s="830" t="s">
        <v>859</v>
      </c>
      <c r="H41" s="831"/>
      <c r="I41" s="831"/>
      <c r="J41" s="832"/>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2013 Fund Mill Rate</v>
      </c>
      <c r="I43" s="691"/>
      <c r="J43" s="692"/>
      <c r="K43" s="616"/>
    </row>
    <row r="44" spans="2:11" ht="15.75">
      <c r="B44" s="65"/>
      <c r="C44" s="390" t="s">
        <v>271</v>
      </c>
      <c r="D44" s="393" t="s">
        <v>272</v>
      </c>
      <c r="E44" s="73" t="s">
        <v>273</v>
      </c>
      <c r="G44" s="694" t="e">
        <f>summ!#REF!</f>
        <v>#REF!</v>
      </c>
      <c r="H44" s="667" t="str">
        <f>CONCATENATE("",E1-1," Fund Mill Rate")</f>
        <v>2012 Fund Mill Rate</v>
      </c>
      <c r="I44" s="691"/>
      <c r="J44" s="692"/>
      <c r="K44" s="616"/>
    </row>
    <row r="45" spans="2:11" ht="15.75">
      <c r="B45" s="487">
        <f>inputPrYr!B29</f>
        <v>0</v>
      </c>
      <c r="C45" s="391" t="str">
        <f>C5</f>
        <v>Actual for 2011</v>
      </c>
      <c r="D45" s="391" t="str">
        <f>D5</f>
        <v>Estimate for 2012</v>
      </c>
      <c r="E45" s="78" t="str">
        <f>E5</f>
        <v>Year for 2013</v>
      </c>
      <c r="G45" s="696">
        <f>summ!H24</f>
        <v>14.411999999999999</v>
      </c>
      <c r="H45" s="667" t="str">
        <f>CONCATENATE("Total ",E1," Mill Rate")</f>
        <v>Total 2013 Mill Rate</v>
      </c>
      <c r="I45" s="691"/>
      <c r="J45" s="692"/>
      <c r="K45" s="616"/>
    </row>
    <row r="46" spans="2:11" ht="15.75">
      <c r="B46" s="79" t="s">
        <v>67</v>
      </c>
      <c r="C46" s="311"/>
      <c r="D46" s="392">
        <f>C74</f>
        <v>0</v>
      </c>
      <c r="E46" s="259">
        <f>D74</f>
        <v>0</v>
      </c>
      <c r="G46" s="694">
        <f>summ!E24</f>
        <v>15.567000000000002</v>
      </c>
      <c r="H46" s="697" t="str">
        <f>CONCATENATE("Total ",E1-1," Mill Rate")</f>
        <v>Total 2012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IF(inputPrYr!H19&gt;0,inputPrYr!G29,inputPrYr!E29)</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mvalloc!G20</f>
        <v>0</v>
      </c>
      <c r="G50" s="616"/>
      <c r="H50" s="616"/>
      <c r="I50" s="616"/>
      <c r="J50" s="616"/>
      <c r="K50" s="616"/>
    </row>
    <row r="51" spans="2:11" ht="15.75">
      <c r="B51" s="79" t="s">
        <v>279</v>
      </c>
      <c r="C51" s="311"/>
      <c r="D51" s="311"/>
      <c r="E51" s="259">
        <f>mvalloc!I20</f>
        <v>0</v>
      </c>
      <c r="G51" s="616"/>
      <c r="H51" s="616"/>
      <c r="I51" s="616"/>
      <c r="J51" s="616"/>
      <c r="K51" s="616"/>
    </row>
    <row r="52" spans="2:11" ht="15.75">
      <c r="B52" s="79" t="s">
        <v>48</v>
      </c>
      <c r="C52" s="311"/>
      <c r="D52" s="311"/>
      <c r="E52" s="259">
        <f>mvalloc!J20</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23" t="str">
        <f>CONCATENATE("Desired Carryover Into ",E1+1,"")</f>
        <v>Desired Carryover Into 2014</v>
      </c>
      <c r="H64" s="824"/>
      <c r="I64" s="824"/>
      <c r="J64" s="825"/>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2013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nhood!E15</f>
      </c>
      <c r="G70" s="616"/>
      <c r="H70" s="616"/>
      <c r="I70" s="616"/>
      <c r="J70" s="616"/>
      <c r="K70" s="616"/>
    </row>
    <row r="71" spans="2:11" ht="15.75">
      <c r="B71" s="314" t="s">
        <v>228</v>
      </c>
      <c r="C71" s="311"/>
      <c r="D71" s="311"/>
      <c r="E71" s="169"/>
      <c r="G71" s="823" t="str">
        <f>CONCATENATE("Projected Carryover Into ",E1+1,"")</f>
        <v>Projected Carryover Into 2014</v>
      </c>
      <c r="H71" s="826"/>
      <c r="I71" s="826"/>
      <c r="J71" s="827"/>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2012 Ending Cash Balance (est.)</v>
      </c>
      <c r="I73" s="668"/>
      <c r="J73" s="703"/>
      <c r="K73" s="616"/>
    </row>
    <row r="74" spans="2:11" ht="15.75">
      <c r="B74" s="79" t="s">
        <v>68</v>
      </c>
      <c r="C74" s="396">
        <f>C61-C73</f>
        <v>0</v>
      </c>
      <c r="D74" s="396">
        <f>D61-D73</f>
        <v>0</v>
      </c>
      <c r="E74" s="313" t="s">
        <v>255</v>
      </c>
      <c r="G74" s="666">
        <f>E60</f>
        <v>0</v>
      </c>
      <c r="H74" s="650" t="str">
        <f>CONCATENATE("",E1," Non-AV Receipts (est.)")</f>
        <v>2013 Non-AV Receipts (est.)</v>
      </c>
      <c r="I74" s="668"/>
      <c r="J74" s="703"/>
      <c r="K74" s="616"/>
    </row>
    <row r="75" spans="2:11" ht="15.75">
      <c r="B75" s="115" t="str">
        <f>CONCATENATE("",$E$1-2,"/",$E$1-1," Budget Authority Amount:")</f>
        <v>2011/2012 Budget Authority Amount:</v>
      </c>
      <c r="C75" s="336">
        <f>inputOth!$B92</f>
        <v>0</v>
      </c>
      <c r="D75" s="82">
        <f>inputPrYr!$D29</f>
        <v>0</v>
      </c>
      <c r="E75" s="313" t="s">
        <v>255</v>
      </c>
      <c r="F75" s="322"/>
      <c r="G75" s="675">
        <f>IF(E79&gt;0,E78,E80)</f>
        <v>0</v>
      </c>
      <c r="H75" s="650" t="str">
        <f>CONCATENATE("",E1," Ad Valorem Tax (est.)")</f>
        <v>2013 Ad Valorem Tax (est.)</v>
      </c>
      <c r="I75" s="668"/>
      <c r="J75" s="703"/>
      <c r="K75" s="676">
        <f>IF(G75=E80,"","Note: Does not include Delinquent Taxes")</f>
      </c>
    </row>
    <row r="76" spans="2:11" ht="15.75">
      <c r="B76" s="115"/>
      <c r="C76" s="811" t="s">
        <v>726</v>
      </c>
      <c r="D76" s="812"/>
      <c r="E76" s="169"/>
      <c r="F76" s="735">
        <f>IF(E73/0.95-E73&lt;E76,"Exceeds 5%","")</f>
      </c>
      <c r="G76" s="705">
        <f>SUM(G73:G75)</f>
        <v>0</v>
      </c>
      <c r="H76" s="650" t="str">
        <f>CONCATENATE("Total ",E1," Resources Available")</f>
        <v>Total 2013 Resources Available</v>
      </c>
      <c r="I76" s="706"/>
      <c r="J76" s="703"/>
      <c r="K76" s="616"/>
    </row>
    <row r="77" spans="2:11" ht="15.75">
      <c r="B77" s="501" t="str">
        <f>CONCATENATE(C87,"     ",D87)</f>
        <v>     </v>
      </c>
      <c r="C77" s="813" t="s">
        <v>727</v>
      </c>
      <c r="D77" s="814"/>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2011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2014 carryover (est.)</v>
      </c>
      <c r="I79" s="709"/>
      <c r="J79" s="710"/>
      <c r="K79" s="616"/>
    </row>
    <row r="80" spans="2:11" ht="15.75">
      <c r="B80" s="65"/>
      <c r="C80" s="815" t="str">
        <f>CONCATENATE("Amount of  ",$E$1-1," Ad Valorem Tax")</f>
        <v>Amount of  2012 Ad Valorem Tax</v>
      </c>
      <c r="D80" s="816"/>
      <c r="E80" s="180">
        <f>E78+E79</f>
        <v>0</v>
      </c>
      <c r="G80" s="616"/>
      <c r="H80" s="616"/>
      <c r="I80" s="616"/>
      <c r="J80" s="616"/>
      <c r="K80" s="616"/>
    </row>
    <row r="81" spans="2:11" ht="15.75">
      <c r="B81" s="208" t="s">
        <v>269</v>
      </c>
      <c r="C81" s="209"/>
      <c r="D81" s="65"/>
      <c r="E81" s="65"/>
      <c r="G81" s="830" t="s">
        <v>859</v>
      </c>
      <c r="H81" s="831"/>
      <c r="I81" s="831"/>
      <c r="J81" s="832"/>
      <c r="K81" s="616"/>
    </row>
    <row r="82" spans="2:11" ht="15.75">
      <c r="B82" s="111"/>
      <c r="G82" s="690"/>
      <c r="H82" s="667"/>
      <c r="I82" s="691"/>
      <c r="J82" s="692"/>
      <c r="K82" s="616"/>
    </row>
    <row r="83" spans="7:11" ht="15.75">
      <c r="G83" s="693" t="e">
        <f>summ!#REF!</f>
        <v>#REF!</v>
      </c>
      <c r="H83" s="667" t="str">
        <f>CONCATENATE("",E1," Fund Mill Rate")</f>
        <v>2013 Fund Mill Rate</v>
      </c>
      <c r="I83" s="691"/>
      <c r="J83" s="692"/>
      <c r="K83" s="616"/>
    </row>
    <row r="84" spans="7:11" ht="15.75">
      <c r="G84" s="694" t="e">
        <f>summ!#REF!</f>
        <v>#REF!</v>
      </c>
      <c r="H84" s="667" t="str">
        <f>CONCATENATE("",E1-1," Fund Mill Rate")</f>
        <v>2012 Fund Mill Rate</v>
      </c>
      <c r="I84" s="691"/>
      <c r="J84" s="692"/>
      <c r="K84" s="616"/>
    </row>
    <row r="85" spans="3:11" ht="15.75" hidden="1">
      <c r="C85" s="154">
        <f>IF(C33&gt;C35,"See Tab A","")</f>
      </c>
      <c r="D85" s="154">
        <f>IF(D33&gt;D35,"See Tab C","")</f>
      </c>
      <c r="G85" s="696">
        <f>'[1]summ'!I36</f>
        <v>0</v>
      </c>
      <c r="H85" s="667" t="str">
        <f>CONCATENATE("Total ",E1," Mill Rate")</f>
        <v>Total 2013 Mill Rate</v>
      </c>
      <c r="I85" s="691"/>
      <c r="J85" s="692"/>
      <c r="K85" s="616"/>
    </row>
    <row r="86" spans="3:11" ht="15.75" hidden="1">
      <c r="C86" s="154">
        <f>IF(C34&lt;0,"See Tab B","")</f>
      </c>
      <c r="D86" s="154">
        <f>IF(D34&lt;0,"See Tab D","")</f>
      </c>
      <c r="G86" s="694">
        <f>'[1]summ'!F36</f>
        <v>0</v>
      </c>
      <c r="H86" s="697" t="str">
        <f>CONCATENATE("Total ",E1-1," Mill Rate")</f>
        <v>Total 2012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summ!H24</f>
        <v>14.411999999999999</v>
      </c>
      <c r="H89" s="667" t="str">
        <f>CONCATENATE("Total ",E1," Mill Rate")</f>
        <v>Total 2013 Mill Rate</v>
      </c>
      <c r="I89" s="691"/>
      <c r="J89" s="692"/>
    </row>
    <row r="90" spans="7:10" ht="15.75">
      <c r="G90" s="694">
        <f>summ!E24</f>
        <v>15.567000000000002</v>
      </c>
      <c r="H90" s="697" t="str">
        <f>CONCATENATE("Total ",E1-1," Mill Rate")</f>
        <v>Total 2012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Morrill Township</v>
      </c>
      <c r="C1" s="65"/>
      <c r="D1" s="65"/>
      <c r="E1" s="223">
        <f>inputPrYr!D9</f>
        <v>2013</v>
      </c>
    </row>
    <row r="2" spans="2:5" ht="15.75">
      <c r="B2" s="542" t="s">
        <v>762</v>
      </c>
      <c r="C2" s="65"/>
      <c r="D2" s="206"/>
      <c r="E2" s="67"/>
    </row>
    <row r="3" spans="2:5" ht="15.75">
      <c r="B3" s="65"/>
      <c r="C3" s="69"/>
      <c r="D3" s="69"/>
      <c r="E3" s="69"/>
    </row>
    <row r="4" spans="2:5" ht="15.75">
      <c r="B4" s="71" t="s">
        <v>270</v>
      </c>
      <c r="C4" s="390" t="s">
        <v>271</v>
      </c>
      <c r="D4" s="393" t="s">
        <v>272</v>
      </c>
      <c r="E4" s="73" t="s">
        <v>273</v>
      </c>
    </row>
    <row r="5" spans="2:5" ht="15.75">
      <c r="B5" s="486">
        <f>inputPrYr!B30</f>
        <v>0</v>
      </c>
      <c r="C5" s="391" t="str">
        <f>gen!C5</f>
        <v>Actual for 2011</v>
      </c>
      <c r="D5" s="391" t="str">
        <f>gen!D5</f>
        <v>Estimate for 2012</v>
      </c>
      <c r="E5" s="78" t="str">
        <f>gen!E5</f>
        <v>Year for 2013</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IF(inputPrYr!H19&gt;0,inputPrYr!G30,inputPrYr!E30)</f>
        <v>0</v>
      </c>
      <c r="E8" s="313" t="s">
        <v>255</v>
      </c>
    </row>
    <row r="9" spans="2:5" ht="15.75">
      <c r="B9" s="79" t="s">
        <v>277</v>
      </c>
      <c r="C9" s="311"/>
      <c r="D9" s="311"/>
      <c r="E9" s="169"/>
    </row>
    <row r="10" spans="2:5" ht="15.75">
      <c r="B10" s="79" t="s">
        <v>278</v>
      </c>
      <c r="C10" s="311"/>
      <c r="D10" s="311"/>
      <c r="E10" s="259">
        <f>mvalloc!G21</f>
        <v>0</v>
      </c>
    </row>
    <row r="11" spans="2:5" ht="15.75">
      <c r="B11" s="79" t="s">
        <v>279</v>
      </c>
      <c r="C11" s="311"/>
      <c r="D11" s="311"/>
      <c r="E11" s="259">
        <f>mvalloc!I21</f>
        <v>0</v>
      </c>
    </row>
    <row r="12" spans="2:5" ht="15.75">
      <c r="B12" s="79" t="s">
        <v>48</v>
      </c>
      <c r="C12" s="311"/>
      <c r="D12" s="311"/>
      <c r="E12" s="259">
        <f>mvalloc!J21</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282</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283</v>
      </c>
      <c r="C20" s="395">
        <f>SUM(C8:C18)</f>
        <v>0</v>
      </c>
      <c r="D20" s="395">
        <f>SUM(D8:D18)</f>
        <v>0</v>
      </c>
      <c r="E20" s="320">
        <f>SUM(E8:E18)</f>
        <v>0</v>
      </c>
    </row>
    <row r="21" spans="2:5" ht="15.75">
      <c r="B21" s="97" t="s">
        <v>284</v>
      </c>
      <c r="C21" s="395">
        <f>C20+C6</f>
        <v>0</v>
      </c>
      <c r="D21" s="395">
        <f>D20+D6</f>
        <v>0</v>
      </c>
      <c r="E21" s="320">
        <f>E20+E6</f>
        <v>0</v>
      </c>
    </row>
    <row r="22" spans="2:5" ht="15.75">
      <c r="B22" s="79" t="s">
        <v>285</v>
      </c>
      <c r="C22" s="392"/>
      <c r="D22" s="392"/>
      <c r="E22" s="259"/>
    </row>
    <row r="23" spans="2:5" ht="15.75">
      <c r="B23" s="316"/>
      <c r="C23" s="311"/>
      <c r="D23" s="311"/>
      <c r="E23" s="169"/>
    </row>
    <row r="24" spans="2:11" ht="15.75">
      <c r="B24" s="316"/>
      <c r="C24" s="311"/>
      <c r="D24" s="311"/>
      <c r="E24" s="169"/>
      <c r="G24" s="823" t="str">
        <f>CONCATENATE("Desired Carryover Into ",E1+1,"")</f>
        <v>Desired Carryover Into 2014</v>
      </c>
      <c r="H24" s="824"/>
      <c r="I24" s="824"/>
      <c r="J24" s="825"/>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1"/>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2013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nhood!E16</f>
      </c>
      <c r="G30" s="616"/>
      <c r="H30" s="616"/>
      <c r="I30" s="616"/>
      <c r="J30" s="616"/>
      <c r="K30" s="616"/>
    </row>
    <row r="31" spans="2:11" ht="15.75">
      <c r="B31" s="314" t="s">
        <v>228</v>
      </c>
      <c r="C31" s="311"/>
      <c r="D31" s="311"/>
      <c r="E31" s="169"/>
      <c r="G31" s="823" t="str">
        <f>CONCATENATE("Projected Carryover Into ",E1+1,"")</f>
        <v>Projected Carryover Into 2014</v>
      </c>
      <c r="H31" s="833"/>
      <c r="I31" s="833"/>
      <c r="J31" s="827"/>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286</v>
      </c>
      <c r="C33" s="395">
        <f>SUM(C23:C31)</f>
        <v>0</v>
      </c>
      <c r="D33" s="395">
        <f>SUM(D23:D31)</f>
        <v>0</v>
      </c>
      <c r="E33" s="320">
        <f>SUM(E23:E31)</f>
        <v>0</v>
      </c>
      <c r="G33" s="666">
        <f>D34</f>
        <v>0</v>
      </c>
      <c r="H33" s="667" t="str">
        <f>CONCATENATE("",E1-1," Ending Cash Balance (est.)")</f>
        <v>2012 Ending Cash Balance (est.)</v>
      </c>
      <c r="I33" s="668"/>
      <c r="J33" s="663"/>
      <c r="K33" s="616"/>
    </row>
    <row r="34" spans="2:11" ht="15.75">
      <c r="B34" s="79" t="s">
        <v>68</v>
      </c>
      <c r="C34" s="396">
        <f>C21-C33</f>
        <v>0</v>
      </c>
      <c r="D34" s="396">
        <f>D21-D33</f>
        <v>0</v>
      </c>
      <c r="E34" s="313" t="s">
        <v>255</v>
      </c>
      <c r="G34" s="666">
        <f>E20</f>
        <v>0</v>
      </c>
      <c r="H34" s="650" t="str">
        <f>CONCATENATE("",E1," Non-AV Receipts (est.)")</f>
        <v>2013 Non-AV Receipts (est.)</v>
      </c>
      <c r="I34" s="668"/>
      <c r="J34" s="663"/>
      <c r="K34" s="616"/>
    </row>
    <row r="35" spans="2:11" ht="15.75">
      <c r="B35" s="115" t="str">
        <f>CONCATENATE("",$E$1-2,"/",$E$1-1," Budget Authority Amount:")</f>
        <v>2011/2012 Budget Authority Amount:</v>
      </c>
      <c r="C35" s="336">
        <f>inputOth!$B93</f>
        <v>0</v>
      </c>
      <c r="D35" s="82">
        <f>inputPrYr!$D30</f>
        <v>0</v>
      </c>
      <c r="E35" s="313" t="s">
        <v>255</v>
      </c>
      <c r="F35" s="322"/>
      <c r="G35" s="675">
        <f>IF(E39&gt;0,E38,E40)</f>
        <v>0</v>
      </c>
      <c r="H35" s="650" t="str">
        <f>CONCATENATE("",E1," Ad Valorem Tax (est.)")</f>
        <v>2013 Ad Valorem Tax (est.)</v>
      </c>
      <c r="I35" s="668"/>
      <c r="J35" s="663"/>
      <c r="K35" s="676">
        <f>IF(G35=E40,"","Note: Does not include Delinquent Taxes")</f>
      </c>
    </row>
    <row r="36" spans="2:11" ht="15.75">
      <c r="B36" s="115"/>
      <c r="C36" s="811" t="s">
        <v>726</v>
      </c>
      <c r="D36" s="812"/>
      <c r="E36" s="169"/>
      <c r="F36" s="735">
        <f>IF(E33/0.95-E33&lt;E36,"Exceeds 5%","")</f>
      </c>
      <c r="G36" s="666">
        <f>SUM(G33:G35)</f>
        <v>0</v>
      </c>
      <c r="H36" s="650" t="str">
        <f>CONCATENATE("Total ",E1," Resources Available")</f>
        <v>Total 2013 Resources Available</v>
      </c>
      <c r="I36" s="668"/>
      <c r="J36" s="663"/>
      <c r="K36" s="616"/>
    </row>
    <row r="37" spans="2:11" ht="15.75">
      <c r="B37" s="501" t="str">
        <f>CONCATENATE(C85,"     ",D85)</f>
        <v>     </v>
      </c>
      <c r="C37" s="813" t="s">
        <v>727</v>
      </c>
      <c r="D37" s="814"/>
      <c r="E37" s="259">
        <f>E33+E36</f>
        <v>0</v>
      </c>
      <c r="G37" s="679"/>
      <c r="H37" s="650"/>
      <c r="I37" s="650"/>
      <c r="J37" s="663"/>
      <c r="K37" s="616"/>
    </row>
    <row r="38" spans="2:11" ht="15.75">
      <c r="B38" s="501" t="str">
        <f>CONCATENATE(C86,"     ",D86)</f>
        <v>     </v>
      </c>
      <c r="C38" s="504"/>
      <c r="D38" s="503" t="s">
        <v>288</v>
      </c>
      <c r="E38" s="180">
        <f>IF(E37-E21&gt;0,E37-E21,0)</f>
        <v>0</v>
      </c>
      <c r="G38" s="675">
        <f>ROUND(C33*0.05+C33,0)</f>
        <v>0</v>
      </c>
      <c r="H38" s="650" t="str">
        <f>CONCATENATE("Less ",E1-2," Expenditures + 5%")</f>
        <v>Less 2011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2014 carryover (est.)</v>
      </c>
      <c r="I39" s="685"/>
      <c r="J39" s="686"/>
      <c r="K39" s="616"/>
    </row>
    <row r="40" spans="2:11" ht="15.75">
      <c r="B40" s="65"/>
      <c r="C40" s="815" t="str">
        <f>CONCATENATE("Amount of  ",$E$1-1," Ad Valorem Tax")</f>
        <v>Amount of  2012 Ad Valorem Tax</v>
      </c>
      <c r="D40" s="816"/>
      <c r="E40" s="180">
        <f>E38+E39</f>
        <v>0</v>
      </c>
      <c r="G40" s="616"/>
      <c r="H40" s="616"/>
      <c r="I40" s="616"/>
      <c r="J40" s="616"/>
      <c r="K40" s="616"/>
    </row>
    <row r="41" spans="2:11" ht="15.75">
      <c r="B41" s="65"/>
      <c r="C41" s="561"/>
      <c r="D41" s="65"/>
      <c r="E41" s="65"/>
      <c r="G41" s="830" t="s">
        <v>859</v>
      </c>
      <c r="H41" s="831"/>
      <c r="I41" s="831"/>
      <c r="J41" s="832"/>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2013 Fund Mill Rate</v>
      </c>
      <c r="I43" s="691"/>
      <c r="J43" s="692"/>
      <c r="K43" s="616"/>
    </row>
    <row r="44" spans="2:11" ht="15.75">
      <c r="B44" s="65"/>
      <c r="C44" s="390" t="s">
        <v>271</v>
      </c>
      <c r="D44" s="393" t="s">
        <v>272</v>
      </c>
      <c r="E44" s="73" t="s">
        <v>273</v>
      </c>
      <c r="G44" s="694" t="e">
        <f>summ!#REF!</f>
        <v>#REF!</v>
      </c>
      <c r="H44" s="667" t="str">
        <f>CONCATENATE("",E1-1," Fund Mill Rate")</f>
        <v>2012 Fund Mill Rate</v>
      </c>
      <c r="I44" s="691"/>
      <c r="J44" s="692"/>
      <c r="K44" s="616"/>
    </row>
    <row r="45" spans="2:11" ht="15.75">
      <c r="B45" s="487">
        <f>inputPrYr!B31</f>
        <v>0</v>
      </c>
      <c r="C45" s="391" t="str">
        <f>C5</f>
        <v>Actual for 2011</v>
      </c>
      <c r="D45" s="391" t="str">
        <f>D5</f>
        <v>Estimate for 2012</v>
      </c>
      <c r="E45" s="78" t="str">
        <f>E5</f>
        <v>Year for 2013</v>
      </c>
      <c r="G45" s="696">
        <f>summ!H24</f>
        <v>14.411999999999999</v>
      </c>
      <c r="H45" s="667" t="str">
        <f>CONCATENATE("Total ",E1," Mill Rate")</f>
        <v>Total 2013 Mill Rate</v>
      </c>
      <c r="I45" s="691"/>
      <c r="J45" s="692"/>
      <c r="K45" s="616"/>
    </row>
    <row r="46" spans="2:11" ht="15.75">
      <c r="B46" s="79" t="s">
        <v>67</v>
      </c>
      <c r="C46" s="311"/>
      <c r="D46" s="392">
        <f>C74</f>
        <v>0</v>
      </c>
      <c r="E46" s="259">
        <f>D74</f>
        <v>0</v>
      </c>
      <c r="G46" s="694">
        <f>summ!E24</f>
        <v>15.567000000000002</v>
      </c>
      <c r="H46" s="697" t="str">
        <f>CONCATENATE("Total ",E1-1," Mill Rate")</f>
        <v>Total 2012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IF(inputPrYr!H19&gt;0,inputPrYr!G31,inputPrYr!E31)</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mvalloc!G22</f>
        <v>0</v>
      </c>
      <c r="G50" s="616"/>
      <c r="H50" s="616"/>
      <c r="I50" s="616"/>
      <c r="J50" s="616"/>
      <c r="K50" s="616"/>
    </row>
    <row r="51" spans="2:11" ht="15.75">
      <c r="B51" s="79" t="s">
        <v>279</v>
      </c>
      <c r="C51" s="311"/>
      <c r="D51" s="311"/>
      <c r="E51" s="259">
        <f>mvalloc!I22</f>
        <v>0</v>
      </c>
      <c r="G51" s="616"/>
      <c r="H51" s="616"/>
      <c r="I51" s="616"/>
      <c r="J51" s="616"/>
      <c r="K51" s="616"/>
    </row>
    <row r="52" spans="2:11" ht="15.75">
      <c r="B52" s="79" t="s">
        <v>48</v>
      </c>
      <c r="C52" s="311"/>
      <c r="D52" s="311"/>
      <c r="E52" s="259">
        <f>mvalloc!J22</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282</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283</v>
      </c>
      <c r="C60" s="395">
        <f>SUM(C48:C58)</f>
        <v>0</v>
      </c>
      <c r="D60" s="395">
        <f>SUM(D48:D58)</f>
        <v>0</v>
      </c>
      <c r="E60" s="320">
        <f>SUM(E48:E58)</f>
        <v>0</v>
      </c>
      <c r="G60" s="616"/>
      <c r="H60" s="616"/>
      <c r="I60" s="616"/>
      <c r="J60" s="616"/>
      <c r="K60" s="616"/>
    </row>
    <row r="61" spans="2:11" ht="15.75">
      <c r="B61" s="97" t="s">
        <v>284</v>
      </c>
      <c r="C61" s="395">
        <f>C60+C46</f>
        <v>0</v>
      </c>
      <c r="D61" s="395">
        <f>D60+D46</f>
        <v>0</v>
      </c>
      <c r="E61" s="320">
        <f>E60+E46</f>
        <v>0</v>
      </c>
      <c r="G61" s="616"/>
      <c r="H61" s="616"/>
      <c r="I61" s="616"/>
      <c r="J61" s="616"/>
      <c r="K61" s="616"/>
    </row>
    <row r="62" spans="2:11" ht="15.75">
      <c r="B62" s="79" t="s">
        <v>285</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23" t="str">
        <f>CONCATENATE("Desired Carryover Into ",E1+1,"")</f>
        <v>Desired Carryover Into 2014</v>
      </c>
      <c r="H64" s="824"/>
      <c r="I64" s="824"/>
      <c r="J64" s="825"/>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2013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nhood!E17</f>
      </c>
      <c r="G70" s="616"/>
      <c r="H70" s="616"/>
      <c r="I70" s="616"/>
      <c r="J70" s="616"/>
      <c r="K70" s="616"/>
    </row>
    <row r="71" spans="2:11" ht="15.75">
      <c r="B71" s="314" t="s">
        <v>228</v>
      </c>
      <c r="C71" s="311"/>
      <c r="D71" s="311"/>
      <c r="E71" s="169"/>
      <c r="G71" s="823" t="str">
        <f>CONCATENATE("Projected Carryover Into ",E1+1,"")</f>
        <v>Projected Carryover Into 2014</v>
      </c>
      <c r="H71" s="826"/>
      <c r="I71" s="826"/>
      <c r="J71" s="827"/>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286</v>
      </c>
      <c r="C73" s="395">
        <f>SUM(C63:C71)</f>
        <v>0</v>
      </c>
      <c r="D73" s="395">
        <f>SUM(D63:D71)</f>
        <v>0</v>
      </c>
      <c r="E73" s="320">
        <f>SUM(E63:E71)</f>
        <v>0</v>
      </c>
      <c r="G73" s="666">
        <f>D74</f>
        <v>0</v>
      </c>
      <c r="H73" s="667" t="str">
        <f>CONCATENATE("",E1-1," Ending Cash Balance (est.)")</f>
        <v>2012 Ending Cash Balance (est.)</v>
      </c>
      <c r="I73" s="668"/>
      <c r="J73" s="703"/>
      <c r="K73" s="616"/>
    </row>
    <row r="74" spans="2:11" ht="15.75">
      <c r="B74" s="79" t="s">
        <v>68</v>
      </c>
      <c r="C74" s="396">
        <f>C61-C73</f>
        <v>0</v>
      </c>
      <c r="D74" s="396">
        <f>D61-D73</f>
        <v>0</v>
      </c>
      <c r="E74" s="313" t="s">
        <v>255</v>
      </c>
      <c r="G74" s="666">
        <f>E60</f>
        <v>0</v>
      </c>
      <c r="H74" s="650" t="str">
        <f>CONCATENATE("",E1," Non-AV Receipts (est.)")</f>
        <v>2013 Non-AV Receipts (est.)</v>
      </c>
      <c r="I74" s="668"/>
      <c r="J74" s="703"/>
      <c r="K74" s="616"/>
    </row>
    <row r="75" spans="2:11" ht="15.75">
      <c r="B75" s="115" t="str">
        <f>CONCATENATE("",$E$1-2,"/",$E$1-1," Budget Authority Amount:")</f>
        <v>2011/2012 Budget Authority Amount:</v>
      </c>
      <c r="C75" s="336">
        <f>inputOth!$B94</f>
        <v>0</v>
      </c>
      <c r="D75" s="82">
        <f>inputPrYr!$D31</f>
        <v>0</v>
      </c>
      <c r="E75" s="313" t="s">
        <v>255</v>
      </c>
      <c r="F75" s="322"/>
      <c r="G75" s="675">
        <f>IF(E79&gt;0,E78,E80)</f>
        <v>0</v>
      </c>
      <c r="H75" s="650" t="str">
        <f>CONCATENATE("",E1," Ad Valorem Tax (est.)")</f>
        <v>2013 Ad Valorem Tax (est.)</v>
      </c>
      <c r="I75" s="668"/>
      <c r="J75" s="703"/>
      <c r="K75" s="676">
        <f>IF(G75=E80,"","Note: Does not include Delinquent Taxes")</f>
      </c>
    </row>
    <row r="76" spans="2:11" ht="15.75">
      <c r="B76" s="115"/>
      <c r="C76" s="811" t="s">
        <v>726</v>
      </c>
      <c r="D76" s="812"/>
      <c r="E76" s="169"/>
      <c r="F76" s="735">
        <f>IF(E73/0.95-E73&lt;E76,"Exceeds 5%","")</f>
      </c>
      <c r="G76" s="705">
        <f>SUM(G73:G75)</f>
        <v>0</v>
      </c>
      <c r="H76" s="650" t="str">
        <f>CONCATENATE("Total ",E1," Resources Available")</f>
        <v>Total 2013 Resources Available</v>
      </c>
      <c r="I76" s="706"/>
      <c r="J76" s="703"/>
      <c r="K76" s="616"/>
    </row>
    <row r="77" spans="2:11" ht="15.75">
      <c r="B77" s="501" t="str">
        <f>CONCATENATE(C87,"     ",D87)</f>
        <v>     </v>
      </c>
      <c r="C77" s="813" t="s">
        <v>727</v>
      </c>
      <c r="D77" s="814"/>
      <c r="E77" s="259">
        <f>E73+E76</f>
        <v>0</v>
      </c>
      <c r="G77" s="707"/>
      <c r="H77" s="708"/>
      <c r="I77" s="649"/>
      <c r="J77" s="703"/>
      <c r="K77" s="616"/>
    </row>
    <row r="78" spans="2:11" ht="15.75">
      <c r="B78" s="501" t="str">
        <f>CONCATENATE(C88,"     ",D88)</f>
        <v>     </v>
      </c>
      <c r="C78" s="504"/>
      <c r="D78" s="503" t="s">
        <v>288</v>
      </c>
      <c r="E78" s="180">
        <f>IF(E77-E61&gt;0,E77-E61,0)</f>
        <v>0</v>
      </c>
      <c r="G78" s="675">
        <f>ROUND(C73*0.05+C73,0)</f>
        <v>0</v>
      </c>
      <c r="H78" s="650" t="str">
        <f>CONCATENATE("Less ",E1-2," Expenditures + 5%")</f>
        <v>Less 2011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2014 carryover (est.)</v>
      </c>
      <c r="I79" s="709"/>
      <c r="J79" s="710"/>
      <c r="K79" s="616"/>
    </row>
    <row r="80" spans="2:11" ht="15.75">
      <c r="B80" s="65"/>
      <c r="C80" s="815" t="str">
        <f>CONCATENATE("Amount of  ",$E$1-1," Ad Valorem Tax")</f>
        <v>Amount of  2012 Ad Valorem Tax</v>
      </c>
      <c r="D80" s="816"/>
      <c r="E80" s="180">
        <f>E78+E79</f>
        <v>0</v>
      </c>
      <c r="G80" s="616"/>
      <c r="H80" s="616"/>
      <c r="I80" s="616"/>
      <c r="J80" s="616"/>
      <c r="K80" s="616"/>
    </row>
    <row r="81" spans="2:11" ht="15.75">
      <c r="B81" s="208" t="s">
        <v>269</v>
      </c>
      <c r="C81" s="209"/>
      <c r="D81" s="65"/>
      <c r="E81" s="65"/>
      <c r="G81" s="830" t="s">
        <v>859</v>
      </c>
      <c r="H81" s="831"/>
      <c r="I81" s="831"/>
      <c r="J81" s="832"/>
      <c r="K81" s="616"/>
    </row>
    <row r="82" spans="2:11" ht="15.75">
      <c r="B82" s="111"/>
      <c r="G82" s="690"/>
      <c r="H82" s="667"/>
      <c r="I82" s="691"/>
      <c r="J82" s="692"/>
      <c r="K82" s="616"/>
    </row>
    <row r="83" spans="7:11" ht="15.75">
      <c r="G83" s="693" t="e">
        <f>summ!#REF!</f>
        <v>#REF!</v>
      </c>
      <c r="H83" s="667" t="str">
        <f>CONCATENATE("",E1," Fund Mill Rate")</f>
        <v>2013 Fund Mill Rate</v>
      </c>
      <c r="I83" s="691"/>
      <c r="J83" s="692"/>
      <c r="K83" s="616"/>
    </row>
    <row r="84" spans="7:11" ht="15.75">
      <c r="G84" s="694" t="e">
        <f>summ!#REF!</f>
        <v>#REF!</v>
      </c>
      <c r="H84" s="667" t="str">
        <f>CONCATENATE("",E1-1," Fund Mill Rate")</f>
        <v>2012 Fund Mill Rate</v>
      </c>
      <c r="I84" s="691"/>
      <c r="J84" s="692"/>
      <c r="K84" s="616"/>
    </row>
    <row r="85" spans="3:11" ht="15.75" hidden="1">
      <c r="C85" s="154">
        <f>IF(C33&gt;C35,"See Tab A","")</f>
      </c>
      <c r="D85" s="154">
        <f>IF(D33&gt;D35,"See Tab C","")</f>
      </c>
      <c r="G85" s="696">
        <f>'[1]summ'!I36</f>
        <v>0</v>
      </c>
      <c r="H85" s="667" t="str">
        <f>CONCATENATE("Total ",E1," Mill Rate")</f>
        <v>Total 2013 Mill Rate</v>
      </c>
      <c r="I85" s="691"/>
      <c r="J85" s="692"/>
      <c r="K85" s="616"/>
    </row>
    <row r="86" spans="3:11" ht="15.75" hidden="1">
      <c r="C86" s="154">
        <f>IF(C34&lt;0,"See Tab B","")</f>
      </c>
      <c r="D86" s="154">
        <f>IF(D34&lt;0,"See Tab D","")</f>
      </c>
      <c r="G86" s="694">
        <f>'[1]summ'!F36</f>
        <v>0</v>
      </c>
      <c r="H86" s="697" t="str">
        <f>CONCATENATE("Total ",E1-1," Mill Rate")</f>
        <v>Total 2012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summ!H24</f>
        <v>14.411999999999999</v>
      </c>
      <c r="H89" s="667" t="str">
        <f>CONCATENATE("Total ",E1," Mill Rate")</f>
        <v>Total 2013 Mill Rate</v>
      </c>
      <c r="I89" s="691"/>
      <c r="J89" s="692"/>
    </row>
    <row r="90" spans="7:10" ht="15.75">
      <c r="G90" s="694">
        <f>summ!E24</f>
        <v>15.567000000000002</v>
      </c>
      <c r="H90" s="697" t="str">
        <f>CONCATENATE("Total ",E1-1," Mill Rate")</f>
        <v>Total 2012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73" sqref="A73:E73"/>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Morrill Township</v>
      </c>
      <c r="B1" s="30"/>
      <c r="C1" s="30"/>
      <c r="D1" s="30"/>
      <c r="E1" s="30">
        <f>inputPrYr!D9</f>
        <v>2013</v>
      </c>
    </row>
    <row r="2" spans="1:5" ht="15.75">
      <c r="A2" s="41" t="str">
        <f>inputPrYr!D4</f>
        <v>Brown County</v>
      </c>
      <c r="B2" s="30"/>
      <c r="C2" s="30"/>
      <c r="D2" s="30"/>
      <c r="E2" s="30"/>
    </row>
    <row r="3" spans="1:5" ht="15.75">
      <c r="A3" s="30"/>
      <c r="B3" s="30"/>
      <c r="C3" s="30"/>
      <c r="D3" s="30"/>
      <c r="E3" s="30"/>
    </row>
    <row r="4" spans="1:5" ht="15.75">
      <c r="A4" s="761" t="s">
        <v>106</v>
      </c>
      <c r="B4" s="762"/>
      <c r="C4" s="762"/>
      <c r="D4" s="762"/>
      <c r="E4" s="762"/>
    </row>
    <row r="5" spans="1:5" ht="15.75">
      <c r="A5" s="30"/>
      <c r="B5" s="30"/>
      <c r="C5" s="30"/>
      <c r="D5" s="30"/>
      <c r="E5" s="30"/>
    </row>
    <row r="6" spans="1:5" ht="15.75">
      <c r="A6" s="765" t="str">
        <f>CONCATENATE("From the County Clerks Budget Information for ",E1,":")</f>
        <v>From the County Clerks Budget Information for 2013:</v>
      </c>
      <c r="B6" s="766"/>
      <c r="C6" s="766"/>
      <c r="D6" s="766"/>
      <c r="E6" s="766"/>
    </row>
    <row r="7" spans="1:5" ht="15.75">
      <c r="A7" s="55" t="str">
        <f>CONCATENATE("Assessed Valuation for ",E1-1,":")</f>
        <v>Assessed Valuation for 2012:</v>
      </c>
      <c r="B7" s="10"/>
      <c r="C7" s="10"/>
      <c r="D7" s="10"/>
      <c r="E7" s="36"/>
    </row>
    <row r="8" spans="1:5" ht="15.75">
      <c r="A8" s="13" t="s">
        <v>155</v>
      </c>
      <c r="B8" s="14"/>
      <c r="C8" s="14"/>
      <c r="D8" s="14"/>
      <c r="E8" s="35">
        <v>5027191</v>
      </c>
    </row>
    <row r="9" spans="1:5" ht="15.75">
      <c r="A9" s="15" t="str">
        <f>inputPrYr!$D$6</f>
        <v>Morrill</v>
      </c>
      <c r="B9" s="16"/>
      <c r="C9" s="16"/>
      <c r="D9" s="16"/>
      <c r="E9" s="35">
        <v>1164847</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6192038</v>
      </c>
    </row>
    <row r="12" spans="1:5" ht="15.75">
      <c r="A12" s="54" t="str">
        <f>CONCATENATE("New Improvements for ",E1-1,":")</f>
        <v>New Improvements for 2012:</v>
      </c>
      <c r="B12" s="10"/>
      <c r="C12" s="10"/>
      <c r="D12" s="10"/>
      <c r="E12" s="34"/>
    </row>
    <row r="13" spans="1:5" ht="15.75">
      <c r="A13" s="13" t="s">
        <v>155</v>
      </c>
      <c r="B13" s="14"/>
      <c r="C13" s="14"/>
      <c r="D13" s="14"/>
      <c r="E13" s="52">
        <v>70517</v>
      </c>
    </row>
    <row r="14" spans="1:5" ht="15.75">
      <c r="A14" s="15" t="str">
        <f>inputPrYr!$D$6</f>
        <v>Morrill</v>
      </c>
      <c r="B14" s="14"/>
      <c r="C14" s="14"/>
      <c r="D14" s="14"/>
      <c r="E14" s="3">
        <v>2424</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72941</v>
      </c>
    </row>
    <row r="17" spans="1:5" ht="15.75">
      <c r="A17" s="54" t="str">
        <f>CONCATENATE("Personal Property excluding oil, gas, and mobile homes- ",E1-1,":")</f>
        <v>Personal Property excluding oil, gas, and mobile homes- 2012:</v>
      </c>
      <c r="B17" s="10"/>
      <c r="C17" s="10"/>
      <c r="D17" s="10"/>
      <c r="E17" s="34"/>
    </row>
    <row r="18" spans="1:5" ht="15.75">
      <c r="A18" s="13" t="s">
        <v>155</v>
      </c>
      <c r="B18" s="14"/>
      <c r="C18" s="14"/>
      <c r="D18" s="14"/>
      <c r="E18" s="52">
        <v>101884</v>
      </c>
    </row>
    <row r="19" spans="1:5" ht="15.75">
      <c r="A19" s="15" t="str">
        <f>inputPrYr!$D$6</f>
        <v>Morrill</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101884</v>
      </c>
    </row>
    <row r="22" spans="1:5" ht="15.75">
      <c r="A22" s="54" t="str">
        <f>CONCATENATE("Property that has changed in use for ",E1-1,":")</f>
        <v>Property that has changed in use for 2012:</v>
      </c>
      <c r="B22" s="10"/>
      <c r="C22" s="10"/>
      <c r="D22" s="10"/>
      <c r="E22" s="34"/>
    </row>
    <row r="23" spans="1:5" ht="15.75">
      <c r="A23" s="13" t="s">
        <v>155</v>
      </c>
      <c r="B23" s="14"/>
      <c r="C23" s="14"/>
      <c r="D23" s="14"/>
      <c r="E23" s="52">
        <v>48052</v>
      </c>
    </row>
    <row r="24" spans="1:5" ht="15.75">
      <c r="A24" s="15" t="str">
        <f>inputPrYr!$D$6</f>
        <v>Morrill</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48052</v>
      </c>
    </row>
    <row r="27" spans="1:5" ht="15.75">
      <c r="A27" s="54" t="str">
        <f>CONCATENATE("Personal Property excluding oil, gas, and mobile homes- ",E1-2,":")</f>
        <v>Personal Property excluding oil, gas, and mobile homes- 2011:</v>
      </c>
      <c r="B27" s="10"/>
      <c r="C27" s="10"/>
      <c r="D27" s="10"/>
      <c r="E27" s="34"/>
    </row>
    <row r="28" spans="1:5" ht="15.75">
      <c r="A28" s="13" t="s">
        <v>155</v>
      </c>
      <c r="B28" s="14"/>
      <c r="C28" s="14"/>
      <c r="D28" s="14"/>
      <c r="E28" s="52">
        <v>66256</v>
      </c>
    </row>
    <row r="29" spans="1:5" ht="15.75">
      <c r="A29" s="15" t="str">
        <f>inputPrYr!$D$6</f>
        <v>Morrill</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66256</v>
      </c>
    </row>
    <row r="32" spans="1:5" ht="15.75">
      <c r="A32" s="15" t="str">
        <f>CONCATENATE("Gross earnings (intangible) tax estimate for ",E1,"")</f>
        <v>Gross earnings (intangible) tax estimate for 2013</v>
      </c>
      <c r="B32" s="16"/>
      <c r="C32" s="16"/>
      <c r="D32" s="16"/>
      <c r="E32" s="3">
        <v>4528</v>
      </c>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63" t="s">
        <v>251</v>
      </c>
      <c r="B36" s="764"/>
      <c r="C36" s="30"/>
      <c r="D36" s="37" t="s">
        <v>263</v>
      </c>
      <c r="E36" s="36"/>
    </row>
    <row r="37" spans="1:5" ht="15.75">
      <c r="A37" s="13" t="str">
        <f>inputPrYr!B20</f>
        <v>General</v>
      </c>
      <c r="B37" s="14"/>
      <c r="C37" s="10"/>
      <c r="D37" s="48">
        <v>1.714</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12.127</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0.884</v>
      </c>
      <c r="E43" s="36"/>
    </row>
    <row r="44" spans="1:5" ht="15.75">
      <c r="A44" s="13" t="str">
        <f>inputPrYr!B27</f>
        <v>Cemetery</v>
      </c>
      <c r="B44" s="16"/>
      <c r="C44" s="10"/>
      <c r="D44" s="50">
        <v>0.842</v>
      </c>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15.567000000000002</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155</v>
      </c>
      <c r="B52" s="14"/>
      <c r="C52" s="14"/>
      <c r="D52" s="14"/>
      <c r="E52" s="4">
        <v>4568155</v>
      </c>
    </row>
    <row r="53" spans="1:5" ht="15.75">
      <c r="A53" s="16" t="str">
        <f>inputPrYr!D6</f>
        <v>Morrill</v>
      </c>
      <c r="B53" s="16"/>
      <c r="C53" s="16"/>
      <c r="D53" s="20"/>
      <c r="E53" s="4">
        <v>1157015</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5725170</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148</v>
      </c>
      <c r="B58" s="14"/>
      <c r="C58" s="14"/>
      <c r="D58" s="8"/>
      <c r="E58" s="7"/>
    </row>
    <row r="59" spans="1:5" ht="15.75">
      <c r="A59" s="13" t="s">
        <v>107</v>
      </c>
      <c r="B59" s="14"/>
      <c r="C59" s="14"/>
      <c r="D59" s="39"/>
      <c r="E59" s="2">
        <v>5549</v>
      </c>
    </row>
    <row r="60" spans="1:5" ht="15.75">
      <c r="A60" s="15" t="s">
        <v>242</v>
      </c>
      <c r="B60" s="16"/>
      <c r="C60" s="16"/>
      <c r="D60" s="40"/>
      <c r="E60" s="2">
        <v>95</v>
      </c>
    </row>
    <row r="61" spans="1:5" ht="15.75">
      <c r="A61" s="15" t="s">
        <v>108</v>
      </c>
      <c r="B61" s="16"/>
      <c r="C61" s="16"/>
      <c r="D61" s="40"/>
      <c r="E61" s="2">
        <v>723</v>
      </c>
    </row>
    <row r="62" spans="1:5" ht="15.75">
      <c r="A62" s="44" t="s">
        <v>152</v>
      </c>
      <c r="B62" s="45"/>
      <c r="C62" s="16"/>
      <c r="D62" s="40"/>
      <c r="E62" s="31"/>
    </row>
    <row r="63" spans="1:5" ht="15.75">
      <c r="A63" s="13" t="s">
        <v>149</v>
      </c>
      <c r="B63" s="16"/>
      <c r="C63" s="16"/>
      <c r="D63" s="40"/>
      <c r="E63" s="2"/>
    </row>
    <row r="64" spans="1:5" ht="15.75">
      <c r="A64" s="15" t="s">
        <v>150</v>
      </c>
      <c r="B64" s="16"/>
      <c r="C64" s="16"/>
      <c r="D64" s="40"/>
      <c r="E64" s="2"/>
    </row>
    <row r="65" spans="1:5" ht="15.75">
      <c r="A65" s="15" t="s">
        <v>151</v>
      </c>
      <c r="B65" s="16"/>
      <c r="C65" s="16"/>
      <c r="D65" s="40"/>
      <c r="E65" s="2"/>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109</v>
      </c>
      <c r="B71" s="16"/>
      <c r="C71" s="16"/>
      <c r="D71" s="40"/>
      <c r="E71" s="2"/>
    </row>
    <row r="72" spans="1:5" ht="15.75">
      <c r="A72" s="15" t="s">
        <v>49</v>
      </c>
      <c r="B72" s="14"/>
      <c r="C72" s="14"/>
      <c r="D72" s="39"/>
      <c r="E72" s="2">
        <v>4035</v>
      </c>
    </row>
    <row r="73" spans="1:5" ht="33" customHeight="1">
      <c r="A73" s="767" t="s">
        <v>154</v>
      </c>
      <c r="B73" s="768"/>
      <c r="C73" s="768"/>
      <c r="D73" s="768"/>
      <c r="E73" s="768"/>
    </row>
    <row r="74" spans="1:5" ht="15.75">
      <c r="A74" s="5"/>
      <c r="B74" s="5"/>
      <c r="C74" s="5"/>
      <c r="D74" s="5"/>
      <c r="E74" s="5"/>
    </row>
    <row r="75" spans="1:5" ht="15.75">
      <c r="A75" s="12" t="s">
        <v>110</v>
      </c>
      <c r="B75" s="11"/>
      <c r="C75" s="11"/>
      <c r="D75" s="5"/>
      <c r="E75" s="5"/>
    </row>
    <row r="76" spans="1:5" ht="15.75">
      <c r="A76" s="76" t="str">
        <f>CONCATENATE("Actual Delinquency for ",E36-3," Tax - (rate .01213 = 1.213%, key in 1.2)")</f>
        <v>Actual Delinquency for -3 Tax - (rate .01213 = 1.213%, key in 1.2)</v>
      </c>
      <c r="B76" s="14"/>
      <c r="C76" s="14"/>
      <c r="D76" s="583"/>
      <c r="E76" s="584">
        <v>0</v>
      </c>
    </row>
    <row r="77" spans="1:5" ht="15.75">
      <c r="A77" s="76" t="s">
        <v>799</v>
      </c>
      <c r="B77" s="17"/>
      <c r="C77" s="10"/>
      <c r="D77" s="10"/>
      <c r="E77" s="585">
        <v>0</v>
      </c>
    </row>
    <row r="78" spans="1:5" ht="34.5" customHeight="1">
      <c r="A78" s="759" t="s">
        <v>111</v>
      </c>
      <c r="B78" s="760"/>
      <c r="C78" s="760"/>
      <c r="D78" s="760"/>
      <c r="E78" s="760"/>
    </row>
    <row r="79" spans="1:5" ht="15.75">
      <c r="A79" s="33"/>
      <c r="B79" s="33"/>
      <c r="C79" s="33"/>
      <c r="D79" s="33"/>
      <c r="E79" s="33"/>
    </row>
    <row r="80" spans="1:5" ht="15.75">
      <c r="A80" s="755" t="str">
        <f>CONCATENATE("From the ",E1-2," Budget Certificate Page")</f>
        <v>From the 2011 Budget Certificate Page</v>
      </c>
      <c r="B80" s="756"/>
      <c r="C80" s="33"/>
      <c r="D80" s="33"/>
      <c r="E80" s="33"/>
    </row>
    <row r="81" spans="1:5" ht="15.75">
      <c r="A81" s="57"/>
      <c r="B81" s="57" t="str">
        <f>CONCATENATE("",E1-2," Expenditure Amounts")</f>
        <v>2011 Expenditure Amounts</v>
      </c>
      <c r="C81" s="757" t="str">
        <f>CONCATENATE("Note: If the ",E1-2," budget was amended, then the")</f>
        <v>Note: If the 2011 budget was amended, then the</v>
      </c>
      <c r="D81" s="758"/>
      <c r="E81" s="758"/>
    </row>
    <row r="82" spans="1:5" ht="15.75">
      <c r="A82" s="58" t="s">
        <v>172</v>
      </c>
      <c r="B82" s="58" t="s">
        <v>173</v>
      </c>
      <c r="C82" s="59" t="s">
        <v>174</v>
      </c>
      <c r="D82" s="60"/>
      <c r="E82" s="60"/>
    </row>
    <row r="83" spans="1:5" ht="15.75">
      <c r="A83" s="61" t="str">
        <f>inputPrYr!B20</f>
        <v>General</v>
      </c>
      <c r="B83" s="4">
        <v>18100</v>
      </c>
      <c r="C83" s="59" t="s">
        <v>175</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66421</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4500</v>
      </c>
      <c r="C89" s="33"/>
      <c r="D89" s="33"/>
      <c r="E89" s="33"/>
    </row>
    <row r="90" spans="1:5" ht="15.75">
      <c r="A90" s="61" t="str">
        <f>inputPrYr!B27</f>
        <v>Cemetery</v>
      </c>
      <c r="B90" s="4">
        <v>4200</v>
      </c>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Morrill Township</v>
      </c>
      <c r="C1" s="65"/>
      <c r="D1" s="65"/>
      <c r="E1" s="223">
        <f>inputPrYr!D9</f>
        <v>2013</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486">
        <f>inputPrYr!B35</f>
        <v>0</v>
      </c>
      <c r="C5" s="78" t="str">
        <f>gen!C5</f>
        <v>Actual for 2011</v>
      </c>
      <c r="D5" s="78" t="str">
        <f>gen!D5</f>
        <v>Estimate for 2012</v>
      </c>
      <c r="E5" s="78" t="str">
        <f>gen!E5</f>
        <v>Year for 2013</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282</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283</v>
      </c>
      <c r="C15" s="320">
        <f>SUM(C8:C13)</f>
        <v>0</v>
      </c>
      <c r="D15" s="320">
        <f>SUM(D8:D13)</f>
        <v>0</v>
      </c>
      <c r="E15" s="320">
        <f>SUM(E8:E13)</f>
        <v>0</v>
      </c>
    </row>
    <row r="16" spans="2:5" ht="15.75">
      <c r="B16" s="97" t="s">
        <v>284</v>
      </c>
      <c r="C16" s="329">
        <f>C6+C15</f>
        <v>0</v>
      </c>
      <c r="D16" s="329">
        <f>D6+D15</f>
        <v>0</v>
      </c>
      <c r="E16" s="329">
        <f>E6+E15</f>
        <v>0</v>
      </c>
    </row>
    <row r="17" spans="2:5" ht="15.75">
      <c r="B17" s="79" t="s">
        <v>285</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729</v>
      </c>
      <c r="C27" s="321">
        <f>IF(C28*0.1&lt;C26,"Exceed 10% Rule","")</f>
      </c>
      <c r="D27" s="318">
        <f>IF(D28*0.1&lt;D26,"Exceed 10% Rule","")</f>
      </c>
      <c r="E27" s="318">
        <f>IF(E28*0.1&lt;E26,"Exceed 10% Rule","")</f>
      </c>
    </row>
    <row r="28" spans="2:5" ht="15.75">
      <c r="B28" s="97" t="s">
        <v>286</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2011/2012 Budget Authority Amount:</v>
      </c>
      <c r="C30" s="336">
        <f>inputOth!B95</f>
        <v>0</v>
      </c>
      <c r="D30" s="336">
        <f>inputPrYr!D35</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487">
        <f>inputPrYr!B36</f>
        <v>0</v>
      </c>
      <c r="C36" s="78" t="str">
        <f>C5</f>
        <v>Actual for 2011</v>
      </c>
      <c r="D36" s="78" t="str">
        <f>D5</f>
        <v>Estimate for 2012</v>
      </c>
      <c r="E36" s="78" t="str">
        <f>E5</f>
        <v>Year for 2013</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282</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283</v>
      </c>
      <c r="C46" s="320">
        <f>SUM(C39:C44)</f>
        <v>0</v>
      </c>
      <c r="D46" s="320">
        <f>SUM(D39:D44)</f>
        <v>0</v>
      </c>
      <c r="E46" s="320">
        <f>SUM(E39:E44)</f>
        <v>0</v>
      </c>
    </row>
    <row r="47" spans="2:5" ht="15.75">
      <c r="B47" s="97" t="s">
        <v>284</v>
      </c>
      <c r="C47" s="320">
        <f>C37+C46</f>
        <v>0</v>
      </c>
      <c r="D47" s="320">
        <f>D37+D46</f>
        <v>0</v>
      </c>
      <c r="E47" s="320">
        <f>E37+E46</f>
        <v>0</v>
      </c>
    </row>
    <row r="48" spans="2:5" ht="15.75">
      <c r="B48" s="79" t="s">
        <v>285</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729</v>
      </c>
      <c r="C58" s="321">
        <f>IF(C59*0.1&lt;C57,"Exceed 10% Rule","")</f>
      </c>
      <c r="D58" s="318">
        <f>IF(D59*0.1&lt;D57,"Exceed 10% Rule","")</f>
      </c>
      <c r="E58" s="318">
        <f>IF(E59*0.1&lt;E57,"Exceed 10% Rule","")</f>
      </c>
    </row>
    <row r="59" spans="2:5" ht="15.75">
      <c r="B59" s="97" t="s">
        <v>286</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2011/2012 Budget Authority Amount:</v>
      </c>
      <c r="C61" s="336">
        <f>inputOth!B96</f>
        <v>0</v>
      </c>
      <c r="D61" s="336">
        <f>inputPrYr!D36</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269</v>
      </c>
      <c r="C65" s="151"/>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Morrill Township</v>
      </c>
      <c r="C1" s="65"/>
      <c r="D1" s="65"/>
      <c r="E1" s="223">
        <f>inputPrYr!D9</f>
        <v>2013</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176">
        <f>inputPrYr!B37</f>
        <v>0</v>
      </c>
      <c r="C5" s="78" t="str">
        <f>gen!C5</f>
        <v>Actual for 2011</v>
      </c>
      <c r="D5" s="78" t="str">
        <f>gen!D5</f>
        <v>Estimate for 2012</v>
      </c>
      <c r="E5" s="78" t="str">
        <f>gen!E5</f>
        <v>Year for 2013</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282</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283</v>
      </c>
      <c r="C15" s="320">
        <f>SUM(C8:C13)</f>
        <v>0</v>
      </c>
      <c r="D15" s="320">
        <f>SUM(D8:D13)</f>
        <v>0</v>
      </c>
      <c r="E15" s="320">
        <f>SUM(E8:E13)</f>
        <v>0</v>
      </c>
    </row>
    <row r="16" spans="2:5" ht="15.75">
      <c r="B16" s="97" t="s">
        <v>284</v>
      </c>
      <c r="C16" s="320">
        <f>C6+C15</f>
        <v>0</v>
      </c>
      <c r="D16" s="320">
        <f>D6+D15</f>
        <v>0</v>
      </c>
      <c r="E16" s="320">
        <f>E6+E15</f>
        <v>0</v>
      </c>
    </row>
    <row r="17" spans="2:5" ht="15.75">
      <c r="B17" s="79" t="s">
        <v>285</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729</v>
      </c>
      <c r="C27" s="321">
        <f>IF(C28*0.1&lt;C26,"Exceed 10% Rule","")</f>
      </c>
      <c r="D27" s="318">
        <f>IF(D28*0.1&lt;D26,"Exceed 10% Rule","")</f>
      </c>
      <c r="E27" s="318">
        <f>IF(E28*0.1&lt;E26,"Exceed 10% Rule","")</f>
      </c>
    </row>
    <row r="28" spans="2:5" ht="15.75">
      <c r="B28" s="97" t="s">
        <v>286</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2011/2012 Budget Authority Amount:</v>
      </c>
      <c r="C30" s="336">
        <f>inputOth!B97</f>
        <v>0</v>
      </c>
      <c r="D30" s="336">
        <f>inputPrYr!D37</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238">
        <f>inputPrYr!B38</f>
        <v>0</v>
      </c>
      <c r="C36" s="78" t="str">
        <f>C5</f>
        <v>Actual for 2011</v>
      </c>
      <c r="D36" s="78" t="str">
        <f>D5</f>
        <v>Estimate for 2012</v>
      </c>
      <c r="E36" s="78" t="str">
        <f>E5</f>
        <v>Year for 2013</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282</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283</v>
      </c>
      <c r="C46" s="320">
        <f>SUM(C39:C44)</f>
        <v>0</v>
      </c>
      <c r="D46" s="320">
        <f>SUM(D39:D44)</f>
        <v>0</v>
      </c>
      <c r="E46" s="320">
        <f>SUM(E39:E44)</f>
        <v>0</v>
      </c>
    </row>
    <row r="47" spans="2:5" ht="15.75">
      <c r="B47" s="97" t="s">
        <v>284</v>
      </c>
      <c r="C47" s="320">
        <f>C37+C46</f>
        <v>0</v>
      </c>
      <c r="D47" s="320">
        <f>D37+D46</f>
        <v>0</v>
      </c>
      <c r="E47" s="320">
        <f>E37+E46</f>
        <v>0</v>
      </c>
    </row>
    <row r="48" spans="2:5" ht="15.75">
      <c r="B48" s="79" t="s">
        <v>285</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729</v>
      </c>
      <c r="C58" s="321">
        <f>IF(C59*0.1&lt;C57,"Exceed 10% Rule","")</f>
      </c>
      <c r="D58" s="318">
        <f>IF(D59*0.1&lt;D57,"Exceed 10% Rule","")</f>
      </c>
      <c r="E58" s="318">
        <f>IF(E59*0.1&lt;E57,"Exceed 10% Rule","")</f>
      </c>
    </row>
    <row r="59" spans="2:5" ht="15.75">
      <c r="B59" s="97" t="s">
        <v>286</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2011/2012 Budget Authority Amount:</v>
      </c>
      <c r="C61" s="336">
        <f>inputOth!B98</f>
        <v>0</v>
      </c>
      <c r="D61" s="336">
        <f>inputPrYr!D38</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730</v>
      </c>
      <c r="C65" s="151"/>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9" t="s">
        <v>635</v>
      </c>
    </row>
    <row r="3" ht="31.5">
      <c r="A3" s="491" t="s">
        <v>636</v>
      </c>
    </row>
    <row r="4" ht="15.75">
      <c r="A4" s="492" t="s">
        <v>637</v>
      </c>
    </row>
    <row r="7" ht="31.5">
      <c r="A7" s="491" t="s">
        <v>638</v>
      </c>
    </row>
    <row r="8" ht="15.75">
      <c r="A8" s="492" t="s">
        <v>639</v>
      </c>
    </row>
    <row r="11" ht="15.75">
      <c r="A11" s="490" t="s">
        <v>640</v>
      </c>
    </row>
    <row r="12" ht="15.75">
      <c r="A12" s="492" t="s">
        <v>641</v>
      </c>
    </row>
    <row r="15" ht="15.75">
      <c r="A15" s="490" t="s">
        <v>642</v>
      </c>
    </row>
    <row r="16" ht="15.75">
      <c r="A16" s="492" t="s">
        <v>643</v>
      </c>
    </row>
    <row r="19" ht="15.75">
      <c r="A19" s="490" t="s">
        <v>644</v>
      </c>
    </row>
    <row r="20" ht="15.75">
      <c r="A20" s="492" t="s">
        <v>645</v>
      </c>
    </row>
    <row r="23" ht="15.75">
      <c r="A23" s="490" t="s">
        <v>646</v>
      </c>
    </row>
    <row r="24" ht="15.75">
      <c r="A24" s="492" t="s">
        <v>647</v>
      </c>
    </row>
    <row r="27" ht="15.75">
      <c r="A27" s="490" t="s">
        <v>648</v>
      </c>
    </row>
    <row r="28" ht="15.75">
      <c r="A28" s="492" t="s">
        <v>649</v>
      </c>
    </row>
    <row r="31" ht="15.75">
      <c r="A31" s="490" t="s">
        <v>650</v>
      </c>
    </row>
    <row r="32" ht="15.75">
      <c r="A32" s="492" t="s">
        <v>651</v>
      </c>
    </row>
    <row r="35" ht="15.75">
      <c r="A35" s="490" t="s">
        <v>652</v>
      </c>
    </row>
    <row r="36" ht="15.75">
      <c r="A36" s="492" t="s">
        <v>653</v>
      </c>
    </row>
    <row r="39" ht="15.75">
      <c r="A39" s="490" t="s">
        <v>654</v>
      </c>
    </row>
    <row r="40" ht="15.75">
      <c r="A40" s="492"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1" customWidth="1"/>
    <col min="2" max="16384" width="8.796875" style="111" customWidth="1"/>
  </cols>
  <sheetData>
    <row r="1" ht="15.75">
      <c r="A1" s="560" t="s">
        <v>934</v>
      </c>
    </row>
    <row r="2" ht="15.75">
      <c r="A2" s="744" t="s">
        <v>935</v>
      </c>
    </row>
    <row r="4" ht="15.75">
      <c r="A4" s="560" t="s">
        <v>930</v>
      </c>
    </row>
    <row r="5" ht="15.75">
      <c r="A5" s="741" t="s">
        <v>901</v>
      </c>
    </row>
    <row r="6" ht="15.75">
      <c r="A6" s="741" t="s">
        <v>902</v>
      </c>
    </row>
    <row r="7" ht="15.75">
      <c r="A7" s="741" t="s">
        <v>903</v>
      </c>
    </row>
    <row r="8" ht="15.75">
      <c r="A8" s="741" t="s">
        <v>904</v>
      </c>
    </row>
    <row r="9" ht="15.75">
      <c r="A9" s="741" t="s">
        <v>905</v>
      </c>
    </row>
    <row r="10" ht="15.75">
      <c r="A10" s="741" t="s">
        <v>906</v>
      </c>
    </row>
    <row r="11" ht="15.75">
      <c r="A11" s="741" t="s">
        <v>907</v>
      </c>
    </row>
    <row r="12" ht="15.75">
      <c r="A12" s="741" t="s">
        <v>908</v>
      </c>
    </row>
    <row r="13" ht="15.75">
      <c r="A13" s="741" t="s">
        <v>909</v>
      </c>
    </row>
    <row r="14" ht="15.75">
      <c r="A14" s="741" t="s">
        <v>910</v>
      </c>
    </row>
    <row r="15" ht="15.75">
      <c r="A15" s="741" t="s">
        <v>911</v>
      </c>
    </row>
    <row r="16" ht="15.75">
      <c r="A16" s="741" t="s">
        <v>912</v>
      </c>
    </row>
    <row r="17" ht="15.75">
      <c r="A17" s="741" t="s">
        <v>913</v>
      </c>
    </row>
    <row r="18" ht="15.75">
      <c r="A18" s="741" t="s">
        <v>914</v>
      </c>
    </row>
    <row r="19" ht="15.75">
      <c r="A19" s="741" t="s">
        <v>915</v>
      </c>
    </row>
    <row r="20" ht="15.75">
      <c r="A20" s="741" t="s">
        <v>916</v>
      </c>
    </row>
    <row r="21" ht="15.75">
      <c r="A21" s="741" t="s">
        <v>917</v>
      </c>
    </row>
    <row r="22" ht="15.75">
      <c r="A22" s="741" t="s">
        <v>918</v>
      </c>
    </row>
    <row r="23" ht="15.75">
      <c r="A23" s="741" t="s">
        <v>919</v>
      </c>
    </row>
    <row r="24" ht="15.75">
      <c r="A24" s="741" t="s">
        <v>920</v>
      </c>
    </row>
    <row r="25" ht="15.75">
      <c r="A25" s="741" t="s">
        <v>921</v>
      </c>
    </row>
    <row r="26" ht="15.75">
      <c r="A26" s="741" t="s">
        <v>922</v>
      </c>
    </row>
    <row r="27" ht="15.75">
      <c r="A27" s="741" t="s">
        <v>923</v>
      </c>
    </row>
    <row r="28" ht="15.75">
      <c r="A28" s="741" t="s">
        <v>924</v>
      </c>
    </row>
    <row r="29" ht="15.75">
      <c r="A29" s="741" t="s">
        <v>925</v>
      </c>
    </row>
    <row r="30" ht="15.75">
      <c r="A30" s="741" t="s">
        <v>926</v>
      </c>
    </row>
    <row r="31" ht="15.75">
      <c r="A31" s="741" t="s">
        <v>927</v>
      </c>
    </row>
    <row r="32" ht="15.75">
      <c r="A32" s="741" t="s">
        <v>928</v>
      </c>
    </row>
    <row r="33" ht="15.75">
      <c r="A33" s="741" t="s">
        <v>929</v>
      </c>
    </row>
    <row r="36" ht="15.75">
      <c r="A36" s="560" t="s">
        <v>769</v>
      </c>
    </row>
    <row r="37" ht="15.75">
      <c r="A37" s="111" t="s">
        <v>770</v>
      </c>
    </row>
    <row r="38" ht="15.75">
      <c r="A38" s="111" t="s">
        <v>771</v>
      </c>
    </row>
    <row r="40" ht="15.75">
      <c r="A40" s="560" t="s">
        <v>766</v>
      </c>
    </row>
    <row r="41" ht="15.75">
      <c r="A41" s="541" t="s">
        <v>767</v>
      </c>
    </row>
    <row r="43" ht="15.75">
      <c r="A43" s="386" t="s">
        <v>739</v>
      </c>
    </row>
    <row r="44" ht="15.75">
      <c r="A44" s="541" t="s">
        <v>740</v>
      </c>
    </row>
    <row r="45" ht="15.75">
      <c r="A45" s="541" t="s">
        <v>741</v>
      </c>
    </row>
    <row r="46" ht="31.5">
      <c r="A46" s="540" t="s">
        <v>742</v>
      </c>
    </row>
    <row r="47" ht="15.75">
      <c r="A47" s="541" t="s">
        <v>743</v>
      </c>
    </row>
    <row r="48" ht="15.75">
      <c r="A48" s="541" t="s">
        <v>744</v>
      </c>
    </row>
    <row r="49" ht="15.75">
      <c r="A49" s="541" t="s">
        <v>745</v>
      </c>
    </row>
    <row r="50" ht="15.75">
      <c r="A50" s="541" t="s">
        <v>746</v>
      </c>
    </row>
    <row r="51" ht="15.75">
      <c r="A51" s="541" t="s">
        <v>747</v>
      </c>
    </row>
    <row r="52" ht="15.75">
      <c r="A52" s="541" t="s">
        <v>748</v>
      </c>
    </row>
    <row r="53" ht="15.75">
      <c r="A53" s="541" t="s">
        <v>749</v>
      </c>
    </row>
    <row r="54" ht="15.75">
      <c r="A54" s="541" t="s">
        <v>750</v>
      </c>
    </row>
    <row r="55" ht="15.75">
      <c r="A55" s="541" t="s">
        <v>751</v>
      </c>
    </row>
    <row r="56" ht="15.75">
      <c r="A56" s="541" t="s">
        <v>752</v>
      </c>
    </row>
    <row r="57" ht="15.75">
      <c r="A57" s="541" t="s">
        <v>753</v>
      </c>
    </row>
    <row r="58" ht="15.75">
      <c r="A58" s="541" t="s">
        <v>754</v>
      </c>
    </row>
    <row r="59" ht="15.75">
      <c r="A59" s="541" t="s">
        <v>755</v>
      </c>
    </row>
    <row r="60" ht="15.75">
      <c r="A60" s="541" t="s">
        <v>756</v>
      </c>
    </row>
    <row r="61" ht="15.75">
      <c r="A61" s="541" t="s">
        <v>757</v>
      </c>
    </row>
    <row r="62" ht="15.75">
      <c r="A62" s="541" t="s">
        <v>758</v>
      </c>
    </row>
    <row r="63" ht="15.75">
      <c r="A63" s="541" t="s">
        <v>759</v>
      </c>
    </row>
    <row r="64" ht="15.75">
      <c r="A64" s="541" t="s">
        <v>760</v>
      </c>
    </row>
    <row r="65" ht="15.75">
      <c r="A65" s="541" t="s">
        <v>761</v>
      </c>
    </row>
    <row r="66" ht="15.75">
      <c r="A66" s="111" t="s">
        <v>765</v>
      </c>
    </row>
    <row r="68" ht="15.75">
      <c r="A68" s="386" t="s">
        <v>633</v>
      </c>
    </row>
    <row r="69" ht="36" customHeight="1">
      <c r="A69" s="213" t="s">
        <v>634</v>
      </c>
    </row>
    <row r="71" ht="15.75">
      <c r="A71" s="386" t="s">
        <v>629</v>
      </c>
    </row>
    <row r="72" ht="15.75">
      <c r="A72" s="111" t="s">
        <v>630</v>
      </c>
    </row>
    <row r="73" ht="15.75">
      <c r="A73" s="111" t="s">
        <v>631</v>
      </c>
    </row>
    <row r="74" ht="15.75">
      <c r="A74" s="111" t="s">
        <v>632</v>
      </c>
    </row>
    <row r="76" ht="15.75">
      <c r="A76" s="386" t="s">
        <v>618</v>
      </c>
    </row>
    <row r="77" ht="15.75">
      <c r="A77" s="111" t="s">
        <v>628</v>
      </c>
    </row>
    <row r="79" ht="15.75">
      <c r="A79" s="385" t="s">
        <v>381</v>
      </c>
    </row>
    <row r="80" ht="15.75">
      <c r="A80" s="111" t="s">
        <v>382</v>
      </c>
    </row>
    <row r="81" ht="15.75">
      <c r="A81" s="111" t="s">
        <v>383</v>
      </c>
    </row>
    <row r="82" ht="15.75">
      <c r="A82" s="111" t="s">
        <v>404</v>
      </c>
    </row>
    <row r="83" ht="15.75">
      <c r="A83" s="111" t="s">
        <v>405</v>
      </c>
    </row>
    <row r="84" ht="15.75">
      <c r="A84" s="111" t="s">
        <v>406</v>
      </c>
    </row>
    <row r="85" ht="15.75">
      <c r="A85" s="111" t="s">
        <v>616</v>
      </c>
    </row>
    <row r="87" ht="15.75">
      <c r="A87" s="385" t="s">
        <v>321</v>
      </c>
    </row>
    <row r="88" ht="15.75">
      <c r="A88" s="111" t="s">
        <v>322</v>
      </c>
    </row>
    <row r="89" ht="15.75">
      <c r="A89" s="111" t="s">
        <v>323</v>
      </c>
    </row>
    <row r="90" ht="15.75">
      <c r="A90" s="111" t="s">
        <v>324</v>
      </c>
    </row>
    <row r="91" ht="15.75">
      <c r="A91" s="111" t="s">
        <v>325</v>
      </c>
    </row>
    <row r="92" ht="15.75">
      <c r="A92" s="111" t="s">
        <v>326</v>
      </c>
    </row>
    <row r="93" ht="15.75">
      <c r="A93" s="111" t="s">
        <v>327</v>
      </c>
    </row>
    <row r="94" ht="15.75">
      <c r="A94" s="111" t="s">
        <v>328</v>
      </c>
    </row>
    <row r="95" ht="15.75">
      <c r="A95" s="111" t="s">
        <v>330</v>
      </c>
    </row>
    <row r="96" ht="15.75">
      <c r="A96" s="111" t="s">
        <v>331</v>
      </c>
    </row>
    <row r="97" ht="15.75">
      <c r="A97" s="111" t="s">
        <v>347</v>
      </c>
    </row>
    <row r="98" ht="15.75">
      <c r="A98" s="111" t="s">
        <v>348</v>
      </c>
    </row>
    <row r="99" ht="15.75">
      <c r="A99" s="111" t="s">
        <v>349</v>
      </c>
    </row>
    <row r="100" ht="15.75">
      <c r="A100" s="111" t="s">
        <v>350</v>
      </c>
    </row>
    <row r="101" ht="15.75">
      <c r="A101" s="111" t="s">
        <v>364</v>
      </c>
    </row>
    <row r="102" ht="15.75">
      <c r="A102" s="111" t="s">
        <v>365</v>
      </c>
    </row>
    <row r="103" ht="15.75">
      <c r="A103" s="111" t="s">
        <v>377</v>
      </c>
    </row>
    <row r="104" ht="15.75">
      <c r="A104" s="363" t="s">
        <v>378</v>
      </c>
    </row>
    <row r="106" ht="15.75">
      <c r="A106" s="385" t="s">
        <v>316</v>
      </c>
    </row>
    <row r="107" ht="15.75">
      <c r="A107" s="111" t="s">
        <v>317</v>
      </c>
    </row>
    <row r="109" ht="15.75">
      <c r="A109" s="385" t="s">
        <v>314</v>
      </c>
    </row>
    <row r="110" ht="15.75">
      <c r="A110" s="111" t="s">
        <v>315</v>
      </c>
    </row>
    <row r="112" ht="15.75">
      <c r="A112" s="385" t="s">
        <v>310</v>
      </c>
    </row>
    <row r="113" ht="15.75">
      <c r="A113" s="111" t="s">
        <v>311</v>
      </c>
    </row>
    <row r="114" ht="15.75">
      <c r="A114" s="111" t="s">
        <v>312</v>
      </c>
    </row>
    <row r="115" ht="15.75">
      <c r="A115" s="111" t="s">
        <v>313</v>
      </c>
    </row>
    <row r="117" ht="15.75">
      <c r="A117" s="385" t="s">
        <v>306</v>
      </c>
    </row>
    <row r="118" ht="15.75">
      <c r="A118" s="111" t="s">
        <v>307</v>
      </c>
    </row>
    <row r="119" ht="15.75">
      <c r="A119" s="111" t="s">
        <v>308</v>
      </c>
    </row>
    <row r="121" ht="15.75">
      <c r="A121" s="385" t="s">
        <v>222</v>
      </c>
    </row>
    <row r="122" ht="15.75">
      <c r="A122" s="111" t="s">
        <v>194</v>
      </c>
    </row>
    <row r="123" ht="31.5">
      <c r="A123" s="213" t="s">
        <v>195</v>
      </c>
    </row>
    <row r="124" ht="15.75">
      <c r="A124" s="111" t="s">
        <v>208</v>
      </c>
    </row>
    <row r="125" ht="15.75">
      <c r="A125" s="111" t="s">
        <v>209</v>
      </c>
    </row>
    <row r="126" ht="15.75">
      <c r="A126" s="111" t="s">
        <v>210</v>
      </c>
    </row>
    <row r="127" ht="15.75">
      <c r="A127" s="111" t="s">
        <v>211</v>
      </c>
    </row>
    <row r="128" ht="31.5">
      <c r="A128" s="213" t="s">
        <v>203</v>
      </c>
    </row>
    <row r="129" ht="31.5">
      <c r="A129" s="213" t="s">
        <v>212</v>
      </c>
    </row>
    <row r="130" ht="31.5">
      <c r="A130" s="213" t="s">
        <v>213</v>
      </c>
    </row>
    <row r="131" ht="15.75">
      <c r="A131" s="213" t="s">
        <v>214</v>
      </c>
    </row>
    <row r="132" ht="31.5">
      <c r="A132" s="213" t="s">
        <v>215</v>
      </c>
    </row>
    <row r="133" ht="15.75">
      <c r="A133" s="111" t="s">
        <v>216</v>
      </c>
    </row>
    <row r="134" ht="15.75">
      <c r="A134" s="111" t="s">
        <v>217</v>
      </c>
    </row>
    <row r="135" ht="15.75">
      <c r="A135" s="111" t="s">
        <v>218</v>
      </c>
    </row>
    <row r="136" ht="15.75">
      <c r="A136" s="111" t="s">
        <v>219</v>
      </c>
    </row>
    <row r="137" ht="31.5">
      <c r="A137" s="213" t="s">
        <v>220</v>
      </c>
    </row>
    <row r="138" ht="15.75">
      <c r="A138" s="213" t="s">
        <v>196</v>
      </c>
    </row>
    <row r="139" ht="31.5">
      <c r="A139" s="213" t="s">
        <v>204</v>
      </c>
    </row>
    <row r="140" ht="15.75">
      <c r="A140" s="213" t="s">
        <v>197</v>
      </c>
    </row>
    <row r="141" ht="15.75">
      <c r="A141" s="213" t="s">
        <v>198</v>
      </c>
    </row>
    <row r="142" ht="15.75">
      <c r="A142" s="213" t="s">
        <v>199</v>
      </c>
    </row>
    <row r="143" ht="31.5">
      <c r="A143" s="213" t="s">
        <v>200</v>
      </c>
    </row>
    <row r="144" ht="31.5">
      <c r="A144" s="213" t="s">
        <v>205</v>
      </c>
    </row>
    <row r="145" ht="31.5">
      <c r="A145" s="213" t="s">
        <v>201</v>
      </c>
    </row>
    <row r="146" ht="31.5">
      <c r="A146" s="213" t="s">
        <v>206</v>
      </c>
    </row>
    <row r="147" ht="15.75">
      <c r="A147" s="213" t="s">
        <v>207</v>
      </c>
    </row>
    <row r="148" ht="15.75">
      <c r="A148" s="213"/>
    </row>
    <row r="149" ht="15.75">
      <c r="A149" s="385" t="s">
        <v>134</v>
      </c>
    </row>
    <row r="150" ht="47.25">
      <c r="A150" s="213" t="s">
        <v>165</v>
      </c>
    </row>
    <row r="151" ht="15.75">
      <c r="A151" s="111" t="s">
        <v>135</v>
      </c>
    </row>
    <row r="152" ht="15.75">
      <c r="A152" s="111" t="s">
        <v>139</v>
      </c>
    </row>
    <row r="153" ht="15.75">
      <c r="A153" s="111" t="s">
        <v>140</v>
      </c>
    </row>
    <row r="154" ht="15.75">
      <c r="A154" s="111" t="s">
        <v>136</v>
      </c>
    </row>
    <row r="155" ht="15.75">
      <c r="A155" s="111" t="s">
        <v>137</v>
      </c>
    </row>
    <row r="156" ht="15.75">
      <c r="A156" s="111" t="s">
        <v>138</v>
      </c>
    </row>
    <row r="157" ht="15.75">
      <c r="A157" s="213" t="s">
        <v>233</v>
      </c>
    </row>
    <row r="158" ht="15.75">
      <c r="A158" s="111" t="s">
        <v>141</v>
      </c>
    </row>
    <row r="159" ht="15.75">
      <c r="A159" s="111" t="s">
        <v>142</v>
      </c>
    </row>
    <row r="160" ht="15.75">
      <c r="A160" s="111" t="s">
        <v>166</v>
      </c>
    </row>
    <row r="161" ht="15.75">
      <c r="A161" s="111" t="s">
        <v>156</v>
      </c>
    </row>
    <row r="162" ht="15.75">
      <c r="A162" s="111" t="s">
        <v>167</v>
      </c>
    </row>
    <row r="163" ht="15.75">
      <c r="A163" s="111" t="s">
        <v>143</v>
      </c>
    </row>
    <row r="164" ht="15.75">
      <c r="A164" s="111" t="s">
        <v>234</v>
      </c>
    </row>
    <row r="165" ht="15.75">
      <c r="A165" s="111" t="s">
        <v>144</v>
      </c>
    </row>
    <row r="166" ht="15.75">
      <c r="A166" s="111" t="s">
        <v>157</v>
      </c>
    </row>
    <row r="167" ht="31.5">
      <c r="A167" s="213" t="s">
        <v>158</v>
      </c>
    </row>
    <row r="168" ht="15.75">
      <c r="A168" s="111" t="s">
        <v>159</v>
      </c>
    </row>
    <row r="169" ht="15.75">
      <c r="A169" s="111" t="s">
        <v>168</v>
      </c>
    </row>
    <row r="170" ht="15.75">
      <c r="A170" s="111" t="s">
        <v>202</v>
      </c>
    </row>
    <row r="171" ht="15.75">
      <c r="A171" s="111" t="s">
        <v>232</v>
      </c>
    </row>
    <row r="172" ht="15.75">
      <c r="A172" s="111" t="s">
        <v>170</v>
      </c>
    </row>
    <row r="173" ht="15.75">
      <c r="A173" s="111" t="s">
        <v>231</v>
      </c>
    </row>
    <row r="174" ht="15.75">
      <c r="A174" s="111" t="s">
        <v>171</v>
      </c>
    </row>
    <row r="175" ht="15.75">
      <c r="A175" s="111" t="s">
        <v>176</v>
      </c>
    </row>
    <row r="176" ht="15.75">
      <c r="A176" s="111" t="s">
        <v>177</v>
      </c>
    </row>
    <row r="177" ht="15.75">
      <c r="A177" s="111" t="s">
        <v>185</v>
      </c>
    </row>
    <row r="178" ht="15.75">
      <c r="A178" s="111" t="s">
        <v>186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366" customWidth="1"/>
    <col min="2" max="2" width="16" style="366" bestFit="1" customWidth="1"/>
    <col min="3" max="16384" width="8.796875" style="366" customWidth="1"/>
  </cols>
  <sheetData>
    <row r="1" ht="15.75">
      <c r="J1" s="569" t="s">
        <v>783</v>
      </c>
    </row>
    <row r="2" spans="1:10" ht="31.5" customHeight="1">
      <c r="A2" s="769" t="s">
        <v>389</v>
      </c>
      <c r="B2" s="770"/>
      <c r="C2" s="770"/>
      <c r="D2" s="770"/>
      <c r="E2" s="770"/>
      <c r="F2" s="770"/>
      <c r="J2" s="569" t="s">
        <v>784</v>
      </c>
    </row>
    <row r="3" ht="15.75">
      <c r="J3" s="569" t="s">
        <v>785</v>
      </c>
    </row>
    <row r="4" spans="1:10" ht="15.75">
      <c r="A4" s="1" t="s">
        <v>795</v>
      </c>
      <c r="B4" s="570" t="s">
        <v>964</v>
      </c>
      <c r="J4" s="569" t="s">
        <v>786</v>
      </c>
    </row>
    <row r="5" spans="1:10" ht="15.75">
      <c r="A5" s="1"/>
      <c r="B5" s="571"/>
      <c r="J5" s="569" t="s">
        <v>787</v>
      </c>
    </row>
    <row r="6" spans="1:10" ht="15.75">
      <c r="A6" s="1" t="s">
        <v>796</v>
      </c>
      <c r="B6" s="570" t="s">
        <v>965</v>
      </c>
      <c r="J6" s="569" t="s">
        <v>788</v>
      </c>
    </row>
    <row r="7" spans="4:10" ht="15.75">
      <c r="D7" s="367"/>
      <c r="J7" s="569" t="s">
        <v>789</v>
      </c>
    </row>
    <row r="8" spans="1:10" ht="15.75">
      <c r="A8" s="212" t="s">
        <v>384</v>
      </c>
      <c r="B8" s="368" t="s">
        <v>962</v>
      </c>
      <c r="C8" s="369"/>
      <c r="D8" s="212" t="s">
        <v>782</v>
      </c>
      <c r="J8" s="569" t="s">
        <v>790</v>
      </c>
    </row>
    <row r="9" spans="1:10" ht="15.75">
      <c r="A9" s="212"/>
      <c r="B9" s="370"/>
      <c r="C9" s="371"/>
      <c r="D9" s="572" t="str">
        <f>IF(B8="","",CONCATENATE("Latest date for notice to be published in your newspaper: ",G19," ",G23,", ",G24))</f>
        <v>Latest date for notice to be published in your newspaper: July 21, 2012</v>
      </c>
      <c r="J9" s="569" t="s">
        <v>791</v>
      </c>
    </row>
    <row r="10" spans="1:10" ht="15.75">
      <c r="A10" s="212" t="s">
        <v>385</v>
      </c>
      <c r="B10" s="368" t="s">
        <v>963</v>
      </c>
      <c r="C10" s="372"/>
      <c r="D10" s="212"/>
      <c r="J10" s="569" t="s">
        <v>792</v>
      </c>
    </row>
    <row r="11" spans="1:10" ht="15.75">
      <c r="A11" s="212"/>
      <c r="B11" s="212"/>
      <c r="C11" s="212"/>
      <c r="D11" s="212"/>
      <c r="J11" s="569" t="s">
        <v>793</v>
      </c>
    </row>
    <row r="12" spans="1:10" ht="15.75">
      <c r="A12" s="212" t="s">
        <v>386</v>
      </c>
      <c r="B12" s="373" t="s">
        <v>950</v>
      </c>
      <c r="C12" s="373"/>
      <c r="D12" s="373"/>
      <c r="E12" s="374"/>
      <c r="J12" s="569" t="s">
        <v>794</v>
      </c>
    </row>
    <row r="13" spans="1:4" ht="15.75">
      <c r="A13" s="212"/>
      <c r="B13" s="212"/>
      <c r="C13" s="212"/>
      <c r="D13" s="212"/>
    </row>
    <row r="14" spans="1:4" ht="15.75">
      <c r="A14" s="212"/>
      <c r="B14" s="212"/>
      <c r="C14" s="212"/>
      <c r="D14" s="212"/>
    </row>
    <row r="15" spans="1:5" ht="15.75">
      <c r="A15" s="212" t="s">
        <v>387</v>
      </c>
      <c r="B15" s="373" t="s">
        <v>949</v>
      </c>
      <c r="C15" s="373"/>
      <c r="D15" s="373"/>
      <c r="E15" s="374"/>
    </row>
    <row r="18" spans="1:5" ht="15.75">
      <c r="A18" s="771" t="s">
        <v>390</v>
      </c>
      <c r="B18" s="771"/>
      <c r="C18" s="212"/>
      <c r="D18" s="212"/>
      <c r="E18" s="212"/>
    </row>
    <row r="19" spans="1:7" ht="15.75">
      <c r="A19" s="212"/>
      <c r="B19" s="212"/>
      <c r="C19" s="212"/>
      <c r="D19" s="212"/>
      <c r="E19" s="212"/>
      <c r="G19" s="569" t="str">
        <f ca="1">IF(B8="","",INDIRECT(G20))</f>
        <v>July</v>
      </c>
    </row>
    <row r="20" spans="1:7" ht="15.75">
      <c r="A20" s="212" t="s">
        <v>384</v>
      </c>
      <c r="B20" s="370" t="s">
        <v>388</v>
      </c>
      <c r="C20" s="212"/>
      <c r="D20" s="212"/>
      <c r="E20" s="212"/>
      <c r="G20" s="573" t="str">
        <f>IF(B8="","",CONCATENATE("J",G22))</f>
        <v>J7</v>
      </c>
    </row>
    <row r="21" spans="1:7" ht="15.75">
      <c r="A21" s="212"/>
      <c r="B21" s="212"/>
      <c r="C21" s="212"/>
      <c r="D21" s="212"/>
      <c r="E21" s="212"/>
      <c r="G21" s="574">
        <f>B8-10</f>
        <v>41111</v>
      </c>
    </row>
    <row r="22" spans="1:7" ht="15.75">
      <c r="A22" s="212" t="s">
        <v>385</v>
      </c>
      <c r="B22" s="212" t="s">
        <v>391</v>
      </c>
      <c r="C22" s="212"/>
      <c r="D22" s="212"/>
      <c r="E22" s="212"/>
      <c r="G22" s="575">
        <f>IF(B8="","",MONTH(G21))</f>
        <v>7</v>
      </c>
    </row>
    <row r="23" spans="1:7" ht="15.75">
      <c r="A23" s="212"/>
      <c r="B23" s="212"/>
      <c r="C23" s="212"/>
      <c r="D23" s="212"/>
      <c r="E23" s="212"/>
      <c r="G23" s="576">
        <f>IF(B8="","",DAY(G21))</f>
        <v>21</v>
      </c>
    </row>
    <row r="24" spans="1:7" ht="15.75">
      <c r="A24" s="212" t="s">
        <v>386</v>
      </c>
      <c r="B24" s="212" t="s">
        <v>392</v>
      </c>
      <c r="C24" s="212"/>
      <c r="D24" s="212"/>
      <c r="E24" s="212"/>
      <c r="G24" s="577">
        <f>IF(B8="","",YEAR(G21))</f>
        <v>2012</v>
      </c>
    </row>
    <row r="25" spans="1:5" ht="15.75">
      <c r="A25" s="212"/>
      <c r="B25" s="212"/>
      <c r="C25" s="212"/>
      <c r="D25" s="212"/>
      <c r="E25" s="212"/>
    </row>
    <row r="26" spans="1:5" ht="15.75">
      <c r="A26" s="212" t="s">
        <v>387</v>
      </c>
      <c r="B26" s="212" t="s">
        <v>393</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B46" sqref="B46:C46"/>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83" t="s">
        <v>19</v>
      </c>
      <c r="B1" s="783"/>
      <c r="C1" s="783"/>
      <c r="D1" s="783"/>
      <c r="E1" s="783"/>
      <c r="F1" s="783"/>
      <c r="G1" s="65">
        <f>inputPrYr!D9</f>
        <v>2013</v>
      </c>
    </row>
    <row r="2" spans="2:6" s="65" customFormat="1" ht="15.75">
      <c r="B2" s="66"/>
      <c r="C2" s="66"/>
      <c r="D2" s="66"/>
      <c r="E2" s="66"/>
      <c r="F2" s="67"/>
    </row>
    <row r="3" spans="1:6" s="65" customFormat="1" ht="15.75">
      <c r="A3" s="792" t="str">
        <f>CONCATENATE("To the Clerk of ",inputPrYr!D4,", State of Kansas")</f>
        <v>To the Clerk of Brown County, State of Kansas</v>
      </c>
      <c r="B3" s="779"/>
      <c r="C3" s="779"/>
      <c r="D3" s="779"/>
      <c r="E3" s="779"/>
      <c r="F3" s="779"/>
    </row>
    <row r="4" spans="1:6" s="65" customFormat="1" ht="15.75">
      <c r="A4" s="792" t="s">
        <v>100</v>
      </c>
      <c r="B4" s="794"/>
      <c r="C4" s="794"/>
      <c r="D4" s="794"/>
      <c r="E4" s="794"/>
      <c r="F4" s="794"/>
    </row>
    <row r="5" spans="1:6" s="65" customFormat="1" ht="15.75">
      <c r="A5" s="795" t="str">
        <f>inputPrYr!D3</f>
        <v>Morrill Township</v>
      </c>
      <c r="B5" s="794"/>
      <c r="C5" s="794"/>
      <c r="D5" s="794"/>
      <c r="E5" s="794"/>
      <c r="F5" s="794"/>
    </row>
    <row r="6" spans="1:6" s="65" customFormat="1" ht="15.75">
      <c r="A6" s="790" t="s">
        <v>98</v>
      </c>
      <c r="B6" s="791"/>
      <c r="C6" s="791"/>
      <c r="D6" s="791"/>
      <c r="E6" s="791"/>
      <c r="F6" s="791"/>
    </row>
    <row r="7" spans="1:6" s="65" customFormat="1" ht="15.75" customHeight="1">
      <c r="A7" s="792" t="s">
        <v>99</v>
      </c>
      <c r="B7" s="793"/>
      <c r="C7" s="793"/>
      <c r="D7" s="793"/>
      <c r="E7" s="793"/>
      <c r="F7" s="793"/>
    </row>
    <row r="8" spans="1:6" s="65" customFormat="1" ht="15.75" customHeight="1">
      <c r="A8" s="792" t="str">
        <f>CONCATENATE("maximum expenditures for the various funds for the year ",G1,"; and (3) the")</f>
        <v>maximum expenditures for the various funds for the year 2013; and (3) the</v>
      </c>
      <c r="B8" s="794"/>
      <c r="C8" s="794"/>
      <c r="D8" s="794"/>
      <c r="E8" s="794"/>
      <c r="F8" s="794"/>
    </row>
    <row r="9" spans="1:6" s="65" customFormat="1" ht="15.75" customHeight="1">
      <c r="A9" s="792" t="str">
        <f>CONCATENATE("Amount(s) of ",G1-1," Ad Valorem Tax are within statutory limitations for the ",G1," Budget.")</f>
        <v>Amount(s) of 2012 Ad Valorem Tax are within statutory limitations for the 2013 Budget.</v>
      </c>
      <c r="B9" s="794"/>
      <c r="C9" s="794"/>
      <c r="D9" s="794"/>
      <c r="E9" s="794"/>
      <c r="F9" s="794"/>
    </row>
    <row r="10" spans="4:6" s="65" customFormat="1" ht="15.75" customHeight="1">
      <c r="D10" s="69"/>
      <c r="E10" s="69"/>
      <c r="F10" s="69"/>
    </row>
    <row r="11" spans="3:6" s="65" customFormat="1" ht="15.75">
      <c r="C11" s="70"/>
      <c r="D11" s="787" t="str">
        <f>CONCATENATE("",G1," Adopted Budget")</f>
        <v>2013 Adopted Budget</v>
      </c>
      <c r="E11" s="788"/>
      <c r="F11" s="789"/>
    </row>
    <row r="12" spans="1:6" s="65" customFormat="1" ht="15.75">
      <c r="A12" s="71"/>
      <c r="C12" s="69"/>
      <c r="D12" s="72" t="s">
        <v>243</v>
      </c>
      <c r="E12" s="784" t="str">
        <f>CONCATENATE("Amount of ",G1-1," Ad Valorem Tax")</f>
        <v>Amount of 2012 Ad Valorem Tax</v>
      </c>
      <c r="F12" s="73" t="s">
        <v>244</v>
      </c>
    </row>
    <row r="13" spans="3:6" s="65" customFormat="1" ht="15.75">
      <c r="C13" s="73" t="s">
        <v>245</v>
      </c>
      <c r="D13" s="498" t="s">
        <v>173</v>
      </c>
      <c r="E13" s="785"/>
      <c r="F13" s="75" t="s">
        <v>246</v>
      </c>
    </row>
    <row r="14" spans="1:6" s="65" customFormat="1" ht="15.75">
      <c r="A14" s="76" t="s">
        <v>247</v>
      </c>
      <c r="B14" s="77"/>
      <c r="C14" s="78" t="s">
        <v>248</v>
      </c>
      <c r="D14" s="499" t="s">
        <v>725</v>
      </c>
      <c r="E14" s="786"/>
      <c r="F14" s="78" t="s">
        <v>250</v>
      </c>
    </row>
    <row r="15" spans="1:6" s="65" customFormat="1" ht="15.75">
      <c r="A15" s="79" t="str">
        <f>CONCATENATE("Computation to Determine Limit for ",G1,"")</f>
        <v>Computation to Determine Limit for 2013</v>
      </c>
      <c r="B15" s="80"/>
      <c r="C15" s="73">
        <v>2</v>
      </c>
      <c r="D15" s="70"/>
      <c r="E15" s="70"/>
      <c r="F15" s="81"/>
    </row>
    <row r="16" spans="1:6" s="65" customFormat="1" ht="15.75">
      <c r="A16" s="79" t="s">
        <v>772</v>
      </c>
      <c r="B16" s="80"/>
      <c r="C16" s="82">
        <v>3</v>
      </c>
      <c r="D16" s="70"/>
      <c r="E16" s="70"/>
      <c r="F16" s="83"/>
    </row>
    <row r="17" spans="1:6" s="65" customFormat="1" ht="15.75">
      <c r="A17" s="84" t="s">
        <v>115</v>
      </c>
      <c r="B17" s="80"/>
      <c r="C17" s="82">
        <v>4</v>
      </c>
      <c r="D17" s="70"/>
      <c r="E17" s="70"/>
      <c r="F17" s="83"/>
    </row>
    <row r="18" spans="1:6" s="65" customFormat="1" ht="15.75">
      <c r="A18" s="84" t="s">
        <v>89</v>
      </c>
      <c r="B18" s="80"/>
      <c r="C18" s="82">
        <v>5</v>
      </c>
      <c r="D18" s="70"/>
      <c r="E18" s="70"/>
      <c r="F18" s="83"/>
    </row>
    <row r="19" spans="1:6" s="65" customFormat="1" ht="15.75">
      <c r="A19" s="84">
        <f>IF(inputPrYr!D22="","","Computation to Determine State Library Grant")</f>
      </c>
      <c r="B19" s="80"/>
      <c r="C19" s="82">
        <f>IF(inputPrYr!D22="","",'Library Grant'!F40)</f>
      </c>
      <c r="D19" s="70"/>
      <c r="E19" s="70"/>
      <c r="F19" s="83"/>
    </row>
    <row r="20" spans="1:6" s="65" customFormat="1" ht="15.75">
      <c r="A20" s="85" t="s">
        <v>251</v>
      </c>
      <c r="B20" s="86" t="s">
        <v>252</v>
      </c>
      <c r="C20" s="87"/>
      <c r="F20" s="88"/>
    </row>
    <row r="21" spans="1:6" s="65" customFormat="1" ht="15.75">
      <c r="A21" s="89" t="str">
        <f>inputPrYr!B20</f>
        <v>General</v>
      </c>
      <c r="B21" s="90" t="str">
        <f>inputPrYr!C20</f>
        <v>79-1962</v>
      </c>
      <c r="C21" s="91">
        <f>IF(gen!C52&gt;0,gen!C52,"  ")</f>
        <v>6</v>
      </c>
      <c r="D21" s="578">
        <f>IF(gen!$E$41&lt;&gt;0,gen!$E$41,"  ")</f>
        <v>15100</v>
      </c>
      <c r="E21" s="578">
        <f>IF(gen!$E$48&lt;&gt;0,gen!$E$48,0)</f>
        <v>9717</v>
      </c>
      <c r="F21" s="579">
        <v>1.568</v>
      </c>
    </row>
    <row r="22" spans="1:6" s="65" customFormat="1" ht="15.75">
      <c r="A22" s="89" t="s">
        <v>309</v>
      </c>
      <c r="B22" s="90" t="str">
        <f>IF(inputPrYr!C21&gt;0,inputPrYr!C21,"")</f>
        <v>10-113</v>
      </c>
      <c r="C22" s="91" t="str">
        <f>IF(blank1!C73&gt;0,blank1!C73,"  ")</f>
        <v>  </v>
      </c>
      <c r="D22" s="578" t="str">
        <f>IF(blank1!E26&lt;&gt;0,blank1!E26,"  ")</f>
        <v>  </v>
      </c>
      <c r="E22" s="578" t="str">
        <f>IF(blank1!E33&lt;&gt;0,blank1!E33,"  ")</f>
        <v>  </v>
      </c>
      <c r="F22" s="579" t="str">
        <f>IF(AND(blank1!E33=0,$B$47&gt;=0)," ",IF(AND(E22&gt;0,$B$47=0)," ",IF(AND(E22&gt;0,$B$47&gt;0),ROUND(E22/$B$47*1000,3))))</f>
        <v> </v>
      </c>
    </row>
    <row r="23" spans="1:6" s="65" customFormat="1" ht="15.75">
      <c r="A23" s="89" t="str">
        <f>IF(inputPrYr!$B22&gt;"  ",inputPrYr!$B22,"  ")</f>
        <v>Library</v>
      </c>
      <c r="B23" s="90" t="str">
        <f>IF(inputPrYr!C22&gt;0,inputPrYr!C22,"")</f>
        <v>12-1220</v>
      </c>
      <c r="C23" s="91" t="str">
        <f>IF(blank1!C73&gt;0,blank1!C73,"  ")</f>
        <v>  </v>
      </c>
      <c r="D23" s="578" t="str">
        <f>IF(blank1!E63&lt;&gt;0,blank1!E63,"  ")</f>
        <v>  </v>
      </c>
      <c r="E23" s="578" t="str">
        <f>IF(blank1!E70&lt;&gt;0,blank1!E70,"  ")</f>
        <v>  </v>
      </c>
      <c r="F23" s="579" t="str">
        <f>IF(AND(blank1!E70=0,$B$47&gt;=0)," ",IF(AND(E23&gt;0,$B$47=0)," ",IF(AND(E23&gt;0,$B$47&gt;0),ROUND(E23/$B$47*1000,3))))</f>
        <v> </v>
      </c>
    </row>
    <row r="24" spans="1:6" s="65" customFormat="1" ht="15.75">
      <c r="A24" s="89" t="str">
        <f>IF(inputPrYr!$B23&gt;"  ",inputPrYr!$B23,"  ")</f>
        <v>Road</v>
      </c>
      <c r="B24" s="90" t="str">
        <f>IF(inputPrYr!C23&gt;0,inputPrYr!C23,"  ")</f>
        <v>68-518c</v>
      </c>
      <c r="C24" s="91">
        <f>IF(road!C69&gt;0,road!C69,"  ")</f>
        <v>7</v>
      </c>
      <c r="D24" s="578">
        <f>IF(road!$E$45&lt;&gt;0,road!$E$45,"  ")</f>
        <v>73025</v>
      </c>
      <c r="E24" s="578">
        <f>IF(road!$E$52&lt;&gt;0,road!$E$52,"  ")</f>
        <v>57376</v>
      </c>
      <c r="F24" s="579">
        <v>11.41</v>
      </c>
    </row>
    <row r="25" spans="1:6" s="65" customFormat="1" ht="15.75">
      <c r="A25" s="89" t="str">
        <f>IF(inputPrYr!$B24&gt;"  ",inputPrYr!$B24,"  ")</f>
        <v>Special Road</v>
      </c>
      <c r="B25" s="90" t="str">
        <f>IF(inputPrYr!C24&gt;0,inputPrYr!C24,"  ")</f>
        <v>80-1413</v>
      </c>
      <c r="C25" s="91" t="str">
        <f>IF(blank!C79&gt;0,blank!C79,"  ")</f>
        <v>  </v>
      </c>
      <c r="D25" s="578" t="str">
        <f>IF(blank!$E$33&lt;&gt;0,blank!$E$33,"  ")</f>
        <v>  </v>
      </c>
      <c r="E25" s="578" t="str">
        <f>IF(blank!$E$40&lt;&gt;0,blank!$E$40,"  ")</f>
        <v>  </v>
      </c>
      <c r="F25" s="579" t="str">
        <f>IF(AND(blank!E40=0,$B$44&gt;=0)," ",IF(AND(E25&gt;0,$B$44=0)," ",IF(AND(E25&gt;0,$B$44&gt;0),ROUND(E25/$B$44*1000,3))))</f>
        <v> </v>
      </c>
    </row>
    <row r="26" spans="1:6" s="65" customFormat="1" ht="15.75">
      <c r="A26" s="89" t="str">
        <f>IF(inputPrYr!$B25&gt;"  ",inputPrYr!$B25,"  ")</f>
        <v>Noxious Weed</v>
      </c>
      <c r="B26" s="90" t="str">
        <f>IF(inputPrYr!C25&gt;0,inputPrYr!C25,"  ")</f>
        <v>2-1318</v>
      </c>
      <c r="C26" s="91" t="str">
        <f>IF(blank!C79&gt;0,blank!C79,"  ")</f>
        <v>  </v>
      </c>
      <c r="D26" s="578" t="str">
        <f>IF(blank!$E$71&lt;&gt;0,blank!$E$71,"  ")</f>
        <v>  </v>
      </c>
      <c r="E26" s="578" t="str">
        <f>IF(blank!$E$78&lt;&gt;0,blank!$E$78,"  ")</f>
        <v>  </v>
      </c>
      <c r="F26" s="579" t="str">
        <f>IF(AND(blank!E78=0,$B$44&gt;=0)," ",IF(AND(E26&gt;0,$B$44=0)," ",IF(AND(E26&gt;0,$B$44&gt;0),ROUND(E26/$B$44*1000,3))))</f>
        <v> </v>
      </c>
    </row>
    <row r="27" spans="1:6" s="65" customFormat="1" ht="15.75">
      <c r="A27" s="89" t="str">
        <f>IF(inputPrYr!$B26&gt;"  ",inputPrYr!$B26,"  ")</f>
        <v>Fire Protection</v>
      </c>
      <c r="B27" s="90" t="str">
        <f>IF(inputPrYr!C26&gt;0,inputPrYr!C26,"  ")</f>
        <v>80-1503</v>
      </c>
      <c r="C27" s="91">
        <f>IF('Fire-Cemerty'!C73&gt;0,'Fire-Cemerty'!C73,"  ")</f>
        <v>8</v>
      </c>
      <c r="D27" s="578">
        <f>IF('Fire-Cemerty'!$E$27&lt;&gt;0,'Fire-Cemerty'!$E$27,"  ")</f>
        <v>4500</v>
      </c>
      <c r="E27" s="578">
        <f>IF('Fire-Cemerty'!$E$34&lt;&gt;0,'Fire-Cemerty'!$E$34,"  ")</f>
        <v>4149</v>
      </c>
      <c r="F27" s="579">
        <v>0.825</v>
      </c>
    </row>
    <row r="28" spans="1:6" s="65" customFormat="1" ht="15.75">
      <c r="A28" s="89" t="str">
        <f>IF(inputPrYr!$B27&gt;"  ",inputPrYr!$B27,"  ")</f>
        <v>Cemetery</v>
      </c>
      <c r="B28" s="90" t="str">
        <f>IF(inputPrYr!C27&gt;0,inputPrYr!C27,"  ")</f>
        <v>12-1220</v>
      </c>
      <c r="C28" s="91">
        <f>IF('Fire-Cemerty'!C73&gt;0,'Fire-Cemerty'!C73,"  ")</f>
        <v>8</v>
      </c>
      <c r="D28" s="578">
        <f>IF('Fire-Cemerty'!$E$65&lt;&gt;0,'Fire-Cemerty'!$E$65,"  ")</f>
        <v>4200</v>
      </c>
      <c r="E28" s="578">
        <f>IF('Fire-Cemerty'!$E$72&lt;&gt;0,'Fire-Cemerty'!$E$72,"  ")</f>
        <v>3746</v>
      </c>
      <c r="F28" s="579">
        <v>0.745</v>
      </c>
    </row>
    <row r="29" spans="1:6" s="65" customFormat="1" ht="15.75">
      <c r="A29" s="89" t="str">
        <f>IF(inputPrYr!$B28&gt;"  ",inputPrYr!$B28,"  ")</f>
        <v>  </v>
      </c>
      <c r="B29" s="90" t="str">
        <f>IF(inputPrYr!C28&gt;0,inputPrYr!C28,"  ")</f>
        <v>  </v>
      </c>
      <c r="C29" s="91" t="str">
        <f>IF(levypage11!C81&gt;0,levypage11!C81,"  ")</f>
        <v>  </v>
      </c>
      <c r="D29" s="578" t="str">
        <f>IF(levypage11!$E$33&lt;&gt;0,levypage11!$E$33,"  ")</f>
        <v>  </v>
      </c>
      <c r="E29" s="578" t="str">
        <f>IF(levypage11!$E$40&lt;&gt;0,levypage11!$E$40,"  ")</f>
        <v>  </v>
      </c>
      <c r="F29" s="579"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78" t="str">
        <f>IF(levypage11!$E$73&lt;&gt;0,levypage11!$E$73,"  ")</f>
        <v>  </v>
      </c>
      <c r="E30" s="578" t="str">
        <f>IF(levypage11!$E$80&lt;&gt;0,levypage11!$E$80,"  ")</f>
        <v>  </v>
      </c>
      <c r="F30" s="579"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78" t="str">
        <f>IF(levypage12!$E$33&lt;&gt;0,levypage12!$E$33,"  ")</f>
        <v>  </v>
      </c>
      <c r="E31" s="578" t="str">
        <f>IF(levypage12!$E$40&lt;&gt;0,levypage12!$E$40,"  ")</f>
        <v>  </v>
      </c>
      <c r="F31" s="579"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78" t="str">
        <f>IF(levypage12!$E$73&lt;&gt;0,levypage12!$E$73,"  ")</f>
        <v>  </v>
      </c>
      <c r="E32" s="578" t="str">
        <f>IF(levypage12!$E$80&lt;&gt;0,levypage12!$E$80,"  ")</f>
        <v>  </v>
      </c>
      <c r="F32" s="579" t="str">
        <f>IF(AND(levypage12!$E$80=0,$B$47&gt;=0)," ",IF(AND(E32&gt;0,$B$47=0)," ",IF(AND(E32&gt;0,$B$47&gt;0),ROUND(E32/$B$47*1000,3))))</f>
        <v> </v>
      </c>
    </row>
    <row r="33" spans="1:6" s="65" customFormat="1" ht="15.75">
      <c r="A33" s="93" t="str">
        <f>IF(inputPrYr!$B35&gt;"  ",inputPrYr!$B35,"  ")</f>
        <v>  </v>
      </c>
      <c r="B33" s="94"/>
      <c r="C33" s="95" t="str">
        <f>IF(nolevypage13!$C$65&gt;0,nolevypage13!$C$65,"  ")</f>
        <v>  </v>
      </c>
      <c r="D33" s="578" t="str">
        <f>IF(nolevypage13!$E$28&lt;&gt;0,nolevypage13!$E$28,"  ")</f>
        <v>  </v>
      </c>
      <c r="E33" s="578"/>
      <c r="F33" s="579"/>
    </row>
    <row r="34" spans="1:6" s="65" customFormat="1" ht="15.75">
      <c r="A34" s="93" t="str">
        <f>IF(inputPrYr!$B36&gt;"  ",inputPrYr!$B36,"  ")</f>
        <v>  </v>
      </c>
      <c r="B34" s="96"/>
      <c r="C34" s="95" t="str">
        <f>IF(nolevypage13!$C$65&gt;0,nolevypage13!$C$65,"  ")</f>
        <v>  </v>
      </c>
      <c r="D34" s="578" t="str">
        <f>IF(nolevypage13!$E$59&lt;&gt;0,nolevypage13!$E$59,"  ")</f>
        <v>  </v>
      </c>
      <c r="E34" s="578"/>
      <c r="F34" s="579"/>
    </row>
    <row r="35" spans="1:6" s="65" customFormat="1" ht="15.75">
      <c r="A35" s="93" t="str">
        <f>IF(inputPrYr!$B37&gt;"  ",inputPrYr!$B37,"  ")</f>
        <v>  </v>
      </c>
      <c r="B35" s="94"/>
      <c r="C35" s="95" t="str">
        <f>IF(nolevypage14!$C$65&gt;0,nolevypage14!$C$65,"  ")</f>
        <v>  </v>
      </c>
      <c r="D35" s="578" t="str">
        <f>IF(nolevypage14!$E$28&lt;&gt;0,nolevypage14!$E$28,"  ")</f>
        <v>  </v>
      </c>
      <c r="E35" s="578"/>
      <c r="F35" s="579"/>
    </row>
    <row r="36" spans="1:6" s="65" customFormat="1" ht="15.75">
      <c r="A36" s="93" t="str">
        <f>IF(inputPrYr!$B38&gt;"  ",inputPrYr!$B38,"  ")</f>
        <v>  </v>
      </c>
      <c r="B36" s="94"/>
      <c r="C36" s="95" t="str">
        <f>IF(nolevypage14!$C$65&gt;0,nolevypage14!$C$65,"  ")</f>
        <v>  </v>
      </c>
      <c r="D36" s="578" t="str">
        <f>IF(nolevypage14!$E$59&lt;&gt;0,nolevypage14!$E$59,"  ")</f>
        <v>  </v>
      </c>
      <c r="E36" s="578"/>
      <c r="F36" s="579"/>
    </row>
    <row r="37" spans="1:6" s="65" customFormat="1" ht="15.75">
      <c r="A37" s="93">
        <f>IF(inputPrYr!B41&gt;"",nonbud!A3,"")</f>
      </c>
      <c r="B37" s="96"/>
      <c r="C37" s="95" t="str">
        <f>IF(nonbud!F33&gt;0,nonbud!F33,"  ")</f>
        <v>  </v>
      </c>
      <c r="D37" s="578"/>
      <c r="E37" s="578"/>
      <c r="F37" s="579"/>
    </row>
    <row r="38" spans="1:6" s="65" customFormat="1" ht="15.75">
      <c r="A38" s="79" t="s">
        <v>253</v>
      </c>
      <c r="B38" s="94"/>
      <c r="C38" s="95">
        <f>IF(road!C69&gt;0,road!C69,"  ")</f>
        <v>7</v>
      </c>
      <c r="D38" s="580"/>
      <c r="E38" s="580"/>
      <c r="F38" s="579"/>
    </row>
    <row r="39" spans="1:6" s="65" customFormat="1" ht="16.5" thickBot="1">
      <c r="A39" s="97" t="s">
        <v>254</v>
      </c>
      <c r="B39" s="88"/>
      <c r="C39" s="98" t="s">
        <v>255</v>
      </c>
      <c r="D39" s="581">
        <f>SUM(D21:D38)</f>
        <v>96825</v>
      </c>
      <c r="E39" s="581">
        <f>SUM(E21:E38)</f>
        <v>74988</v>
      </c>
      <c r="F39" s="582">
        <f>IF(SUM(F21:F38)&gt;0,SUM(F21:F38),"")</f>
        <v>14.547999999999998</v>
      </c>
    </row>
    <row r="40" spans="1:3" s="65" customFormat="1" ht="16.5" thickTop="1">
      <c r="A40" s="84" t="s">
        <v>114</v>
      </c>
      <c r="B40" s="80"/>
      <c r="C40" s="95">
        <f>summ!C35</f>
        <v>9</v>
      </c>
    </row>
    <row r="41" spans="1:5" s="65" customFormat="1" ht="15.75">
      <c r="A41" s="79" t="s">
        <v>169</v>
      </c>
      <c r="B41" s="80"/>
      <c r="C41" s="95">
        <f>IF(nhood!C40&gt;0,nhood!C40,"")</f>
      </c>
      <c r="D41" s="99" t="s">
        <v>105</v>
      </c>
      <c r="E41" s="100" t="str">
        <f>IF(E39&gt;computation!J34,"Yes","No")</f>
        <v>No</v>
      </c>
    </row>
    <row r="42" spans="1:5" s="65" customFormat="1" ht="15.75">
      <c r="A42" s="84" t="s">
        <v>104</v>
      </c>
      <c r="B42" s="80"/>
      <c r="C42" s="95">
        <f>IF(Resolution!D50&gt;0,Resolution!D50,"")</f>
      </c>
      <c r="D42" s="101"/>
      <c r="E42" s="102"/>
    </row>
    <row r="43" spans="1:6" s="65" customFormat="1" ht="15.75">
      <c r="A43" s="79" t="s">
        <v>47</v>
      </c>
      <c r="B43" s="772" t="s">
        <v>73</v>
      </c>
      <c r="C43" s="773"/>
      <c r="D43" s="104"/>
      <c r="F43" s="71" t="s">
        <v>256</v>
      </c>
    </row>
    <row r="44" spans="1:6" s="65" customFormat="1" ht="15.75">
      <c r="A44" s="79" t="str">
        <f>inputPrYr!D3</f>
        <v>Morrill Township</v>
      </c>
      <c r="B44" s="774">
        <v>5028787</v>
      </c>
      <c r="C44" s="775"/>
      <c r="D44" s="105"/>
      <c r="F44" s="71"/>
    </row>
    <row r="45" spans="1:6" s="65" customFormat="1" ht="15.75">
      <c r="A45" s="79" t="str">
        <f>inputPrYr!D6</f>
        <v>Morrill</v>
      </c>
      <c r="B45" s="774">
        <v>1170395</v>
      </c>
      <c r="C45" s="782"/>
      <c r="D45" s="105"/>
      <c r="F45" s="71"/>
    </row>
    <row r="46" spans="1:6" s="65" customFormat="1" ht="15.75">
      <c r="A46" s="79">
        <f>inputPrYr!D7</f>
        <v>0</v>
      </c>
      <c r="B46" s="774"/>
      <c r="C46" s="782"/>
      <c r="D46" s="105"/>
      <c r="F46" s="71"/>
    </row>
    <row r="47" spans="1:6" s="65" customFormat="1" ht="15.75">
      <c r="A47" s="79" t="s">
        <v>180</v>
      </c>
      <c r="B47" s="780">
        <f>SUM(B44:C46)</f>
        <v>6199182</v>
      </c>
      <c r="C47" s="781"/>
      <c r="D47" s="105"/>
      <c r="F47" s="71"/>
    </row>
    <row r="48" spans="1:6" s="65" customFormat="1" ht="15.75">
      <c r="A48" s="106"/>
      <c r="B48" s="776" t="str">
        <f>CONCATENATE("Nov. 1, ",G1-1," Valuation")</f>
        <v>Nov. 1, 2012 Valuation</v>
      </c>
      <c r="C48" s="777"/>
      <c r="D48" s="104"/>
      <c r="F48" s="71"/>
    </row>
    <row r="49" spans="1:6" s="65" customFormat="1" ht="15.75">
      <c r="A49" s="106" t="s">
        <v>257</v>
      </c>
      <c r="D49" s="70"/>
      <c r="F49" s="71"/>
    </row>
    <row r="50" spans="1:6" s="65" customFormat="1" ht="15.75">
      <c r="A50" s="108" t="s">
        <v>936</v>
      </c>
      <c r="D50" s="104"/>
      <c r="E50" s="70"/>
      <c r="F50" s="70"/>
    </row>
    <row r="51" spans="1:2" s="65" customFormat="1" ht="15.75">
      <c r="A51" s="109"/>
      <c r="B51" s="69"/>
    </row>
    <row r="52" spans="1:6" s="65" customFormat="1" ht="15.75">
      <c r="A52" s="106" t="s">
        <v>93</v>
      </c>
      <c r="D52" s="70" t="s">
        <v>798</v>
      </c>
      <c r="E52" s="70"/>
      <c r="F52" s="70"/>
    </row>
    <row r="53" spans="1:6" s="65" customFormat="1" ht="15.75">
      <c r="A53" s="108" t="s">
        <v>937</v>
      </c>
      <c r="C53" s="71"/>
      <c r="D53" s="70"/>
      <c r="E53" s="70"/>
      <c r="F53" s="70"/>
    </row>
    <row r="54" spans="1:6" s="65" customFormat="1" ht="15.75">
      <c r="A54" s="109" t="s">
        <v>938</v>
      </c>
      <c r="B54" s="71"/>
      <c r="D54" s="70" t="s">
        <v>798</v>
      </c>
      <c r="E54" s="69"/>
      <c r="F54" s="69"/>
    </row>
    <row r="55" spans="1:7" ht="15.75">
      <c r="A55" s="106" t="s">
        <v>797</v>
      </c>
      <c r="B55" s="69"/>
      <c r="C55" s="65"/>
      <c r="D55" s="70"/>
      <c r="E55" s="70"/>
      <c r="F55" s="70"/>
      <c r="G55" s="110"/>
    </row>
    <row r="56" spans="1:7" ht="15.75">
      <c r="A56" s="108" t="s">
        <v>939</v>
      </c>
      <c r="B56" s="69"/>
      <c r="C56" s="65"/>
      <c r="D56" s="70" t="s">
        <v>798</v>
      </c>
      <c r="E56" s="69"/>
      <c r="F56" s="69"/>
      <c r="G56" s="110"/>
    </row>
    <row r="57" spans="1:7" ht="15.75">
      <c r="A57" s="69"/>
      <c r="B57" s="65"/>
      <c r="C57" s="65"/>
      <c r="D57" s="70"/>
      <c r="E57" s="70"/>
      <c r="F57" s="70"/>
      <c r="G57" s="110"/>
    </row>
    <row r="58" spans="1:7" ht="15.75">
      <c r="A58" s="484" t="s">
        <v>97</v>
      </c>
      <c r="B58" s="114">
        <f>G1-1</f>
        <v>2012</v>
      </c>
      <c r="C58" s="65"/>
      <c r="D58" s="70" t="s">
        <v>798</v>
      </c>
      <c r="E58" s="69"/>
      <c r="F58" s="69"/>
      <c r="G58" s="110"/>
    </row>
    <row r="59" spans="1:7" ht="15.75">
      <c r="A59" s="65"/>
      <c r="B59" s="65"/>
      <c r="C59" s="65"/>
      <c r="D59" s="70"/>
      <c r="E59" s="106"/>
      <c r="F59" s="70"/>
      <c r="G59" s="110"/>
    </row>
    <row r="60" spans="1:7" ht="15.75">
      <c r="A60" s="483"/>
      <c r="B60" s="65"/>
      <c r="C60" s="65"/>
      <c r="D60" s="70" t="s">
        <v>798</v>
      </c>
      <c r="E60" s="70"/>
      <c r="F60" s="70"/>
      <c r="G60" s="110"/>
    </row>
    <row r="61" spans="1:6" ht="15.75">
      <c r="A61" s="68" t="s">
        <v>259</v>
      </c>
      <c r="B61" s="65"/>
      <c r="C61" s="65"/>
      <c r="D61" s="778" t="s">
        <v>258</v>
      </c>
      <c r="E61" s="779"/>
      <c r="F61" s="779"/>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260</v>
      </c>
      <c r="B65" s="112"/>
      <c r="C65" s="112"/>
      <c r="D65" s="112"/>
      <c r="E65" s="112"/>
      <c r="F65" s="65"/>
    </row>
    <row r="66" spans="1:6" ht="15.75">
      <c r="A66" s="113" t="s">
        <v>261</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57"/>
      <c r="B69" s="558"/>
      <c r="C69" s="558"/>
      <c r="D69" s="558"/>
      <c r="E69" s="558"/>
      <c r="F69" s="558"/>
    </row>
    <row r="70" spans="1:6" ht="15.75">
      <c r="A70" s="557"/>
      <c r="B70" s="558"/>
      <c r="C70" s="558"/>
      <c r="D70" s="558"/>
      <c r="E70" s="558"/>
      <c r="F70" s="558"/>
    </row>
    <row r="71" spans="1:6" ht="15.75">
      <c r="A71" s="557"/>
      <c r="B71" s="558"/>
      <c r="C71" s="558"/>
      <c r="D71" s="559"/>
      <c r="E71" s="556"/>
      <c r="F71" s="55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A1" sqref="A1"/>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2" t="str">
        <f>inputPrYr!D3</f>
        <v>Morrill Township</v>
      </c>
      <c r="D1" s="65"/>
      <c r="E1" s="65"/>
      <c r="F1" s="65"/>
      <c r="G1" s="65"/>
      <c r="H1" s="65"/>
      <c r="I1" s="65"/>
      <c r="J1" s="65">
        <f>inputPrYr!D9</f>
        <v>2013</v>
      </c>
    </row>
    <row r="2" spans="1:10" ht="15.75">
      <c r="A2" s="65"/>
      <c r="B2" s="65"/>
      <c r="C2" s="65"/>
      <c r="D2" s="65"/>
      <c r="E2" s="65"/>
      <c r="F2" s="65"/>
      <c r="G2" s="65"/>
      <c r="H2" s="65"/>
      <c r="I2" s="65"/>
      <c r="J2" s="65"/>
    </row>
    <row r="3" spans="1:10" ht="15.75">
      <c r="A3" s="797" t="str">
        <f>CONCATENATE("Computation to Determine Limit for ",J1,"")</f>
        <v>Computation to Determine Limit for 2013</v>
      </c>
      <c r="B3" s="783"/>
      <c r="C3" s="783"/>
      <c r="D3" s="783"/>
      <c r="E3" s="783"/>
      <c r="F3" s="783"/>
      <c r="G3" s="783"/>
      <c r="H3" s="783"/>
      <c r="I3" s="783"/>
      <c r="J3" s="783"/>
    </row>
    <row r="4" spans="1:10" ht="15.75">
      <c r="A4" s="65"/>
      <c r="B4" s="65"/>
      <c r="C4" s="65"/>
      <c r="D4" s="65"/>
      <c r="E4" s="783"/>
      <c r="F4" s="783"/>
      <c r="G4" s="783"/>
      <c r="H4" s="64"/>
      <c r="I4" s="65"/>
      <c r="J4" s="260" t="s">
        <v>29</v>
      </c>
    </row>
    <row r="5" spans="1:10" ht="15.75">
      <c r="A5" s="261" t="s">
        <v>30</v>
      </c>
      <c r="B5" s="65" t="str">
        <f>CONCATENATE("Total Tax Levy Amount in ",J1-1,"")</f>
        <v>Total Tax Levy Amount in 2012</v>
      </c>
      <c r="C5" s="65"/>
      <c r="D5" s="65"/>
      <c r="E5" s="188"/>
      <c r="F5" s="188"/>
      <c r="G5" s="188"/>
      <c r="H5" s="262" t="s">
        <v>275</v>
      </c>
      <c r="I5" s="188" t="s">
        <v>262</v>
      </c>
      <c r="J5" s="263">
        <f>inputPrYr!E32</f>
        <v>73091</v>
      </c>
    </row>
    <row r="6" spans="1:10" ht="15.75">
      <c r="A6" s="261" t="s">
        <v>31</v>
      </c>
      <c r="B6" s="65" t="str">
        <f>CONCATENATE("Debt Service Levy in ",J1-1,"")</f>
        <v>Debt Service Levy in 2012</v>
      </c>
      <c r="C6" s="65"/>
      <c r="D6" s="65"/>
      <c r="E6" s="188"/>
      <c r="F6" s="188"/>
      <c r="G6" s="188"/>
      <c r="H6" s="262" t="s">
        <v>32</v>
      </c>
      <c r="I6" s="188" t="s">
        <v>262</v>
      </c>
      <c r="J6" s="264">
        <f>inputPrYr!E21</f>
        <v>0</v>
      </c>
    </row>
    <row r="7" spans="1:10" ht="15.75">
      <c r="A7" s="261" t="s">
        <v>33</v>
      </c>
      <c r="B7" s="157" t="s">
        <v>56</v>
      </c>
      <c r="C7" s="65"/>
      <c r="D7" s="65"/>
      <c r="E7" s="188"/>
      <c r="F7" s="188"/>
      <c r="G7" s="188"/>
      <c r="H7" s="188"/>
      <c r="I7" s="188" t="s">
        <v>262</v>
      </c>
      <c r="J7" s="265">
        <f>J5-J6</f>
        <v>73091</v>
      </c>
    </row>
    <row r="8" spans="1:10" ht="15.75">
      <c r="A8" s="65"/>
      <c r="B8" s="65"/>
      <c r="C8" s="65"/>
      <c r="D8" s="65"/>
      <c r="E8" s="188"/>
      <c r="F8" s="188"/>
      <c r="G8" s="188"/>
      <c r="H8" s="188"/>
      <c r="I8" s="188"/>
      <c r="J8" s="188"/>
    </row>
    <row r="9" spans="1:10" ht="15.75">
      <c r="A9" s="65"/>
      <c r="B9" s="157" t="str">
        <f>CONCATENATE("",J1-1," Valuation Information for Valuation Adjustments:")</f>
        <v>2012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1" t="s">
        <v>34</v>
      </c>
      <c r="B11" s="157" t="str">
        <f>CONCATENATE("New Improvements for ",J1-1,":")</f>
        <v>New Improvements for 2012:</v>
      </c>
      <c r="C11" s="65"/>
      <c r="D11" s="65"/>
      <c r="E11" s="262"/>
      <c r="F11" s="262" t="s">
        <v>275</v>
      </c>
      <c r="G11" s="239">
        <f>inputOth!E16</f>
        <v>72941</v>
      </c>
      <c r="H11" s="266"/>
      <c r="I11" s="188"/>
      <c r="J11" s="188"/>
    </row>
    <row r="12" spans="1:10" ht="15.75">
      <c r="A12" s="261"/>
      <c r="B12" s="261"/>
      <c r="C12" s="65"/>
      <c r="D12" s="65"/>
      <c r="E12" s="262"/>
      <c r="F12" s="262"/>
      <c r="G12" s="266"/>
      <c r="H12" s="266"/>
      <c r="I12" s="188"/>
      <c r="J12" s="188"/>
    </row>
    <row r="13" spans="1:10" ht="15.75">
      <c r="A13" s="261" t="s">
        <v>35</v>
      </c>
      <c r="B13" s="157" t="str">
        <f>CONCATENATE("Increase in Personal Property for ",J1-1,":")</f>
        <v>Increase in Personal Property for 2012:</v>
      </c>
      <c r="C13" s="65"/>
      <c r="D13" s="65"/>
      <c r="E13" s="262"/>
      <c r="F13" s="262"/>
      <c r="G13" s="266"/>
      <c r="H13" s="266"/>
      <c r="I13" s="188"/>
      <c r="J13" s="188"/>
    </row>
    <row r="14" spans="1:10" ht="15.75">
      <c r="A14" s="65"/>
      <c r="B14" s="65" t="s">
        <v>36</v>
      </c>
      <c r="C14" s="65" t="str">
        <f>CONCATENATE("Personal Property ",J1-1,"")</f>
        <v>Personal Property 2012</v>
      </c>
      <c r="D14" s="261" t="s">
        <v>275</v>
      </c>
      <c r="E14" s="239">
        <f>inputOth!E21</f>
        <v>101884</v>
      </c>
      <c r="F14" s="262"/>
      <c r="G14" s="188"/>
      <c r="H14" s="188"/>
      <c r="I14" s="266"/>
      <c r="J14" s="188"/>
    </row>
    <row r="15" spans="1:10" ht="15.75">
      <c r="A15" s="261"/>
      <c r="B15" s="65" t="s">
        <v>37</v>
      </c>
      <c r="C15" s="65" t="str">
        <f>CONCATENATE("Personal Property ",J1-2,"")</f>
        <v>Personal Property 2011</v>
      </c>
      <c r="D15" s="261" t="s">
        <v>32</v>
      </c>
      <c r="E15" s="265">
        <f>inputOth!E31</f>
        <v>66256</v>
      </c>
      <c r="F15" s="262"/>
      <c r="G15" s="266"/>
      <c r="H15" s="266"/>
      <c r="I15" s="188"/>
      <c r="J15" s="188"/>
    </row>
    <row r="16" spans="1:10" ht="15.75">
      <c r="A16" s="261"/>
      <c r="B16" s="65" t="s">
        <v>38</v>
      </c>
      <c r="C16" s="65" t="s">
        <v>57</v>
      </c>
      <c r="D16" s="65"/>
      <c r="E16" s="188"/>
      <c r="F16" s="188" t="s">
        <v>275</v>
      </c>
      <c r="G16" s="239">
        <f>IF(E14&gt;E15,E14-E15,0)</f>
        <v>35628</v>
      </c>
      <c r="H16" s="266"/>
      <c r="I16" s="188"/>
      <c r="J16" s="188"/>
    </row>
    <row r="17" spans="1:10" ht="15.75">
      <c r="A17" s="261"/>
      <c r="B17" s="261"/>
      <c r="C17" s="65"/>
      <c r="D17" s="65"/>
      <c r="E17" s="188"/>
      <c r="F17" s="188"/>
      <c r="G17" s="266" t="s">
        <v>46</v>
      </c>
      <c r="H17" s="266"/>
      <c r="I17" s="188"/>
      <c r="J17" s="188"/>
    </row>
    <row r="18" spans="1:10" ht="15.75">
      <c r="A18" s="261" t="s">
        <v>39</v>
      </c>
      <c r="B18" s="157" t="str">
        <f>CONCATENATE("Valuation of Property that has Changed in Use during ",J1-1,":")</f>
        <v>Valuation of Property that has Changed in Use during 2012:</v>
      </c>
      <c r="C18" s="65"/>
      <c r="D18" s="65"/>
      <c r="E18" s="188"/>
      <c r="F18" s="262" t="s">
        <v>275</v>
      </c>
      <c r="G18" s="239">
        <f>inputOth!E26</f>
        <v>48052</v>
      </c>
      <c r="H18" s="188"/>
      <c r="I18" s="188"/>
      <c r="J18" s="188"/>
    </row>
    <row r="19" spans="1:10" ht="15.75">
      <c r="A19" s="65" t="s">
        <v>243</v>
      </c>
      <c r="B19" s="65"/>
      <c r="C19" s="65"/>
      <c r="D19" s="261"/>
      <c r="E19" s="266"/>
      <c r="F19" s="266"/>
      <c r="G19" s="266"/>
      <c r="H19" s="188"/>
      <c r="I19" s="188"/>
      <c r="J19" s="188"/>
    </row>
    <row r="20" spans="1:10" ht="15.75">
      <c r="A20" s="261" t="s">
        <v>40</v>
      </c>
      <c r="B20" s="157" t="s">
        <v>58</v>
      </c>
      <c r="C20" s="65"/>
      <c r="D20" s="65"/>
      <c r="E20" s="188"/>
      <c r="F20" s="188"/>
      <c r="G20" s="239">
        <f>G11+G16+G18</f>
        <v>156621</v>
      </c>
      <c r="H20" s="266"/>
      <c r="I20" s="188"/>
      <c r="J20" s="188"/>
    </row>
    <row r="21" spans="1:10" ht="15.75">
      <c r="A21" s="261"/>
      <c r="B21" s="261"/>
      <c r="C21" s="157"/>
      <c r="D21" s="65"/>
      <c r="E21" s="188"/>
      <c r="F21" s="188"/>
      <c r="G21" s="266"/>
      <c r="H21" s="266"/>
      <c r="I21" s="188"/>
      <c r="J21" s="188"/>
    </row>
    <row r="22" spans="1:10" ht="15.75">
      <c r="A22" s="261" t="s">
        <v>41</v>
      </c>
      <c r="B22" s="65" t="str">
        <f>CONCATENATE("Total Estimated Valuation July 1,",J1-1,"")</f>
        <v>Total Estimated Valuation July 1,2012</v>
      </c>
      <c r="C22" s="65"/>
      <c r="D22" s="65"/>
      <c r="E22" s="239">
        <f>inputOth!E11</f>
        <v>6192038</v>
      </c>
      <c r="F22" s="188"/>
      <c r="G22" s="188"/>
      <c r="H22" s="188"/>
      <c r="I22" s="262"/>
      <c r="J22" s="188"/>
    </row>
    <row r="23" spans="1:10" ht="15.75">
      <c r="A23" s="261"/>
      <c r="B23" s="261"/>
      <c r="C23" s="65"/>
      <c r="D23" s="65"/>
      <c r="E23" s="266"/>
      <c r="F23" s="188"/>
      <c r="G23" s="188"/>
      <c r="H23" s="188"/>
      <c r="I23" s="262"/>
      <c r="J23" s="188"/>
    </row>
    <row r="24" spans="1:10" ht="15.75">
      <c r="A24" s="261" t="s">
        <v>42</v>
      </c>
      <c r="B24" s="157" t="s">
        <v>59</v>
      </c>
      <c r="C24" s="65"/>
      <c r="D24" s="65"/>
      <c r="E24" s="188"/>
      <c r="F24" s="188"/>
      <c r="G24" s="239">
        <f>E22-G20</f>
        <v>6035417</v>
      </c>
      <c r="H24" s="266"/>
      <c r="I24" s="262"/>
      <c r="J24" s="188"/>
    </row>
    <row r="25" spans="1:10" ht="15.75">
      <c r="A25" s="261"/>
      <c r="B25" s="261"/>
      <c r="C25" s="157"/>
      <c r="D25" s="65"/>
      <c r="E25" s="65"/>
      <c r="F25" s="65"/>
      <c r="G25" s="267"/>
      <c r="H25" s="70"/>
      <c r="I25" s="261"/>
      <c r="J25" s="65"/>
    </row>
    <row r="26" spans="1:10" ht="15.75">
      <c r="A26" s="261" t="s">
        <v>43</v>
      </c>
      <c r="B26" s="65" t="s">
        <v>60</v>
      </c>
      <c r="C26" s="65"/>
      <c r="D26" s="65"/>
      <c r="E26" s="65"/>
      <c r="F26" s="65"/>
      <c r="G26" s="268">
        <f>IF(G20&gt;0,G20/G24,0)</f>
        <v>0.025950319588522217</v>
      </c>
      <c r="H26" s="70"/>
      <c r="I26" s="65"/>
      <c r="J26" s="65"/>
    </row>
    <row r="27" spans="1:10" ht="15.75">
      <c r="A27" s="261"/>
      <c r="B27" s="261"/>
      <c r="C27" s="65"/>
      <c r="D27" s="65"/>
      <c r="E27" s="65"/>
      <c r="F27" s="65"/>
      <c r="G27" s="70"/>
      <c r="H27" s="70"/>
      <c r="I27" s="65"/>
      <c r="J27" s="65"/>
    </row>
    <row r="28" spans="1:10" ht="15.75">
      <c r="A28" s="261" t="s">
        <v>44</v>
      </c>
      <c r="B28" s="65" t="s">
        <v>61</v>
      </c>
      <c r="C28" s="65"/>
      <c r="D28" s="65"/>
      <c r="E28" s="65"/>
      <c r="F28" s="65"/>
      <c r="G28" s="70"/>
      <c r="H28" s="269" t="s">
        <v>275</v>
      </c>
      <c r="I28" s="65" t="s">
        <v>262</v>
      </c>
      <c r="J28" s="239">
        <f>ROUND(G26*J7,0)</f>
        <v>1897</v>
      </c>
    </row>
    <row r="29" spans="1:10" ht="15.75">
      <c r="A29" s="261"/>
      <c r="B29" s="261"/>
      <c r="C29" s="65"/>
      <c r="D29" s="65"/>
      <c r="E29" s="65"/>
      <c r="F29" s="65"/>
      <c r="G29" s="70"/>
      <c r="H29" s="269"/>
      <c r="I29" s="65"/>
      <c r="J29" s="266"/>
    </row>
    <row r="30" spans="1:10" ht="16.5" thickBot="1">
      <c r="A30" s="261" t="s">
        <v>45</v>
      </c>
      <c r="B30" s="157" t="s">
        <v>65</v>
      </c>
      <c r="C30" s="65"/>
      <c r="D30" s="65"/>
      <c r="E30" s="65"/>
      <c r="F30" s="65"/>
      <c r="G30" s="65"/>
      <c r="H30" s="65"/>
      <c r="I30" s="65" t="s">
        <v>262</v>
      </c>
      <c r="J30" s="270">
        <f>J7+J28</f>
        <v>74988</v>
      </c>
    </row>
    <row r="31" spans="1:10" ht="16.5" thickTop="1">
      <c r="A31" s="65"/>
      <c r="B31" s="65"/>
      <c r="C31" s="65"/>
      <c r="D31" s="65"/>
      <c r="E31" s="65"/>
      <c r="F31" s="65"/>
      <c r="G31" s="65"/>
      <c r="H31" s="65"/>
      <c r="I31" s="65"/>
      <c r="J31" s="65"/>
    </row>
    <row r="32" spans="1:10" ht="15.75">
      <c r="A32" s="261" t="s">
        <v>63</v>
      </c>
      <c r="B32" s="157" t="str">
        <f>CONCATENATE("Debt Service Levy in this ",J1,"")</f>
        <v>Debt Service Levy in this 2013</v>
      </c>
      <c r="C32" s="65"/>
      <c r="D32" s="65"/>
      <c r="E32" s="65"/>
      <c r="F32" s="65"/>
      <c r="G32" s="65"/>
      <c r="H32" s="65"/>
      <c r="I32" s="65"/>
      <c r="J32" s="239">
        <f>blank1!E33</f>
        <v>0</v>
      </c>
    </row>
    <row r="33" spans="1:10" ht="15.75">
      <c r="A33" s="261"/>
      <c r="B33" s="157"/>
      <c r="C33" s="65"/>
      <c r="D33" s="65"/>
      <c r="E33" s="65"/>
      <c r="F33" s="65"/>
      <c r="G33" s="65"/>
      <c r="H33" s="65"/>
      <c r="I33" s="65"/>
      <c r="J33" s="70"/>
    </row>
    <row r="34" spans="1:10" ht="16.5" thickBot="1">
      <c r="A34" s="261" t="s">
        <v>64</v>
      </c>
      <c r="B34" s="157" t="s">
        <v>66</v>
      </c>
      <c r="C34" s="65"/>
      <c r="D34" s="65"/>
      <c r="E34" s="65"/>
      <c r="F34" s="65"/>
      <c r="G34" s="65"/>
      <c r="H34" s="65"/>
      <c r="I34" s="65"/>
      <c r="J34" s="270">
        <f>J30+J32</f>
        <v>74988</v>
      </c>
    </row>
    <row r="35" spans="1:10" ht="16.5" thickTop="1">
      <c r="A35" s="65"/>
      <c r="B35" s="65"/>
      <c r="C35" s="65"/>
      <c r="D35" s="65"/>
      <c r="E35" s="65"/>
      <c r="F35" s="65"/>
      <c r="G35" s="65"/>
      <c r="H35" s="65"/>
      <c r="I35" s="65"/>
      <c r="J35" s="65"/>
    </row>
    <row r="36" spans="1:10" s="271" customFormat="1" ht="18.75">
      <c r="A36" s="796" t="str">
        <f>CONCATENATE("If the ",J1," budget includes tax levies exceeding the total on line 14, you must")</f>
        <v>If the 2013 budget includes tax levies exceeding the total on line 14, you must</v>
      </c>
      <c r="B36" s="796"/>
      <c r="C36" s="796"/>
      <c r="D36" s="796"/>
      <c r="E36" s="796"/>
      <c r="F36" s="796"/>
      <c r="G36" s="796"/>
      <c r="H36" s="796"/>
      <c r="I36" s="796"/>
      <c r="J36" s="796"/>
    </row>
    <row r="37" spans="1:10" s="271" customFormat="1" ht="18.75">
      <c r="A37" s="796" t="s">
        <v>62</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90" zoomScaleNormal="90" zoomScalePageLayoutView="0" workbookViewId="0" topLeftCell="B2">
      <selection activeCell="J11" sqref="J11"/>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Morrill Township</v>
      </c>
      <c r="C1" s="65"/>
      <c r="D1" s="65"/>
      <c r="E1" s="65"/>
      <c r="F1" s="65"/>
      <c r="G1" s="65"/>
      <c r="H1" s="65"/>
      <c r="I1" s="65"/>
      <c r="J1" s="65"/>
      <c r="K1" s="223">
        <f>inputPrYr!D9</f>
        <v>2013</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98" t="s">
        <v>775</v>
      </c>
      <c r="C6" s="779"/>
      <c r="D6" s="779"/>
      <c r="E6" s="779"/>
      <c r="F6" s="779"/>
      <c r="G6" s="779"/>
      <c r="H6" s="779"/>
      <c r="I6" s="779"/>
      <c r="J6" s="779"/>
      <c r="K6" s="779"/>
    </row>
    <row r="7" spans="1:11" ht="16.5">
      <c r="A7" s="65"/>
      <c r="B7" s="783"/>
      <c r="C7" s="799"/>
      <c r="D7" s="799"/>
      <c r="E7" s="799"/>
      <c r="F7" s="799"/>
      <c r="G7" s="799"/>
      <c r="H7" s="799"/>
      <c r="I7" s="799"/>
      <c r="J7" s="799"/>
      <c r="K7" s="799"/>
    </row>
    <row r="8" spans="1:11" ht="15.75">
      <c r="A8" s="65"/>
      <c r="B8" s="65"/>
      <c r="C8" s="225"/>
      <c r="D8" s="225"/>
      <c r="E8" s="225"/>
      <c r="F8" s="225"/>
      <c r="G8" s="226"/>
      <c r="H8" s="66"/>
      <c r="I8" s="66"/>
      <c r="J8" s="65"/>
      <c r="K8" s="65"/>
    </row>
    <row r="9" spans="1:11" ht="21" customHeight="1">
      <c r="A9" s="65"/>
      <c r="B9" s="247" t="s">
        <v>776</v>
      </c>
      <c r="C9" s="227"/>
      <c r="D9" s="563" t="s">
        <v>777</v>
      </c>
      <c r="E9" s="800" t="str">
        <f>CONCATENATE("Budget Tax Levy Rate for ",K1-1,"")</f>
        <v>Budget Tax Levy Rate for 2012</v>
      </c>
      <c r="F9" s="82"/>
      <c r="G9" s="802" t="str">
        <f>CONCATENATE("Allocation for Year ",K1,"")</f>
        <v>Allocation for Year 2013</v>
      </c>
      <c r="H9" s="803"/>
      <c r="I9" s="803"/>
      <c r="J9" s="804"/>
      <c r="K9" s="208"/>
    </row>
    <row r="10" spans="1:11" ht="15.75">
      <c r="A10" s="65"/>
      <c r="B10" s="562" t="str">
        <f>CONCATENATE("for ",K1-1,"")</f>
        <v>for 2012</v>
      </c>
      <c r="C10" s="229"/>
      <c r="D10" s="118" t="str">
        <f>CONCATENATE("Amount for ",K1,"")</f>
        <v>Amount for 2013</v>
      </c>
      <c r="E10" s="801"/>
      <c r="F10" s="78"/>
      <c r="G10" s="78" t="s">
        <v>27</v>
      </c>
      <c r="H10" s="78"/>
      <c r="I10" s="78" t="s">
        <v>28</v>
      </c>
      <c r="J10" s="82" t="s">
        <v>70</v>
      </c>
      <c r="K10" s="208"/>
    </row>
    <row r="11" spans="1:11" ht="15.75">
      <c r="A11" s="65"/>
      <c r="B11" s="89" t="str">
        <f>inputPrYr!B20</f>
        <v>General</v>
      </c>
      <c r="C11" s="230"/>
      <c r="D11" s="89">
        <f>IF(inputPrYr!E20&gt;0,inputPrYr!E20,"  ")</f>
        <v>9815</v>
      </c>
      <c r="E11" s="231">
        <f>IF(inputOth!D37&gt;0,inputOth!D37,"  ")</f>
        <v>1.714</v>
      </c>
      <c r="F11" s="232"/>
      <c r="G11" s="89">
        <f>IF(inputPrYr!E20=0,0,G25-SUM(G12:G22))</f>
        <v>745</v>
      </c>
      <c r="H11" s="233"/>
      <c r="I11" s="89">
        <f>IF(inputPrYr!E20=0,0,I27-SUM(I12:I22))</f>
        <v>13</v>
      </c>
      <c r="J11" s="89">
        <f>IF(inputPrYr!E20=0,0,ROUND($D11*$J$35,0))</f>
        <v>97</v>
      </c>
      <c r="K11" s="208"/>
    </row>
    <row r="12" spans="1:11" ht="15.75">
      <c r="A12" s="65"/>
      <c r="B12" s="89" t="str">
        <f>inputPrYr!B21</f>
        <v>Debt Service</v>
      </c>
      <c r="C12" s="230"/>
      <c r="D12" s="89" t="str">
        <f>IF(inputPrYr!E21&gt;0,inputPrYr!E21,"  ")</f>
        <v>  </v>
      </c>
      <c r="E12" s="231" t="str">
        <f>IF(inputOth!D38&gt;0,inputOth!D38,"  ")</f>
        <v>  </v>
      </c>
      <c r="F12" s="232"/>
      <c r="G12" s="89">
        <f>IF(inputPrYr!E21=0,0,ROUND(D12*$G$31,0))</f>
        <v>0</v>
      </c>
      <c r="H12" s="233"/>
      <c r="I12" s="89">
        <f>IF(inputPrYr!$E$21=0,0,ROUND($D$12*$I$33,0))</f>
        <v>0</v>
      </c>
      <c r="J12" s="89">
        <f>IF(inputPrYr!E21=0,0,ROUND($D12*$J$35,0))</f>
        <v>0</v>
      </c>
      <c r="K12" s="208"/>
    </row>
    <row r="13" spans="1:11" ht="15.75">
      <c r="A13" s="65"/>
      <c r="B13" s="89" t="str">
        <f>IF(inputPrYr!$B22&gt;"  ",inputPrYr!$B22,"  ")</f>
        <v>Library</v>
      </c>
      <c r="C13" s="230"/>
      <c r="D13" s="89" t="str">
        <f>IF(inputPrYr!E22&gt;0,inputPrYr!E22,"  ")</f>
        <v>  </v>
      </c>
      <c r="E13" s="231"/>
      <c r="F13" s="232"/>
      <c r="G13" s="89">
        <f>IF(inputPrYr!E22=0,0,ROUND(D13*$G$31,0))</f>
        <v>0</v>
      </c>
      <c r="H13" s="233"/>
      <c r="I13" s="89">
        <f>IF(inputPrYr!$E$21=0,0,ROUND($D$12*$I$33,0))</f>
        <v>0</v>
      </c>
      <c r="J13" s="89">
        <f>IF(inputPrYr!E22=0,0,ROUND($D13*$J$35,0))</f>
        <v>0</v>
      </c>
      <c r="K13" s="208"/>
    </row>
    <row r="14" spans="1:11" ht="15.75">
      <c r="A14" s="65"/>
      <c r="B14" s="89" t="str">
        <f>IF(inputPrYr!$B23&gt;"  ",inputPrYr!$B23,"  ")</f>
        <v>Road</v>
      </c>
      <c r="C14" s="230"/>
      <c r="D14" s="89">
        <f>IF(inputPrYr!E23&gt;0,inputPrYr!E23,"  ")</f>
        <v>55396</v>
      </c>
      <c r="E14" s="231">
        <f>IF(inputOth!D40&gt;0,inputOth!D40,"  ")</f>
        <v>12.127</v>
      </c>
      <c r="F14" s="232"/>
      <c r="G14" s="89">
        <f>IF(inputPrYr!E23=0,0,ROUND(D14*$G$31,0))</f>
        <v>4206</v>
      </c>
      <c r="H14" s="233"/>
      <c r="I14" s="89">
        <f>IF(inputPrYr!$E$23=0,0,ROUND($D$14*$I$33,0))</f>
        <v>72</v>
      </c>
      <c r="J14" s="89">
        <f>IF(inputPrYr!E23=0,0,ROUND($D14*$J$35,0))</f>
        <v>548</v>
      </c>
      <c r="K14" s="208"/>
    </row>
    <row r="15" spans="1:11" ht="15.75">
      <c r="A15" s="65"/>
      <c r="B15" s="89" t="str">
        <f>IF(inputPrYr!$B24&gt;"  ",inputPrYr!$B24,"  ")</f>
        <v>Special Road</v>
      </c>
      <c r="C15" s="230"/>
      <c r="D15" s="89" t="str">
        <f>IF(inputPrYr!E24&gt;0,inputPrYr!E24,"  ")</f>
        <v>  </v>
      </c>
      <c r="E15" s="231" t="str">
        <f>IF(inputOth!D41&gt;0,inputOth!D41,"  ")</f>
        <v>  </v>
      </c>
      <c r="F15" s="232"/>
      <c r="G15" s="89">
        <f>IF(inputPrYr!E24=0,0,ROUND(D15*$G$31,0))</f>
        <v>0</v>
      </c>
      <c r="H15" s="233"/>
      <c r="I15" s="89">
        <f>IF(inputPrYr!$E$24=0,0,ROUND($D$15*$I$33,0))</f>
        <v>0</v>
      </c>
      <c r="J15" s="89">
        <f>IF(inputPrYr!E24=0,0,ROUND($D15*$J$35,0))</f>
        <v>0</v>
      </c>
      <c r="K15" s="208"/>
    </row>
    <row r="16" spans="1:11" ht="15.75">
      <c r="A16" s="65"/>
      <c r="B16" s="89" t="str">
        <f>IF(inputPrYr!$B25&gt;"  ",inputPrYr!$B25,"  ")</f>
        <v>Noxious Weed</v>
      </c>
      <c r="C16" s="230"/>
      <c r="D16" s="89" t="str">
        <f>IF(inputPrYr!E25&gt;0,inputPrYr!E25,"  ")</f>
        <v>  </v>
      </c>
      <c r="E16" s="231" t="str">
        <f>IF(inputOth!D42&gt;0,inputOth!D42,"  ")</f>
        <v>  </v>
      </c>
      <c r="F16" s="232"/>
      <c r="G16" s="89">
        <f>IF(inputPrYr!E25=0,0,ROUND(D16*$G$31,0))</f>
        <v>0</v>
      </c>
      <c r="H16" s="233"/>
      <c r="I16" s="89">
        <f>IF(inputPrYr!$E$25=0,0,ROUND($D$16*$I$33,0))</f>
        <v>0</v>
      </c>
      <c r="J16" s="89">
        <f>IF(inputPrYr!E25=0,0,ROUND($D16*$J$35,0))</f>
        <v>0</v>
      </c>
      <c r="K16" s="208"/>
    </row>
    <row r="17" spans="1:11" ht="15.75">
      <c r="A17" s="65"/>
      <c r="B17" s="89" t="str">
        <f>IF(inputPrYr!$B26&gt;"  ",inputPrYr!$B26,"  ")</f>
        <v>Fire Protection</v>
      </c>
      <c r="C17" s="230"/>
      <c r="D17" s="89">
        <f>IF(inputPrYr!E26&gt;0,inputPrYr!E26,"  ")</f>
        <v>4036</v>
      </c>
      <c r="E17" s="231">
        <f>IF(inputOth!D43&gt;0,inputOth!D43,"  ")</f>
        <v>0.884</v>
      </c>
      <c r="F17" s="232"/>
      <c r="G17" s="89">
        <f>IF(inputPrYr!E26=0,0,ROUND(D17*$G$31,0))</f>
        <v>306</v>
      </c>
      <c r="H17" s="233"/>
      <c r="I17" s="89">
        <f>IF(inputPrYr!$E$26=0,0,ROUND($D$17*$I$33,0))</f>
        <v>5</v>
      </c>
      <c r="J17" s="89">
        <f>IF(inputPrYr!E26=0,0,ROUND($D17*$J$35,0))</f>
        <v>40</v>
      </c>
      <c r="K17" s="208"/>
    </row>
    <row r="18" spans="1:11" ht="15.75">
      <c r="A18" s="65"/>
      <c r="B18" s="89" t="str">
        <f>IF(inputPrYr!$B27&gt;"  ",inputPrYr!$B27,"  ")</f>
        <v>Cemetery</v>
      </c>
      <c r="C18" s="230"/>
      <c r="D18" s="89">
        <f>IF(inputPrYr!E27&gt;0,inputPrYr!E27,"  ")</f>
        <v>3844</v>
      </c>
      <c r="E18" s="231">
        <f>IF(inputOth!D44&gt;0,inputOth!D44,"  ")</f>
        <v>0.842</v>
      </c>
      <c r="F18" s="232"/>
      <c r="G18" s="89">
        <f>IF(inputPrYr!E27=0,0,ROUND(D18*$G$31,0))</f>
        <v>292</v>
      </c>
      <c r="H18" s="233"/>
      <c r="I18" s="89">
        <f>IF(inputPrYr!$E$26=0,0,ROUND($D$17*$I$33,0))</f>
        <v>5</v>
      </c>
      <c r="J18" s="89">
        <f>IF(inputPrYr!E27=0,0,ROUND($D18*$J$35,0))</f>
        <v>38</v>
      </c>
      <c r="K18" s="208"/>
    </row>
    <row r="19" spans="1:11" ht="15.75">
      <c r="A19" s="65"/>
      <c r="B19" s="89" t="str">
        <f>IF(inputPrYr!$B28&gt;"  ",inputPrYr!$B28,"  ")</f>
        <v>  </v>
      </c>
      <c r="C19" s="230"/>
      <c r="D19" s="89" t="str">
        <f>IF(inputPrYr!E28&gt;0,inputPrYr!E28,"  ")</f>
        <v>  </v>
      </c>
      <c r="E19" s="231" t="str">
        <f>IF(inputOth!D45&gt;0,inputOth!D45,"  ")</f>
        <v>  </v>
      </c>
      <c r="F19" s="232"/>
      <c r="G19" s="89">
        <f>IF(inputPrYr!E28=0,0,ROUND(D19*$G$31,0))</f>
        <v>0</v>
      </c>
      <c r="H19" s="233"/>
      <c r="I19" s="89">
        <f>IF(inputPrYr!$E$28=0,0,ROUND($D$19*$I$33,0))</f>
        <v>0</v>
      </c>
      <c r="J19" s="89">
        <f>IF(inputPrYr!E28=0,0,ROUND($D19*$J$35,0))</f>
        <v>0</v>
      </c>
      <c r="K19" s="208"/>
    </row>
    <row r="20" spans="1:11" ht="15.75">
      <c r="A20" s="65"/>
      <c r="B20" s="89" t="str">
        <f>IF(inputPrYr!$B29&gt;"  ",inputPrYr!$B29,"  ")</f>
        <v>  </v>
      </c>
      <c r="C20" s="230"/>
      <c r="D20" s="89" t="str">
        <f>IF(inputPrYr!E29&gt;0,inputPrYr!E29,"  ")</f>
        <v>  </v>
      </c>
      <c r="E20" s="231" t="str">
        <f>IF(inputOth!D46&gt;0,inputOth!D46,"  ")</f>
        <v>  </v>
      </c>
      <c r="F20" s="232"/>
      <c r="G20" s="89">
        <f>IF(inputPrYr!E29=0,0,ROUND(D20*$G$31,0))</f>
        <v>0</v>
      </c>
      <c r="H20" s="233"/>
      <c r="I20" s="89">
        <f>IF(inputPrYr!$E$29=0,0,ROUND($D$20*$I$33,0))</f>
        <v>0</v>
      </c>
      <c r="J20" s="89">
        <f>IF(inputPrYr!E29=0,0,ROUND($D20*$J$35,0))</f>
        <v>0</v>
      </c>
      <c r="K20" s="208"/>
    </row>
    <row r="21" spans="1:11" ht="15.75">
      <c r="A21" s="65"/>
      <c r="B21" s="89" t="str">
        <f>IF(inputPrYr!$B30&gt;"  ",inputPrYr!$B30,"  ")</f>
        <v>  </v>
      </c>
      <c r="C21" s="230"/>
      <c r="D21" s="89" t="str">
        <f>IF(inputPrYr!E30&gt;0,inputPrYr!E30,"  ")</f>
        <v>  </v>
      </c>
      <c r="E21" s="231" t="str">
        <f>IF(inputOth!D47&gt;0,inputOth!D47,"  ")</f>
        <v>  </v>
      </c>
      <c r="F21" s="232"/>
      <c r="G21" s="89">
        <f>IF(inputPrYr!E30=0,0,ROUND(D21*$G$31,0))</f>
        <v>0</v>
      </c>
      <c r="H21" s="233"/>
      <c r="I21" s="89">
        <f>IF(inputPrYr!$E$30=0,0,ROUND($D$21*$I$33,0))</f>
        <v>0</v>
      </c>
      <c r="J21" s="89">
        <f>IF(inputPrYr!E30=0,0,ROUND($D21*$J$35,0))</f>
        <v>0</v>
      </c>
      <c r="K21" s="208"/>
    </row>
    <row r="22" spans="1:11" ht="15.75">
      <c r="A22" s="65"/>
      <c r="B22" s="89" t="str">
        <f>IF(inputPrYr!$B31&gt;"  ",inputPrYr!$B31,"  ")</f>
        <v>  </v>
      </c>
      <c r="C22" s="230"/>
      <c r="D22" s="89" t="str">
        <f>IF(inputPrYr!E31&gt;0,inputPrYr!E31,"  ")</f>
        <v>  </v>
      </c>
      <c r="E22" s="231" t="str">
        <f>IF(inputOth!D48&gt;0,inputOth!D48,"  ")</f>
        <v>  </v>
      </c>
      <c r="F22" s="232"/>
      <c r="G22" s="89">
        <f>IF(inputPrYr!E31=0,0,ROUND(D22*$G$31,0))</f>
        <v>0</v>
      </c>
      <c r="H22" s="233"/>
      <c r="I22" s="89">
        <f>IF(inputPrYr!E31=0,0,ROUND($D$22*$I$33,0))</f>
        <v>0</v>
      </c>
      <c r="J22" s="89">
        <f>IF(inputPrYr!E31=0,0,ROUND($D22*$J$35,0))</f>
        <v>0</v>
      </c>
      <c r="K22" s="208"/>
    </row>
    <row r="23" spans="1:11" ht="16.5" thickBot="1">
      <c r="A23" s="65"/>
      <c r="B23" s="103" t="s">
        <v>241</v>
      </c>
      <c r="C23" s="234"/>
      <c r="D23" s="235">
        <f aca="true" t="shared" si="0" ref="D23:J23">SUM(D11:D22)</f>
        <v>73091</v>
      </c>
      <c r="E23" s="236">
        <f>SUM(E11:E22)</f>
        <v>15.567000000000002</v>
      </c>
      <c r="F23" s="237"/>
      <c r="G23" s="235">
        <f t="shared" si="0"/>
        <v>5549</v>
      </c>
      <c r="H23" s="235"/>
      <c r="I23" s="235">
        <f t="shared" si="0"/>
        <v>95</v>
      </c>
      <c r="J23" s="235">
        <f t="shared" si="0"/>
        <v>723</v>
      </c>
      <c r="K23" s="208"/>
    </row>
    <row r="24" spans="1:11" ht="16.5" thickTop="1">
      <c r="A24" s="65"/>
      <c r="B24" s="65"/>
      <c r="C24" s="65"/>
      <c r="D24" s="65"/>
      <c r="E24" s="65"/>
      <c r="F24" s="65"/>
      <c r="G24" s="65"/>
      <c r="H24" s="65"/>
      <c r="I24" s="65"/>
      <c r="J24" s="65"/>
      <c r="K24" s="65"/>
    </row>
    <row r="25" spans="1:11" ht="15.75">
      <c r="A25" s="65"/>
      <c r="B25" s="71" t="s">
        <v>265</v>
      </c>
      <c r="C25" s="206"/>
      <c r="D25" s="65"/>
      <c r="E25" s="65"/>
      <c r="F25" s="65"/>
      <c r="G25" s="238">
        <f>SUM(inputOth!E59,inputOth!E63,inputOth!E67)</f>
        <v>5549</v>
      </c>
      <c r="H25" s="65"/>
      <c r="I25" s="65"/>
      <c r="J25" s="65"/>
      <c r="K25" s="65"/>
    </row>
    <row r="26" spans="1:11" ht="15.75">
      <c r="A26" s="65"/>
      <c r="B26" s="65"/>
      <c r="C26" s="65"/>
      <c r="D26" s="65"/>
      <c r="E26" s="65"/>
      <c r="F26" s="65"/>
      <c r="G26" s="65"/>
      <c r="H26" s="65"/>
      <c r="I26" s="65"/>
      <c r="J26" s="65"/>
      <c r="K26" s="65"/>
    </row>
    <row r="27" spans="1:11" ht="15.75">
      <c r="A27" s="65"/>
      <c r="B27" s="71" t="s">
        <v>266</v>
      </c>
      <c r="C27" s="65"/>
      <c r="D27" s="65"/>
      <c r="E27" s="65"/>
      <c r="F27" s="65"/>
      <c r="G27" s="65"/>
      <c r="H27" s="238">
        <f>inputPrYr!E83</f>
        <v>0</v>
      </c>
      <c r="I27" s="238">
        <f>SUM(inputOth!E60,inputOth!E64,inputOth!E68)</f>
        <v>95</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8">
        <f>SUM(inputOth!E61,inputOth!E65,inputOth!E69)</f>
        <v>723</v>
      </c>
      <c r="K29" s="176"/>
    </row>
    <row r="30" spans="1:11" ht="15.75">
      <c r="A30" s="65"/>
      <c r="B30" s="65"/>
      <c r="C30" s="65"/>
      <c r="D30" s="65"/>
      <c r="E30" s="65"/>
      <c r="F30" s="65"/>
      <c r="G30" s="65"/>
      <c r="H30" s="65"/>
      <c r="I30" s="65"/>
      <c r="J30" s="65"/>
      <c r="K30" s="65"/>
    </row>
    <row r="31" spans="1:11" ht="15.75">
      <c r="A31" s="65"/>
      <c r="B31" s="71" t="s">
        <v>267</v>
      </c>
      <c r="C31" s="65"/>
      <c r="D31" s="65"/>
      <c r="E31" s="65"/>
      <c r="F31" s="65"/>
      <c r="G31" s="240">
        <f>IF(D23=0,0,G25/D23)</f>
        <v>0.07591905980216443</v>
      </c>
      <c r="H31" s="65"/>
      <c r="I31" s="65"/>
      <c r="J31" s="65"/>
      <c r="K31" s="65"/>
    </row>
    <row r="32" spans="1:11" ht="15.75">
      <c r="A32" s="65"/>
      <c r="B32" s="65"/>
      <c r="C32" s="241"/>
      <c r="D32" s="65"/>
      <c r="E32" s="65"/>
      <c r="F32" s="65"/>
      <c r="G32" s="65"/>
      <c r="H32" s="65"/>
      <c r="I32" s="65"/>
      <c r="J32" s="65"/>
      <c r="K32" s="65"/>
    </row>
    <row r="33" spans="1:11" ht="15.75">
      <c r="A33" s="65"/>
      <c r="B33" s="71" t="s">
        <v>268</v>
      </c>
      <c r="C33" s="65"/>
      <c r="D33" s="65"/>
      <c r="E33" s="65"/>
      <c r="F33" s="65"/>
      <c r="G33" s="65"/>
      <c r="H33" s="242">
        <f>IF(D23=0,0,H27/D23)</f>
        <v>0</v>
      </c>
      <c r="I33" s="243">
        <f>IF(D23=0,0,I27/D23)</f>
        <v>0.0012997496271770807</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40">
        <f>IF(D23=0,0,J29/D23)</f>
        <v>0.009891778741568729</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0" zoomScaleNormal="90" zoomScalePageLayoutView="0" workbookViewId="0" topLeftCell="A1">
      <selection activeCell="C21" sqref="C21:E21"/>
    </sheetView>
  </sheetViews>
  <sheetFormatPr defaultColWidth="8.796875" defaultRowHeight="15.75"/>
  <cols>
    <col min="1" max="2" width="16" style="154" customWidth="1"/>
    <col min="3" max="6" width="11.5" style="154" customWidth="1"/>
    <col min="7" max="16384" width="8.796875" style="154" customWidth="1"/>
  </cols>
  <sheetData>
    <row r="1" spans="1:6" ht="15.75">
      <c r="A1" s="222"/>
      <c r="B1" s="65"/>
      <c r="C1" s="65"/>
      <c r="D1" s="65"/>
      <c r="E1" s="208"/>
      <c r="F1" s="65">
        <f>inputPrYr!D9</f>
        <v>2013</v>
      </c>
    </row>
    <row r="2" spans="1:6" ht="15.75">
      <c r="A2" s="120" t="str">
        <f>inputPrYr!D3</f>
        <v>Morrill Township</v>
      </c>
      <c r="B2" s="120"/>
      <c r="C2" s="65"/>
      <c r="D2" s="65"/>
      <c r="E2" s="208"/>
      <c r="F2" s="65"/>
    </row>
    <row r="3" spans="1:6" ht="15.75">
      <c r="A3" s="222"/>
      <c r="B3" s="120"/>
      <c r="C3" s="65"/>
      <c r="D3" s="65"/>
      <c r="E3" s="208"/>
      <c r="F3" s="65"/>
    </row>
    <row r="4" spans="1:6" ht="15.75">
      <c r="A4" s="222"/>
      <c r="B4" s="65"/>
      <c r="C4" s="65"/>
      <c r="D4" s="65"/>
      <c r="E4" s="208"/>
      <c r="F4" s="65"/>
    </row>
    <row r="5" spans="1:6" ht="15" customHeight="1">
      <c r="A5" s="783" t="s">
        <v>115</v>
      </c>
      <c r="B5" s="783"/>
      <c r="C5" s="783"/>
      <c r="D5" s="783"/>
      <c r="E5" s="783"/>
      <c r="F5" s="783"/>
    </row>
    <row r="6" spans="1:6" ht="14.25" customHeight="1">
      <c r="A6" s="64"/>
      <c r="B6" s="246"/>
      <c r="C6" s="246"/>
      <c r="D6" s="246"/>
      <c r="E6" s="246"/>
      <c r="F6" s="246"/>
    </row>
    <row r="7" spans="1:6" ht="15" customHeight="1">
      <c r="A7" s="247" t="s">
        <v>249</v>
      </c>
      <c r="B7" s="247" t="s">
        <v>624</v>
      </c>
      <c r="C7" s="248" t="s">
        <v>292</v>
      </c>
      <c r="D7" s="248" t="s">
        <v>116</v>
      </c>
      <c r="E7" s="247" t="s">
        <v>117</v>
      </c>
      <c r="F7" s="247" t="s">
        <v>118</v>
      </c>
    </row>
    <row r="8" spans="1:6" ht="15" customHeight="1">
      <c r="A8" s="249" t="s">
        <v>625</v>
      </c>
      <c r="B8" s="249" t="s">
        <v>626</v>
      </c>
      <c r="C8" s="250" t="s">
        <v>119</v>
      </c>
      <c r="D8" s="250" t="s">
        <v>119</v>
      </c>
      <c r="E8" s="250" t="s">
        <v>119</v>
      </c>
      <c r="F8" s="250" t="s">
        <v>120</v>
      </c>
    </row>
    <row r="9" spans="1:6" s="253" customFormat="1" ht="15" customHeight="1" thickBot="1">
      <c r="A9" s="251" t="s">
        <v>121</v>
      </c>
      <c r="B9" s="252" t="s">
        <v>122</v>
      </c>
      <c r="C9" s="252">
        <f>F1-2</f>
        <v>2011</v>
      </c>
      <c r="D9" s="252">
        <f>F1-1</f>
        <v>2012</v>
      </c>
      <c r="E9" s="252">
        <f>F1</f>
        <v>2013</v>
      </c>
      <c r="F9" s="252" t="s">
        <v>236</v>
      </c>
    </row>
    <row r="10" spans="1:6" ht="15" customHeight="1" thickTop="1">
      <c r="A10" s="254"/>
      <c r="B10" s="254"/>
      <c r="C10" s="255"/>
      <c r="D10" s="255"/>
      <c r="E10" s="255"/>
      <c r="F10" s="254"/>
    </row>
    <row r="11" spans="1:6" ht="15" customHeight="1">
      <c r="A11" s="205" t="s">
        <v>191</v>
      </c>
      <c r="B11" s="205" t="s">
        <v>253</v>
      </c>
      <c r="C11" s="256">
        <f>gen!$C$34</f>
        <v>0</v>
      </c>
      <c r="D11" s="256">
        <f>gen!$D$34</f>
        <v>0</v>
      </c>
      <c r="E11" s="256">
        <f>gen!$E$34</f>
        <v>0</v>
      </c>
      <c r="F11" s="205">
        <f>IF(C11+D11+E11&gt;0,"80-1406b","")</f>
      </c>
    </row>
    <row r="12" spans="1:6" ht="15" customHeight="1">
      <c r="A12" s="205" t="s">
        <v>191</v>
      </c>
      <c r="B12" s="205" t="s">
        <v>253</v>
      </c>
      <c r="C12" s="256">
        <f>gen!$C$36</f>
        <v>0</v>
      </c>
      <c r="D12" s="256">
        <f>gen!$D$36</f>
        <v>0</v>
      </c>
      <c r="E12" s="256">
        <f>gen!$E$36</f>
        <v>0</v>
      </c>
      <c r="F12" s="205">
        <f>IF(C12+D12+E12&gt;0,"80-122","")</f>
      </c>
    </row>
    <row r="13" spans="1:6" ht="15" customHeight="1">
      <c r="A13" s="205" t="s">
        <v>240</v>
      </c>
      <c r="B13" s="205" t="s">
        <v>253</v>
      </c>
      <c r="C13" s="256">
        <f>road!$C$40</f>
        <v>16600</v>
      </c>
      <c r="D13" s="256">
        <f>road!$D$40</f>
        <v>0</v>
      </c>
      <c r="E13" s="256">
        <f>road!$E$40</f>
        <v>0</v>
      </c>
      <c r="F13" s="205" t="str">
        <f>IF(C13+D13+E13&gt;0,"68-141g","")</f>
        <v>68-141g</v>
      </c>
    </row>
    <row r="14" spans="1:6" ht="15" customHeight="1">
      <c r="A14" s="178"/>
      <c r="B14" s="178"/>
      <c r="C14" s="257"/>
      <c r="D14" s="257"/>
      <c r="E14" s="257"/>
      <c r="F14" s="178"/>
    </row>
    <row r="15" spans="1:6" ht="15" customHeight="1">
      <c r="A15" s="178"/>
      <c r="B15" s="178"/>
      <c r="C15" s="257"/>
      <c r="D15" s="257"/>
      <c r="E15" s="257"/>
      <c r="F15" s="178"/>
    </row>
    <row r="16" spans="1:6" ht="15" customHeight="1">
      <c r="A16" s="178"/>
      <c r="B16" s="178"/>
      <c r="C16" s="257"/>
      <c r="D16" s="257"/>
      <c r="E16" s="257"/>
      <c r="F16" s="178"/>
    </row>
    <row r="17" spans="1:6" ht="15" customHeight="1">
      <c r="A17" s="178"/>
      <c r="B17" s="178"/>
      <c r="C17" s="257"/>
      <c r="D17" s="257"/>
      <c r="E17" s="257"/>
      <c r="F17" s="178"/>
    </row>
    <row r="18" spans="1:6" ht="15" customHeight="1">
      <c r="A18" s="178"/>
      <c r="B18" s="178"/>
      <c r="C18" s="257"/>
      <c r="D18" s="257"/>
      <c r="E18" s="257"/>
      <c r="F18" s="178"/>
    </row>
    <row r="19" spans="1:6" ht="15" customHeight="1">
      <c r="A19" s="178"/>
      <c r="B19" s="258"/>
      <c r="C19" s="257"/>
      <c r="D19" s="257"/>
      <c r="E19" s="257"/>
      <c r="F19" s="178"/>
    </row>
    <row r="20" spans="1:6" ht="15" customHeight="1">
      <c r="A20" s="178"/>
      <c r="B20" s="178"/>
      <c r="C20" s="257"/>
      <c r="D20" s="257"/>
      <c r="E20" s="257"/>
      <c r="F20" s="178"/>
    </row>
    <row r="21" spans="1:6" ht="15" customHeight="1">
      <c r="A21" s="178"/>
      <c r="B21" s="178"/>
      <c r="C21" s="257"/>
      <c r="D21" s="257"/>
      <c r="E21" s="257"/>
      <c r="F21" s="178"/>
    </row>
    <row r="22" spans="1:6" ht="15" customHeight="1">
      <c r="A22" s="178"/>
      <c r="B22" s="178"/>
      <c r="C22" s="257"/>
      <c r="D22" s="257"/>
      <c r="E22" s="257"/>
      <c r="F22" s="178"/>
    </row>
    <row r="23" spans="1:6" ht="15" customHeight="1">
      <c r="A23" s="178"/>
      <c r="B23" s="178"/>
      <c r="C23" s="257"/>
      <c r="D23" s="257"/>
      <c r="E23" s="257"/>
      <c r="F23" s="178"/>
    </row>
    <row r="24" spans="1:6" ht="15" customHeight="1">
      <c r="A24" s="178"/>
      <c r="B24" s="178"/>
      <c r="C24" s="257"/>
      <c r="D24" s="257"/>
      <c r="E24" s="257"/>
      <c r="F24" s="178"/>
    </row>
    <row r="25" spans="1:6" ht="15" customHeight="1">
      <c r="A25" s="178"/>
      <c r="B25" s="178"/>
      <c r="C25" s="257"/>
      <c r="D25" s="257"/>
      <c r="E25" s="257"/>
      <c r="F25" s="178"/>
    </row>
    <row r="26" spans="1:6" ht="15" customHeight="1">
      <c r="A26" s="178"/>
      <c r="B26" s="178"/>
      <c r="C26" s="257"/>
      <c r="D26" s="257"/>
      <c r="E26" s="257"/>
      <c r="F26" s="178"/>
    </row>
    <row r="27" spans="1:6" ht="15.75">
      <c r="A27" s="190"/>
      <c r="B27" s="87" t="s">
        <v>241</v>
      </c>
      <c r="C27" s="259">
        <f>SUM(C10:C26)</f>
        <v>16600</v>
      </c>
      <c r="D27" s="259">
        <f>SUM(D10:D26)</f>
        <v>0</v>
      </c>
      <c r="E27" s="259">
        <f>SUM(E10:E26)</f>
        <v>0</v>
      </c>
      <c r="F27" s="190"/>
    </row>
    <row r="28" spans="1:6" ht="15.75">
      <c r="A28" s="190"/>
      <c r="B28" s="87" t="s">
        <v>623</v>
      </c>
      <c r="C28" s="65"/>
      <c r="D28" s="178"/>
      <c r="E28" s="178"/>
      <c r="F28" s="190"/>
    </row>
    <row r="29" spans="1:6" ht="15.75">
      <c r="A29" s="190"/>
      <c r="B29" s="87" t="s">
        <v>123</v>
      </c>
      <c r="C29" s="180">
        <f>C27</f>
        <v>16600</v>
      </c>
      <c r="D29" s="180">
        <f>SUM(D27-D28)</f>
        <v>0</v>
      </c>
      <c r="E29" s="180">
        <f>SUM(E27-E28)</f>
        <v>0</v>
      </c>
      <c r="F29" s="190"/>
    </row>
    <row r="30" spans="1:6" ht="15.75">
      <c r="A30" s="190"/>
      <c r="B30" s="65"/>
      <c r="C30" s="65"/>
      <c r="D30" s="65"/>
      <c r="E30" s="65"/>
      <c r="F30" s="190"/>
    </row>
    <row r="31" spans="1:6" ht="15.75">
      <c r="A31" s="190"/>
      <c r="B31" s="65"/>
      <c r="C31" s="65"/>
      <c r="D31" s="65"/>
      <c r="E31" s="65"/>
      <c r="F31" s="190"/>
    </row>
    <row r="32" spans="1:6" ht="15.75">
      <c r="A32" s="387" t="s">
        <v>627</v>
      </c>
      <c r="B32" s="388" t="str">
        <f>CONCATENATE("Adjustments are required only if the transfer is being made in ",D9," and/or ",E9," from a non-budgeted fund.")</f>
        <v>Adjustments are required only if the transfer is being made in 2012 and/or 2013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7" customWidth="1"/>
    <col min="2" max="16384" width="8.796875" style="107" customWidth="1"/>
  </cols>
  <sheetData>
    <row r="1" ht="18.75">
      <c r="A1" s="362" t="s">
        <v>329</v>
      </c>
    </row>
    <row r="2" ht="15.75">
      <c r="A2" s="111"/>
    </row>
    <row r="3" ht="15.75">
      <c r="A3" s="111"/>
    </row>
    <row r="4" ht="52.5" customHeight="1">
      <c r="A4" s="215" t="s">
        <v>366</v>
      </c>
    </row>
    <row r="5" ht="15.75">
      <c r="A5" s="111"/>
    </row>
    <row r="6" ht="15.75">
      <c r="A6" s="111"/>
    </row>
    <row r="7" ht="70.5" customHeight="1">
      <c r="A7" s="215" t="s">
        <v>367</v>
      </c>
    </row>
    <row r="8" ht="15.75">
      <c r="A8" s="358"/>
    </row>
    <row r="9" ht="15.75">
      <c r="A9" s="111"/>
    </row>
    <row r="10" ht="56.25" customHeight="1">
      <c r="A10" s="215" t="s">
        <v>368</v>
      </c>
    </row>
    <row r="11" ht="15.75">
      <c r="A11" s="358"/>
    </row>
    <row r="12" ht="15.75">
      <c r="A12" s="358"/>
    </row>
    <row r="13" ht="57.75" customHeight="1">
      <c r="A13" s="215" t="s">
        <v>369</v>
      </c>
    </row>
    <row r="14" ht="15.75">
      <c r="A14" s="358"/>
    </row>
    <row r="15" ht="15.75">
      <c r="A15" s="358"/>
    </row>
    <row r="16" ht="87.75" customHeight="1">
      <c r="A16" s="215" t="s">
        <v>370</v>
      </c>
    </row>
    <row r="17" ht="15.75">
      <c r="A17" s="358"/>
    </row>
    <row r="18" ht="15.75">
      <c r="A18" s="111"/>
    </row>
    <row r="19" ht="54.75" customHeight="1">
      <c r="A19" s="215" t="s">
        <v>371</v>
      </c>
    </row>
    <row r="20" ht="15.75">
      <c r="A20" s="111"/>
    </row>
    <row r="21" ht="15.75">
      <c r="A21" s="111"/>
    </row>
    <row r="22" ht="69" customHeight="1">
      <c r="A22" s="215" t="s">
        <v>372</v>
      </c>
    </row>
    <row r="23" ht="15.75">
      <c r="A23" s="111"/>
    </row>
    <row r="24" ht="15.75">
      <c r="A24" s="359"/>
    </row>
    <row r="25" ht="47.25" customHeight="1">
      <c r="A25" s="360" t="s">
        <v>373</v>
      </c>
    </row>
    <row r="26" ht="15.75">
      <c r="A26" s="361"/>
    </row>
    <row r="27" ht="15.75">
      <c r="A27" s="359"/>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2012-07-11T13:35:02Z</cp:lastPrinted>
  <dcterms:created xsi:type="dcterms:W3CDTF">1998-08-26T16:30:41Z</dcterms:created>
  <dcterms:modified xsi:type="dcterms:W3CDTF">2012-12-11T19:00:03Z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