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30" windowHeight="2715" tabRatio="805" firstSheet="25" activeTab="27"/>
  </bookViews>
  <sheets>
    <sheet name="instructions" sheetId="1" r:id="rId1"/>
    <sheet name="inputPrYr" sheetId="2" r:id="rId2"/>
    <sheet name="inputOth" sheetId="3" r:id="rId3"/>
    <sheet name="inputBudSum" sheetId="4" r:id="rId4"/>
    <sheet name="cert" sheetId="5" r:id="rId5"/>
    <sheet name="cert2" sheetId="6" r:id="rId6"/>
    <sheet name="computation" sheetId="7" r:id="rId7"/>
    <sheet name="mvalloc" sheetId="8" r:id="rId8"/>
    <sheet name="transfers" sheetId="9" r:id="rId9"/>
    <sheet name="TransfersStatutes" sheetId="10" r:id="rId10"/>
    <sheet name="debt" sheetId="11" r:id="rId11"/>
    <sheet name="lpform" sheetId="12" r:id="rId12"/>
    <sheet name="general" sheetId="13" r:id="rId13"/>
    <sheet name="gen-detail" sheetId="14" r:id="rId14"/>
    <sheet name="road" sheetId="15" r:id="rId15"/>
    <sheet name="levy page9" sheetId="16" r:id="rId16"/>
    <sheet name="levy page10" sheetId="17" r:id="rId17"/>
    <sheet name="levy page11" sheetId="18" r:id="rId18"/>
    <sheet name="levy page12" sheetId="19" r:id="rId19"/>
    <sheet name="no levy page13" sheetId="20" r:id="rId20"/>
    <sheet name="no levy page14" sheetId="21" r:id="rId21"/>
    <sheet name="no levy page15" sheetId="22" r:id="rId22"/>
    <sheet name="no levy page16" sheetId="23" r:id="rId23"/>
    <sheet name="nonbudA" sheetId="24" r:id="rId24"/>
    <sheet name="nonbudB" sheetId="25" r:id="rId25"/>
    <sheet name="nonbudC" sheetId="26" r:id="rId26"/>
    <sheet name="NonBudFunds" sheetId="27" r:id="rId27"/>
    <sheet name="summ" sheetId="28" r:id="rId28"/>
    <sheet name="summ2" sheetId="29" r:id="rId29"/>
    <sheet name="Nhood" sheetId="30" r:id="rId30"/>
    <sheet name="Resolution" sheetId="31" r:id="rId31"/>
    <sheet name="Tab A" sheetId="32" r:id="rId32"/>
    <sheet name="Tab B" sheetId="33" r:id="rId33"/>
    <sheet name="Tab C" sheetId="34" r:id="rId34"/>
    <sheet name="Tab D" sheetId="35" r:id="rId35"/>
    <sheet name="Tab E" sheetId="36" r:id="rId36"/>
    <sheet name="Mill Rate Computation" sheetId="37" r:id="rId37"/>
    <sheet name="Helpful Links" sheetId="38" r:id="rId38"/>
    <sheet name="legend" sheetId="39" r:id="rId39"/>
  </sheets>
  <externalReferences>
    <externalReference r:id="rId42"/>
  </externalReferences>
  <definedNames>
    <definedName name="_xlnm.Print_Area" localSheetId="12">'general'!$A$1:$E$103</definedName>
    <definedName name="_xlnm.Print_Area" localSheetId="1">'inputPrYr'!$A$1:$F$125</definedName>
    <definedName name="_xlnm.Print_Area" localSheetId="0">'instructions'!$A$1:$A$107</definedName>
    <definedName name="_xlnm.Print_Area" localSheetId="16">'levy page10'!$A$1:$E$63</definedName>
    <definedName name="_xlnm.Print_Area" localSheetId="17">'levy page11'!$A$1:$E$58</definedName>
    <definedName name="_xlnm.Print_Area" localSheetId="18">'levy page12'!$A$1:$E$61</definedName>
    <definedName name="_xlnm.Print_Area" localSheetId="15">'levy page9'!$A$1:$E$61</definedName>
    <definedName name="_xlnm.Print_Area" localSheetId="29">'Nhood'!$A$1:$F$45</definedName>
    <definedName name="_xlnm.Print_Area" localSheetId="23">'nonbudA'!$A$1:$K$34</definedName>
    <definedName name="_xlnm.Print_Area" localSheetId="24">'nonbudB'!$A$1:$K$35</definedName>
    <definedName name="_xlnm.Print_Area" localSheetId="25">'nonbudC'!$A$1:$K$35</definedName>
    <definedName name="_xlnm.Print_Area" localSheetId="14">'road'!$B$1:$E$51</definedName>
    <definedName name="_xlnm.Print_Area" localSheetId="27">'summ'!$A$1:$H$62</definedName>
    <definedName name="_xlnm.Print_Area" localSheetId="28">'summ2'!$A$1:$I$68</definedName>
  </definedNames>
  <calcPr fullCalcOnLoad="1"/>
</workbook>
</file>

<file path=xl/sharedStrings.xml><?xml version="1.0" encoding="utf-8"?>
<sst xmlns="http://schemas.openxmlformats.org/spreadsheetml/2006/main" count="1940" uniqueCount="1080">
  <si>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</si>
  <si>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</si>
  <si>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</si>
  <si>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</si>
  <si>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</si>
  <si>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</si>
  <si>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</si>
  <si>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Other County</t>
  </si>
  <si>
    <t>Special District Funds</t>
  </si>
  <si>
    <t xml:space="preserve">Other County </t>
  </si>
  <si>
    <t>CERTIFICATE (2)</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</si>
  <si>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</si>
  <si>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</si>
  <si>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</si>
  <si>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</si>
  <si>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</si>
  <si>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</si>
  <si>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</si>
  <si>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</si>
  <si>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</si>
  <si>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</si>
  <si>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</si>
  <si>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</si>
  <si>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</si>
  <si>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</si>
  <si>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</si>
  <si>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</si>
  <si>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</si>
  <si>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</si>
  <si>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</si>
  <si>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</si>
  <si>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</si>
  <si>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</si>
  <si>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Read these instructions carefully.  If after reviewing them you still have questions, call Municipal Services at 785-296-2311 or e-mail : armunis@da.ks.gov</t>
  </si>
  <si>
    <t>All dollar amounts should be rounded to whole dollars (do not record cents).</t>
  </si>
  <si>
    <t>The blue areas indicated where the information comes from to complete the section input.</t>
  </si>
  <si>
    <t xml:space="preserve">3. Hard coded the Bond &amp; Interest, and Road &amp; Bridge on Certificate and Summary pages. </t>
  </si>
  <si>
    <t xml:space="preserve">7. Now have the indebtedness prior year added to the input page and link with the budget summary page. </t>
  </si>
  <si>
    <t>10. Changed the Budget Summary Heading to include Actual/Estimate/Proposed with the budget year.</t>
  </si>
  <si>
    <t>11. Changed the delinquency rate formula for all levy funds.</t>
  </si>
  <si>
    <t>16. Add total section for Schedule of Transfers and linked the total to the Budget Summary page.</t>
  </si>
  <si>
    <t>17. Added column to show when debt retired on the Indebtedness page.</t>
  </si>
  <si>
    <t>18. Certificate (2) added (2) after Certificate at top of page, removed the certification at the top, and added column for Nov 1 valuation.</t>
  </si>
  <si>
    <t>21. On the Budget Summary page (2) added column for July1 valuation and computation to compute mil rates.</t>
  </si>
  <si>
    <t>20. Added 4 non-budgeted pages for 20 non-budgeted funds.</t>
  </si>
  <si>
    <t>Budget Summary</t>
  </si>
  <si>
    <t>xxxxx</t>
  </si>
  <si>
    <t>Resolution</t>
  </si>
  <si>
    <t>Is a Resolution required?</t>
  </si>
  <si>
    <t>22. Added Resolution statement on Certificate page.</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</si>
  <si>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</si>
  <si>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</si>
  <si>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13. Added page number on the Resolution page.</t>
  </si>
  <si>
    <t>8. Added Resolution statement on Certificate page.</t>
  </si>
  <si>
    <t>Note:  All amounts are to be entered in as whole numbers only.</t>
  </si>
  <si>
    <t>23. Added computation to Certificate page 2 to comp mil rates.</t>
  </si>
  <si>
    <t>24. Added note on General and Road detail pages to ensure the General and Road subtotals are in agreement.</t>
  </si>
  <si>
    <t>**</t>
  </si>
  <si>
    <t>**Note: These two block figures should agree.</t>
  </si>
  <si>
    <t>25. Added to instructions about non-appropriated balance limited to 5%.</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</si>
  <si>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</si>
  <si>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29. Added Slider to the Vehicle Allocation table and linked to fund pages.</t>
  </si>
  <si>
    <t>xxxxxxxxxxxxxxxxxxxx</t>
  </si>
  <si>
    <t>30. Added to all budgeted fund pages the budget authority for the actual year, budget violation, and cash violation.</t>
  </si>
  <si>
    <t>31. Added instruction on the addition for item 30.</t>
  </si>
  <si>
    <t>Funds</t>
  </si>
  <si>
    <t xml:space="preserve">expenditure amounts should reflect the amended </t>
  </si>
  <si>
    <t>expenditure amounts.</t>
  </si>
  <si>
    <t xml:space="preserve">Tax Levy Rate </t>
  </si>
  <si>
    <t>Miscellaneous</t>
  </si>
  <si>
    <t>Neighborhood Revitalization Rebate</t>
  </si>
  <si>
    <t xml:space="preserve">The worksheets are named (see the tab) in each budget workbook.  We will identify the worksheet by referencing the tab in parentheses (i.e. General Fund reference would be 'general'). </t>
  </si>
  <si>
    <r>
      <t xml:space="preserve">The General fund has a detail page (gen-detail) which can be used to disclose more insight of the General Fund expenditures by a department.  The detail page department name and total is linked to the General Fund page. You do not have to use the department names that are currently showing, as these can be changed to meet the need of the county. The last detail page contains all the total of the detail pages and this total amount should agree with the subtotal on the General page. If the totals do not agree, then change the figures on the detail page and </t>
    </r>
    <r>
      <rPr>
        <b/>
        <sz val="12"/>
        <rFont val="Times New Roman"/>
        <family val="1"/>
      </rPr>
      <t>not</t>
    </r>
    <r>
      <rPr>
        <sz val="12"/>
        <rFont val="Times New Roman"/>
        <family val="1"/>
      </rPr>
      <t xml:space="preserve"> on the General page.  If the detail page is used, please ensure to print the detail page and attach it to the budget.</t>
    </r>
  </si>
  <si>
    <t>The Road &amp; Bridge fund has a detail page (road-detail) which can be used to disclose more insight of the Road &amp; Bridge department expenditures.  The detail page department and total is linked to the Road fund page. You do not have to use the department names that are currently showing, as these can be changed to meet the need of the county. The detail totals should agree to the Road &amp; Bridge fund page subtotals and if they do not, then make corrections on the detail page only.  If the detail page is used, please remember to print the page.</t>
  </si>
  <si>
    <t>Red areas are for notes or indicate a problem area that will need possible corrective action taken.</t>
  </si>
  <si>
    <t>All of the county's budgets should be submitted to Municipal Services by December 1.</t>
  </si>
  <si>
    <r>
      <t xml:space="preserve">Completed budgets may be submitted to Municipal Services on 3.5 computer disk, CD, or as an attachment to an email.  If submitting by email, please mail to the following address: </t>
    </r>
    <r>
      <rPr>
        <u val="single"/>
        <sz val="12"/>
        <rFont val="Times New Roman"/>
        <family val="1"/>
      </rPr>
      <t>armunis@da.ks.gov</t>
    </r>
    <r>
      <rPr>
        <sz val="12"/>
        <rFont val="Times New Roman"/>
        <family val="1"/>
      </rPr>
      <t xml:space="preserve">. Naming the files should start with 'co' for county, 'ci' for cities, 'to' for townships, and 'sp' for special districts.  </t>
    </r>
  </si>
  <si>
    <t xml:space="preserve">Additional Certificate (cert2) and Budget Summary (summ2) pages are available for adding Special Districts. If Special Districts are submitted with the county's budget, please ensure to include the Special Districts' Computation to Determine Levy Limit computation page, and fund pages. </t>
  </si>
  <si>
    <t>Cash Balance Jan 1</t>
  </si>
  <si>
    <t>Budget Summary2</t>
  </si>
  <si>
    <t>35. Added 'excluding oil, gas, and mobile homes' to lines 7 and 9 on Clerks budget info on tab inputoth.</t>
  </si>
  <si>
    <t>***If you are merely leasing/renting with no intent to purchase, do not list--such transactions are not lease-purchases.</t>
  </si>
  <si>
    <t>34. Expanded on the preparation of budget note 11 for instructions for the Notice of Budget Hearing.</t>
  </si>
  <si>
    <t>The following were changed to this spreadsheet on 5/08/2008</t>
  </si>
  <si>
    <r>
      <t>1. Change all the Non-Budgeted Funds forms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</si>
  <si>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</si>
  <si>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3. The revision date was changed.</t>
  </si>
  <si>
    <t>The following were changed to this spreadsheet on 7/01/08</t>
  </si>
  <si>
    <t>2. Changed the formula for unencumbered cash balances for NonBudA to NonBudD to show a negative balance.</t>
  </si>
  <si>
    <t>3. Added box under unencumbered cash balance for NonBudA to NonBudD to reflect a negative ending cash balance.</t>
  </si>
  <si>
    <t>1. Added instructions to 9d for the NonBudA to NonBudD tabs explaining about negative cash balance.</t>
  </si>
  <si>
    <t xml:space="preserve">Ad Valorem Tax </t>
  </si>
  <si>
    <t xml:space="preserve">County.xls spreadsheet has General Fund, Debt Service, Road &amp; Bridge, 22 levy fund pages, 16 no levy fund pages, and 20 non-budgeted funds. </t>
  </si>
  <si>
    <t>1. Input tab (inputPrYr) added column for the current year expenditures.</t>
  </si>
  <si>
    <t>2. Statement of Indebtedness (debt) added lines to all categories.</t>
  </si>
  <si>
    <t xml:space="preserve">3. All tax levy funds and no tax levy funds fund pages made the following changes: </t>
  </si>
  <si>
    <r>
      <t>3a. Made the total expenditures block for the actual and current year to turn '</t>
    </r>
    <r>
      <rPr>
        <sz val="12"/>
        <color indexed="10"/>
        <rFont val="Times New Roman"/>
        <family val="1"/>
      </rPr>
      <t>Red</t>
    </r>
    <r>
      <rPr>
        <sz val="12"/>
        <rFont val="Times New Roman"/>
        <family val="1"/>
      </rPr>
      <t>' if violation occurs.</t>
    </r>
  </si>
  <si>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</si>
  <si>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</si>
  <si>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</si>
  <si>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</si>
  <si>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</si>
  <si>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</si>
  <si>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</si>
  <si>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9c to explain more about the debt service fund page can included for debts.</t>
  </si>
  <si>
    <t>8. Added to the instruction page lines 10a - 10c to provide a little more insight for the Neighborhood Revitalization rebate.</t>
  </si>
  <si>
    <t>9. Added 2b to explain how to delete delinquency rate from tax levy fund pages.</t>
  </si>
  <si>
    <t>10. Changed the Bond &amp; Interest tab (B&amp;I) to Debt Service tab (DebtService).</t>
  </si>
  <si>
    <t>11. Changed the revised date on all pages changed.</t>
  </si>
  <si>
    <t>12. Added instruction lines 9h to 9j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</si>
  <si>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</si>
  <si>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</si>
  <si>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2b. If the county chooses not to use the delinquency rate for all tax levy funds, then the county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</si>
  <si>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9/04/08</t>
  </si>
  <si>
    <t>Budget Summary Page</t>
  </si>
  <si>
    <t>27. Added Neighborhood Revitalization table and linked to the tax levy fund pages.</t>
  </si>
  <si>
    <t>32. Added 'miscellaneous' category to the receipt/expenditure for all fund pages and set error message.</t>
  </si>
  <si>
    <t>33. Added to the instruction about correct the error message for the miscellaneous.</t>
  </si>
  <si>
    <t>9. Added Neighborhood Revitalization, LAVTR, City and County Revenue Sharing, and Slider to the input page and to the General Fund page. Added NR to each tax levy fund page.</t>
  </si>
  <si>
    <t xml:space="preserve">General Instructions </t>
  </si>
  <si>
    <t>To print the spreadsheets, you can either print one sheet at a time or all of the sheets at once.</t>
  </si>
  <si>
    <t>Computer Spreadsheet Preparation</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</si>
  <si>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</si>
  <si>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</si>
  <si>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</si>
  <si>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</si>
  <si>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</si>
  <si>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</si>
  <si>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</si>
  <si>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</si>
  <si>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</si>
  <si>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</si>
  <si>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</si>
  <si>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</si>
  <si>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</si>
  <si>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</si>
  <si>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</si>
  <si>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</si>
  <si>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</si>
  <si>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TOTALS</t>
  </si>
  <si>
    <t>x</t>
  </si>
  <si>
    <t>Assisted by:</t>
  </si>
  <si>
    <t>Governing Body</t>
  </si>
  <si>
    <t>County Clerk</t>
  </si>
  <si>
    <t>Amount</t>
  </si>
  <si>
    <t>Mental Health</t>
  </si>
  <si>
    <t>TOTAL</t>
  </si>
  <si>
    <t>County Treas Motor Vehicle Estimate</t>
  </si>
  <si>
    <t>County Treasurers Recreational Vehicle Estimate</t>
  </si>
  <si>
    <t>Motor Vehicle Factor</t>
  </si>
  <si>
    <t>MVT</t>
  </si>
  <si>
    <t>Totals</t>
  </si>
  <si>
    <t>District Court</t>
  </si>
  <si>
    <t>Adopted Budget</t>
  </si>
  <si>
    <t>Total Receipts</t>
  </si>
  <si>
    <t>Resources Available:</t>
  </si>
  <si>
    <t xml:space="preserve">General </t>
  </si>
  <si>
    <t>Expenditures:</t>
  </si>
  <si>
    <t>Total Expenditures</t>
  </si>
  <si>
    <t>Tax Required</t>
  </si>
  <si>
    <t>%</t>
  </si>
  <si>
    <t>General Fund - Detail Expend</t>
  </si>
  <si>
    <t>General Administration</t>
  </si>
  <si>
    <t xml:space="preserve">  Capital Outlay</t>
  </si>
  <si>
    <t>Ambulance</t>
  </si>
  <si>
    <t>County Treasurer</t>
  </si>
  <si>
    <t>Debt Service</t>
  </si>
  <si>
    <t>Election</t>
  </si>
  <si>
    <t>Employee Benefits</t>
  </si>
  <si>
    <t xml:space="preserve">  Health Insurance</t>
  </si>
  <si>
    <t xml:space="preserve">  Retirement</t>
  </si>
  <si>
    <t xml:space="preserve">  Workers Compensation</t>
  </si>
  <si>
    <t xml:space="preserve">  Unemployment</t>
  </si>
  <si>
    <t>Mental Retardation</t>
  </si>
  <si>
    <t>Road &amp; Bridge</t>
  </si>
  <si>
    <t>Solid Waste</t>
  </si>
  <si>
    <t>Other</t>
  </si>
  <si>
    <t>Page No.</t>
  </si>
  <si>
    <t xml:space="preserve"> </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</si>
  <si>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</si>
  <si>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</si>
  <si>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</si>
  <si>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</si>
  <si>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</si>
  <si>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</si>
  <si>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</si>
  <si>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</si>
  <si>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</si>
  <si>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</si>
  <si>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</si>
  <si>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</si>
  <si>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</si>
  <si>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</si>
  <si>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</si>
  <si>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</si>
  <si>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</si>
  <si>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</si>
  <si>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</si>
  <si>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</si>
  <si>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</si>
  <si>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</si>
  <si>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</si>
  <si>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</si>
  <si>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</si>
  <si>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</si>
  <si>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</si>
  <si>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</si>
  <si>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</si>
  <si>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</si>
  <si>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</si>
  <si>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</si>
  <si>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</si>
  <si>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</si>
  <si>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</si>
  <si>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</si>
  <si>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</si>
  <si>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CERTIFICATE</t>
  </si>
  <si>
    <t>STATEMENT OF CONDITIONAL LEASE-PURCHASE AND CERTIFICATE OF PARTICIPATION*</t>
  </si>
  <si>
    <t>NOTICE OF BUDGET HEARING</t>
  </si>
  <si>
    <t>BUDGET SUMMARY</t>
  </si>
  <si>
    <t>FUND PAGE - GENERAL</t>
  </si>
  <si>
    <t>FUND PAGE - GENERAL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</si>
  <si>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</si>
  <si>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</si>
  <si>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</si>
  <si>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</si>
  <si>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</si>
  <si>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</si>
  <si>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</si>
  <si>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</si>
  <si>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</si>
  <si>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</si>
  <si>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</si>
  <si>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</si>
  <si>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</si>
  <si>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</si>
  <si>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</si>
  <si>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</si>
  <si>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</si>
  <si>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</si>
  <si>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</si>
  <si>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</si>
  <si>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</si>
  <si>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</si>
  <si>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</si>
  <si>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</si>
  <si>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 xml:space="preserve">The governing body of </t>
  </si>
  <si>
    <t>7.</t>
  </si>
  <si>
    <t>8.</t>
  </si>
  <si>
    <t>Balance On</t>
  </si>
  <si>
    <t>16/20M Veh</t>
  </si>
  <si>
    <t>Tax Levy Excluding Debt Service</t>
  </si>
  <si>
    <r>
      <t xml:space="preserve">Total Valuation Adjustment </t>
    </r>
    <r>
      <rPr>
        <sz val="12"/>
        <rFont val="Times New Roman"/>
        <family val="1"/>
      </rPr>
      <t>(Sum of 4, 5c, and 6)</t>
    </r>
  </si>
  <si>
    <t>Increase in Personal Property (5a minus 5b)</t>
  </si>
  <si>
    <t>Amount of Increase (10 times 3)</t>
  </si>
  <si>
    <t>Factor for Increase (7 divided by 9)</t>
  </si>
  <si>
    <t>Total Valuation less Valuation Adjustment (8 minus 7)</t>
  </si>
  <si>
    <t>adopt a resolution to exceed this limit and attach a copy to this budget.</t>
  </si>
  <si>
    <t>13.</t>
  </si>
  <si>
    <t>14.</t>
  </si>
  <si>
    <t>Maximum Tax Levy, excluding debt service, without a Resolution (3 plus 11)</t>
  </si>
  <si>
    <t>Maximum levy, including debt service, without a Resolution (12 plus 13)</t>
  </si>
  <si>
    <t>Unencumbered Cash Balance Jan 1</t>
  </si>
  <si>
    <t>Unencumbered Cash Balance Dec 31</t>
  </si>
  <si>
    <t>Receipts:</t>
  </si>
  <si>
    <t xml:space="preserve">Enter information  in all areas that are green if they apply to the budget you are preparing. </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</si>
  <si>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</si>
  <si>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</si>
  <si>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</si>
  <si>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</si>
  <si>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</si>
  <si>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</si>
  <si>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</si>
  <si>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</si>
  <si>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</si>
  <si>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</si>
  <si>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</si>
  <si>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COUNTY RESOLUTION</t>
  </si>
  <si>
    <t>Whereas, budgeting, taxing and service level decisions for all county services are the responsibility of the board of county commissioners; and</t>
  </si>
  <si>
    <t>Whereas, the cost of provision of these services continues to increase; and</t>
  </si>
  <si>
    <t>BOARD OF COUNTY COMMISSIONERS</t>
  </si>
  <si>
    <t>ATTEST:</t>
  </si>
  <si>
    <t>, County Clerk</t>
  </si>
  <si>
    <t>(Attach a signed copy to the budget)</t>
  </si>
  <si>
    <t xml:space="preserve">                                                                          16/20M Vehicle Factor</t>
  </si>
  <si>
    <t xml:space="preserve">                                         Recreational Vehicle Factor</t>
  </si>
  <si>
    <t>Current</t>
  </si>
  <si>
    <t>Proposed</t>
  </si>
  <si>
    <t>Total - Page 7b</t>
  </si>
  <si>
    <t>Total - Page7c</t>
  </si>
  <si>
    <t>Total - Page7d</t>
  </si>
  <si>
    <t>Total - Page7b</t>
  </si>
  <si>
    <t>Total - Page 7c</t>
  </si>
  <si>
    <t>When the page numbers are changed on the fund pages, the Certificate page will also be changed.</t>
  </si>
  <si>
    <t>County Clerk's Use Only</t>
  </si>
  <si>
    <t>November 1st Valuation</t>
  </si>
  <si>
    <t>Address:</t>
  </si>
  <si>
    <t>County1 Spreadsheet Instructions</t>
  </si>
  <si>
    <t xml:space="preserve">Counties can use the county.xls or county1.xls files.   You must choose a form that meets the needs for the number of funds.  If you don't need all the funds, just leave the pages blank and number the completed pages sequentially. </t>
  </si>
  <si>
    <t>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</si>
  <si>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budget.</t>
  </si>
  <si>
    <t>Input sheet for County1 budget form</t>
  </si>
  <si>
    <t>Enter County Name followed by 'County'</t>
  </si>
  <si>
    <t>Enter year being budgeted (YYYY)</t>
  </si>
  <si>
    <t>Information comes from the Certificate, Page No. 1</t>
  </si>
  <si>
    <t>Fund Names for all funds with a tax levy:</t>
  </si>
  <si>
    <t>10-113</t>
  </si>
  <si>
    <t>Neighborhood Revitalization</t>
  </si>
  <si>
    <t>LAVTR</t>
  </si>
  <si>
    <t>City and County Revenue Sharing</t>
  </si>
  <si>
    <t>Computation of Delinquency</t>
  </si>
  <si>
    <r>
      <t>**</t>
    </r>
    <r>
      <rPr>
        <u val="single"/>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</si>
  <si>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</si>
  <si>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</si>
  <si>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</si>
  <si>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</si>
  <si>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</si>
  <si>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</si>
  <si>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</si>
  <si>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</si>
  <si>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</si>
  <si>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</si>
  <si>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t>The following were changed to this spreadsheet on 2/23/09</t>
  </si>
  <si>
    <t>1. Instruction under Submitting Budgets added 79-2926 requires electronic filing of the budget.</t>
  </si>
  <si>
    <t>2. Input other tab line 27 changed from Budget Summary to Budget Certificate.</t>
  </si>
  <si>
    <t xml:space="preserve">K.S.A. 79-2926 requires budgets be submitted by electronic means.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</si>
  <si>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</si>
  <si>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</si>
  <si>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Counties</t>
  </si>
  <si>
    <t>The following were changed to this spreadsheet on 9/23/09</t>
  </si>
  <si>
    <t>1. InputPrYr tab added C13 'If amended….'</t>
  </si>
  <si>
    <t>2.No levypage21 tab add conditional statement to cells c29, c30, and d29</t>
  </si>
  <si>
    <t>3. Added tab 'TransfersStatutes'</t>
  </si>
  <si>
    <t>4. Changed foot note to reflect the changes made on 7/1/08 to the above tabs.</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</si>
  <si>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</si>
  <si>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</si>
  <si>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12. Changed the Certificate page so the county name flows instead of having unneeded spaces.</t>
  </si>
  <si>
    <t>14. Delinquency rate for actual for 3 decimal and note that rate can be up to 5% over the actual rate.</t>
  </si>
  <si>
    <t>15. Computation to Determine Limit changed the note on bottom to include publish ordinance and attach the published ordinance to the budget.</t>
  </si>
  <si>
    <t>19. Budget Summary changed the sentence "will meet…" so the year automatically changes.</t>
  </si>
  <si>
    <t>26. Added warning "Exceeds 5%" on all fund pages for the non-appropriated balance.</t>
  </si>
  <si>
    <t>28. Added Neighborhood Revitalization expenditure block to each tax levy fund pages.</t>
  </si>
  <si>
    <t>Non-Budgeted Funds - Counties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</si>
  <si>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</si>
  <si>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</si>
  <si>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</si>
  <si>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</si>
  <si>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sz val="12"/>
        <color indexed="8"/>
        <rFont val="Times New Roman"/>
        <family val="1"/>
      </rPr>
      <t xml:space="preserve">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</si>
  <si>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</si>
  <si>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19-119.</t>
    </r>
    <r>
      <rPr>
        <sz val="12"/>
        <color indexed="8"/>
        <rFont val="Times New Roman"/>
        <family val="1"/>
      </rPr>
      <t xml:space="preserve">  </t>
    </r>
    <r>
      <rPr>
        <b/>
        <sz val="12"/>
        <color indexed="8"/>
        <rFont val="Times New Roman"/>
        <family val="1"/>
      </rPr>
      <t xml:space="preserve">County equipment reserve fund. </t>
    </r>
    <r>
      <rPr>
        <sz val="12"/>
        <color indexed="8"/>
        <rFont val="Times New Roman"/>
        <family val="1"/>
      </rPr>
      <t xml:space="preserve"> Provides for the creation of a county equipment reserve fund to finance the acquisition of equipment.</t>
    </r>
  </si>
  <si>
    <r>
      <t xml:space="preserve">K.S.A. </t>
    </r>
    <r>
      <rPr>
        <b/>
        <sz val="12"/>
        <color indexed="8"/>
        <rFont val="Times New Roman"/>
        <family val="1"/>
      </rPr>
      <t>19-120.</t>
    </r>
    <r>
      <rPr>
        <sz val="12"/>
        <color indexed="8"/>
        <rFont val="Times New Roman"/>
        <family val="1"/>
      </rPr>
      <t xml:space="preserve">  </t>
    </r>
    <r>
      <rPr>
        <b/>
        <sz val="12"/>
        <color indexed="8"/>
        <rFont val="Times New Roman"/>
        <family val="1"/>
      </rPr>
      <t>Multi-year capital improvement fund.</t>
    </r>
    <r>
      <rPr>
        <sz val="12"/>
        <color indexed="8"/>
        <rFont val="Times New Roman"/>
        <family val="1"/>
      </rPr>
      <t xml:space="preserve">  (a)  The commissioners of any county with a multi-year capital improvement plan may establish a capital improvements fund.</t>
    </r>
  </si>
  <si>
    <r>
      <t xml:space="preserve">K.S.A. </t>
    </r>
    <r>
      <rPr>
        <b/>
        <sz val="12"/>
        <color indexed="8"/>
        <rFont val="Times New Roman"/>
        <family val="1"/>
      </rPr>
      <t>19-15,136.</t>
    </r>
    <r>
      <rPr>
        <sz val="12"/>
        <color indexed="8"/>
        <rFont val="Times New Roman"/>
        <family val="1"/>
      </rPr>
      <t xml:space="preserve">  </t>
    </r>
    <r>
      <rPr>
        <b/>
        <sz val="12"/>
        <color indexed="8"/>
        <rFont val="Times New Roman"/>
        <family val="1"/>
      </rPr>
      <t>Special building fund.</t>
    </r>
    <r>
      <rPr>
        <sz val="12"/>
        <color indexed="8"/>
        <rFont val="Times New Roman"/>
        <family val="1"/>
      </rPr>
      <t xml:space="preserve">  County commissioners may create a special building fund to act as the repository of proceeds from the sale of county home or farm property</t>
    </r>
  </si>
  <si>
    <r>
      <t xml:space="preserve">K.S.A. </t>
    </r>
    <r>
      <rPr>
        <b/>
        <sz val="12"/>
        <color indexed="8"/>
        <rFont val="Times New Roman"/>
        <family val="1"/>
      </rPr>
      <t>19-2120.</t>
    </r>
    <r>
      <rPr>
        <sz val="12"/>
        <color indexed="8"/>
        <rFont val="Times New Roman"/>
        <family val="1"/>
      </rPr>
      <t xml:space="preserve">  </t>
    </r>
    <r>
      <rPr>
        <b/>
        <sz val="12"/>
        <color indexed="8"/>
        <rFont val="Times New Roman"/>
        <family val="1"/>
      </rPr>
      <t>County home improvement fund in certain counties.</t>
    </r>
    <r>
      <rPr>
        <sz val="12"/>
        <color indexed="8"/>
        <rFont val="Times New Roman"/>
        <family val="1"/>
      </rPr>
      <t xml:space="preserve">  County commissioners in counties having a population of less than 3,000, or any county having a population of more than 5,400 and not more than 6,000 and an assessed tangible valuation of not less than $25,000,000 and not more than $35,000,000, owning a county home for the aged, shall place proceeds from its renting, leasing or letting into a county home improvement fund.</t>
    </r>
  </si>
  <si>
    <r>
      <t xml:space="preserve">[per </t>
    </r>
    <r>
      <rPr>
        <b/>
        <sz val="12"/>
        <rFont val="Times New Roman"/>
        <family val="1"/>
      </rPr>
      <t xml:space="preserve">K.S.A. </t>
    </r>
    <r>
      <rPr>
        <b/>
        <sz val="11"/>
        <color indexed="8"/>
        <rFont val="Arial"/>
        <family val="2"/>
      </rPr>
      <t>19-2121,</t>
    </r>
    <r>
      <rPr>
        <sz val="11"/>
        <color indexed="8"/>
        <rFont val="Arial"/>
        <family val="2"/>
      </rPr>
      <t xml:space="preserve"> such county home improvement fund shall not be subject to the provisions of K.S.A. 79-2925 to 79-2941 . . . .]</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</si>
  <si>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</si>
  <si>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</si>
  <si>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68-559a.</t>
    </r>
    <r>
      <rPr>
        <sz val="12"/>
        <color indexed="8"/>
        <rFont val="Times New Roman"/>
        <family val="1"/>
      </rPr>
      <t xml:space="preserve">   </t>
    </r>
    <r>
      <rPr>
        <b/>
        <sz val="12"/>
        <color indexed="8"/>
        <rFont val="Times New Roman"/>
        <family val="1"/>
      </rPr>
      <t>Special road and bridge fund.</t>
    </r>
    <r>
      <rPr>
        <sz val="12"/>
        <color indexed="8"/>
        <rFont val="Times New Roman"/>
        <family val="1"/>
      </rPr>
      <t xml:space="preserve">  Authorizes the creation of a special road and bridge fund and for funding of such through levy of an annual property tax of not to exceed two mills.</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</si>
  <si>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</si>
  <si>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</si>
  <si>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79-1482.</t>
    </r>
    <r>
      <rPr>
        <sz val="12"/>
        <color indexed="8"/>
        <rFont val="Times New Roman"/>
        <family val="1"/>
      </rPr>
      <t xml:space="preserve">  </t>
    </r>
    <r>
      <rPr>
        <b/>
        <sz val="12"/>
        <color indexed="8"/>
        <rFont val="Times New Roman"/>
        <family val="1"/>
      </rPr>
      <t>Special countywide reappraisal fund.</t>
    </r>
    <r>
      <rPr>
        <sz val="12"/>
        <color indexed="8"/>
        <rFont val="Times New Roman"/>
        <family val="1"/>
      </rPr>
      <t xml:space="preserve">  Counties may levy taxes and place the proceeds in a special countywide reappraisal fund to be used to pay costs associated with countywide reappraisal.</t>
    </r>
  </si>
  <si>
    <r>
      <t xml:space="preserve">K.S.A. </t>
    </r>
    <r>
      <rPr>
        <b/>
        <sz val="12"/>
        <color indexed="8"/>
        <rFont val="Times New Roman"/>
        <family val="1"/>
      </rPr>
      <t>79-1608.</t>
    </r>
    <r>
      <rPr>
        <sz val="12"/>
        <color indexed="8"/>
        <rFont val="Times New Roman"/>
        <family val="1"/>
      </rPr>
      <t xml:space="preserve">  </t>
    </r>
    <r>
      <rPr>
        <b/>
        <sz val="12"/>
        <color indexed="8"/>
        <rFont val="Times New Roman"/>
        <family val="1"/>
      </rPr>
      <t>Special appraisal fund.</t>
    </r>
    <r>
      <rPr>
        <sz val="12"/>
        <color indexed="8"/>
        <rFont val="Times New Roman"/>
        <family val="1"/>
      </rPr>
      <t xml:space="preserve">  Counties may create a special appraisal fund to be used for the purpose of assuring that all property in the county is classified and appraised according to law and for employment of or contracting for appraisal assistance, hearing officers or panels and arbitrators.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</si>
  <si>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</si>
  <si>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Counties may create non-budgeted funds for any gifts or bequests, and, for the operation of a county coliseum.</t>
    </r>
  </si>
  <si>
    <t>5. Added tab 'NonBudFunds'</t>
  </si>
  <si>
    <t>4. Added tabs A to E for possible violation</t>
  </si>
  <si>
    <t>6. Instructions tab changed cells 9g - j for changes for possible violations on fund pages</t>
  </si>
  <si>
    <t xml:space="preserve">8.  Instructions tab added line 6b to inform about TransferStatutes tab
</t>
  </si>
  <si>
    <t>7. Deleted on all fund pages the 'Yes' and 'No' and replace with see tab for possible violations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</si>
  <si>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</si>
  <si>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</si>
  <si>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12-196</t>
    </r>
    <r>
      <rPr>
        <sz val="12"/>
        <rFont val="Times New Roman"/>
        <family val="1"/>
      </rPr>
      <t xml:space="preserve">. </t>
    </r>
    <r>
      <rPr>
        <sz val="12"/>
        <color indexed="8"/>
        <rFont val="Times New Roman"/>
        <family val="1"/>
      </rPr>
      <t xml:space="preserve"> </t>
    </r>
    <r>
      <rPr>
        <b/>
        <sz val="12"/>
        <color indexed="8"/>
        <rFont val="Times New Roman"/>
        <family val="1"/>
      </rPr>
      <t>Transfer of sales tax proceeds.</t>
    </r>
    <r>
      <rPr>
        <sz val="12"/>
        <color indexed="8"/>
        <rFont val="Times New Roman"/>
        <family val="1"/>
      </rPr>
      <t xml:space="preserve">  The board of county commissioners may transfer any portion of the revenue received pursuant to K.S.A. 12-192 [countywide retailers sales tax] from the county general fund to the county road and bridge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</si>
  <si>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</si>
  <si>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</si>
  <si>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</si>
  <si>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 xml:space="preserve">.  </t>
    </r>
    <r>
      <rPr>
        <b/>
        <sz val="12"/>
        <color indexed="8"/>
        <rFont val="Times New Roman"/>
        <family val="1"/>
      </rPr>
      <t>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</si>
  <si>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K.S.A. 19-119</t>
    </r>
    <r>
      <rPr>
        <sz val="12"/>
        <rFont val="Times New Roman"/>
        <family val="1"/>
      </rPr>
      <t>.</t>
    </r>
    <r>
      <rPr>
        <b/>
        <sz val="12"/>
        <rFont val="Times New Roman"/>
        <family val="1"/>
      </rPr>
      <t xml:space="preserve">  Transfer to equipment reserve fund.</t>
    </r>
    <r>
      <rPr>
        <sz val="12"/>
        <rFont val="Times New Roman"/>
        <family val="1"/>
      </rPr>
      <t xml:space="preserve">  </t>
    </r>
    <r>
      <rPr>
        <sz val="12"/>
        <color indexed="8"/>
        <rFont val="Times New Roman"/>
        <family val="1"/>
      </rPr>
      <t>Moneys may be budgeted and transferred to an equipment reserve fund from any source which may be lawfully utilized for such purposes.</t>
    </r>
  </si>
  <si>
    <r>
      <t>K.S.A. 19-120</t>
    </r>
    <r>
      <rPr>
        <sz val="12"/>
        <color indexed="8"/>
        <rFont val="Times New Roman"/>
        <family val="1"/>
      </rPr>
      <t>.</t>
    </r>
    <r>
      <rPr>
        <b/>
        <sz val="12"/>
        <color indexed="8"/>
        <rFont val="Times New Roman"/>
        <family val="1"/>
      </rPr>
      <t xml:space="preserve">  Transfer to capital improvements fund.</t>
    </r>
    <r>
      <rPr>
        <sz val="12"/>
        <color indexed="8"/>
        <rFont val="Times New Roman"/>
        <family val="1"/>
      </rPr>
      <t xml:space="preserve">  Authorizes the budgeted transfer of moneys from other funds lawfully available for improvement purposes to the capital improvements fund, including moneys in the general fund.</t>
    </r>
  </si>
  <si>
    <r>
      <t xml:space="preserve">K.S.A. </t>
    </r>
    <r>
      <rPr>
        <b/>
        <sz val="12"/>
        <color indexed="8"/>
        <rFont val="Times New Roman"/>
        <family val="1"/>
      </rPr>
      <t>44-505b</t>
    </r>
    <r>
      <rPr>
        <sz val="12"/>
        <color indexed="8"/>
        <rFont val="Times New Roman"/>
        <family val="1"/>
      </rPr>
      <t xml:space="preserve">.  </t>
    </r>
    <r>
      <rPr>
        <b/>
        <sz val="12"/>
        <color indexed="8"/>
        <rFont val="Times New Roman"/>
        <family val="1"/>
      </rPr>
      <t>Transfer to worker’s compensation reserve fund.</t>
    </r>
    <r>
      <rPr>
        <sz val="12"/>
        <color indexed="8"/>
        <rFont val="Times New Roman"/>
        <family val="1"/>
      </rPr>
      <t xml:space="preserve">  Where a county chooses to act as a self-insurer under the worker’s compensation act it is authorized it is authorized to make transfers to a worker’s compensation reserve fund at any time by transfer of money from the road and bridge fund of said county in such amount as the board deems necessary.</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</si>
  <si>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</si>
  <si>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</si>
  <si>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</si>
  <si>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NonBud tab changed Net valuation to July 1</t>
  </si>
  <si>
    <t>Valuation Factor:</t>
  </si>
  <si>
    <t>Neighborhood Revitalization Subj to Rebate:</t>
  </si>
  <si>
    <t>Neighborhood Revitalization factor:</t>
  </si>
  <si>
    <t>10.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</si>
  <si>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</si>
  <si>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</si>
  <si>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</si>
  <si>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</si>
  <si>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</si>
  <si>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</si>
  <si>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</si>
  <si>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</si>
  <si>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</si>
  <si>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</si>
  <si>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</si>
  <si>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</si>
  <si>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</si>
  <si>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</si>
  <si>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</si>
  <si>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</si>
  <si>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</si>
  <si>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</si>
  <si>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</si>
  <si>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</si>
  <si>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</si>
  <si>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</si>
  <si>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</si>
  <si>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</si>
  <si>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</si>
  <si>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</si>
  <si>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</si>
  <si>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</si>
  <si>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</si>
  <si>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</si>
  <si>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</si>
  <si>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</si>
  <si>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</si>
  <si>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</si>
  <si>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 &amp; bridge</t>
  </si>
  <si>
    <t xml:space="preserve">and noxious weed funds may split contractual services between the two </t>
  </si>
  <si>
    <t xml:space="preserve">funds.  If one of those funds is in trouble, you might be able to </t>
  </si>
  <si>
    <t xml:space="preserve">allocate a little more in contractual services to the healthy fund in </t>
  </si>
  <si>
    <t>order to 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</si>
  <si>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</si>
  <si>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</si>
  <si>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</si>
  <si>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</si>
  <si>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</si>
  <si>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</si>
  <si>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</si>
  <si>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</si>
  <si>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</si>
  <si>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</si>
  <si>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</si>
  <si>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</si>
  <si>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</si>
  <si>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</si>
  <si>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</si>
  <si>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</si>
  <si>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</si>
  <si>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</si>
  <si>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</si>
  <si>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</si>
  <si>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</si>
  <si>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</si>
  <si>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</si>
  <si>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</si>
  <si>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</si>
  <si>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</si>
  <si>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</si>
  <si>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</si>
  <si>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</si>
  <si>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</si>
  <si>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</si>
  <si>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</si>
  <si>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</si>
  <si>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</si>
  <si>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</si>
  <si>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</si>
  <si>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</si>
  <si>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</si>
  <si>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</si>
  <si>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</si>
  <si>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</si>
  <si>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</si>
  <si>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</si>
  <si>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</si>
  <si>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</si>
  <si>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</si>
  <si>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</si>
  <si>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</si>
  <si>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</si>
  <si>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</si>
  <si>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</si>
  <si>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</si>
  <si>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</si>
  <si>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</si>
  <si>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</si>
  <si>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</si>
  <si>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</si>
  <si>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</si>
  <si>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</si>
  <si>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</si>
  <si>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</si>
  <si>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</si>
  <si>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</si>
  <si>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</si>
  <si>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</si>
  <si>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</si>
  <si>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</si>
  <si>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</si>
  <si>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</si>
  <si>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</si>
  <si>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</si>
  <si>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</si>
  <si>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</si>
  <si>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</si>
  <si>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</si>
  <si>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</si>
  <si>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</si>
  <si>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</si>
  <si>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</si>
  <si>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</si>
  <si>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</si>
  <si>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</si>
  <si>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</si>
  <si>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</si>
  <si>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</si>
  <si>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</si>
  <si>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</si>
  <si>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</si>
  <si>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</si>
  <si>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</si>
  <si>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</si>
  <si>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</si>
  <si>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</si>
  <si>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</si>
  <si>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</si>
  <si>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</si>
  <si>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</si>
  <si>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</si>
  <si>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</si>
  <si>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</si>
  <si>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</si>
  <si>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</si>
  <si>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</si>
  <si>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</si>
  <si>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</si>
  <si>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</si>
  <si>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</si>
  <si>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 xml:space="preserve">funds.  If one of those funds is in trouble you might be able to </t>
  </si>
  <si>
    <t>order to 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</si>
  <si>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</si>
  <si>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</si>
  <si>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</si>
  <si>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</si>
  <si>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</si>
  <si>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</si>
  <si>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</si>
  <si>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</si>
  <si>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</si>
  <si>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</si>
  <si>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</si>
  <si>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</si>
  <si>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</si>
  <si>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</si>
  <si>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</si>
  <si>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</si>
  <si>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</si>
  <si>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</si>
  <si>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</si>
  <si>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</si>
  <si>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</si>
  <si>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</si>
  <si>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</si>
  <si>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</si>
  <si>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</si>
  <si>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</si>
  <si>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</si>
  <si>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</si>
  <si>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</si>
  <si>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</si>
  <si>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</si>
  <si>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</si>
  <si>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</si>
  <si>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</si>
  <si>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</si>
  <si>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</si>
  <si>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</si>
  <si>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</si>
  <si>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</si>
  <si>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</si>
  <si>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</si>
  <si>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</si>
  <si>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</si>
  <si>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</si>
  <si>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</si>
  <si>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</si>
  <si>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</si>
  <si>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</si>
  <si>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</si>
  <si>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</si>
  <si>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</si>
  <si>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</si>
  <si>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</si>
  <si>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</si>
  <si>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</si>
  <si>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</si>
  <si>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</si>
  <si>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</si>
  <si>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</si>
  <si>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</si>
  <si>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</si>
  <si>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</si>
  <si>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</si>
  <si>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</si>
  <si>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</si>
  <si>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</si>
  <si>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</si>
  <si>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</si>
  <si>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</si>
  <si>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</si>
  <si>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</si>
  <si>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</si>
  <si>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</si>
  <si>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Submitting the Budget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</si>
  <si>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</si>
  <si>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</si>
  <si>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</si>
  <si>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</si>
  <si>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</si>
  <si>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4c. The Certificate(2) (cert2) and Budget Summary (summ2) are used when the County Clerk has special districts that are to be submitted along with the County's budget.</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</si>
  <si>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</si>
  <si>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</si>
  <si>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r>
      <t xml:space="preserve">5b. Print the Resolution page (resolution) if the max levy is exceeded.  Complete the printed resolution and ensure to attached it the budget. </t>
    </r>
    <r>
      <rPr>
        <b/>
        <sz val="12"/>
        <rFont val="Times New Roman"/>
        <family val="1"/>
      </rPr>
      <t>Ensure to number the page</t>
    </r>
    <r>
      <rPr>
        <sz val="12"/>
        <rFont val="Times New Roman"/>
        <family val="1"/>
      </rPr>
      <t>.</t>
    </r>
  </si>
  <si>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</si>
  <si>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on the Budget Summary. </t>
    </r>
    <r>
      <rPr>
        <b/>
        <sz val="12"/>
        <rFont val="Times New Roman"/>
        <family val="1"/>
      </rPr>
      <t>If the county does not have any debt, then on the first line enter 'none'.</t>
    </r>
  </si>
  <si>
    <r>
      <t xml:space="preserve">9.  Statement of Conditional Lease, Lease-Purchases and Certificate of Participation (lpform) must be completed for all transactions which at the end of the lease period the lease is owned by the county.  Principal Balance Due for the actual year is linked on the Budget Summary page. </t>
    </r>
    <r>
      <rPr>
        <b/>
        <sz val="12"/>
        <rFont val="Times New Roman"/>
        <family val="1"/>
      </rPr>
      <t>If the county does not have any leases, then on the first line enter 'none'.</t>
    </r>
  </si>
  <si>
    <t>10.  The spreadsheet has individual fund sheets for General Fund (general), Debt Service (DebtService), Road &amp; Bridge, 22 levy pages (levy page10 and levy page20), 10 no levy fund pages (nolevypage21 to nolevypage28), and 4 non-budgeted tab which allows for 20 non-budgeted funds.  Only complete the fund pages needed.  When the fund pages are completed, the totals will be linked to the Certificate and Budget Summary pages.</t>
  </si>
  <si>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</si>
  <si>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approximately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</si>
  <si>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</si>
  <si>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</si>
  <si>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</si>
  <si>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please review the entire document and verify that all amounts are correct.  In addition, the Certificate Page needs to be signed by at least one member of the governing body (signatures of the entire governing body is preferred, but not mandatory). </t>
  </si>
  <si>
    <t>answering objections of taxpayers relating to the proposed use of all funds and the amount of ad valorem tax.</t>
  </si>
  <si>
    <t>the Neighborhood Revitalization Rebate table.</t>
  </si>
  <si>
    <t>The following were changed to this spreadsheet on 12/28/09</t>
  </si>
  <si>
    <t>7c.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</si>
  <si>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</si>
  <si>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</si>
  <si>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</si>
  <si>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</si>
  <si>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</si>
  <si>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</si>
  <si>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</si>
  <si>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</si>
  <si>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</si>
  <si>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</si>
  <si>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</si>
  <si>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</si>
  <si>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</si>
  <si>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in the appropriate locations.  If any of the numbers are wrong, change them on this input sheet.</t>
  </si>
  <si>
    <t xml:space="preserve">Enter the following information from the sources shown.  This information will be  entered on the budget forms </t>
  </si>
  <si>
    <t>The following were changed to this spreadsheet on 6/29/10</t>
  </si>
  <si>
    <t>1. Road tab, changed the delinquency % cell reference from E23 to E24</t>
  </si>
  <si>
    <t>Budget Authority</t>
  </si>
  <si>
    <t>for Expenditures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</si>
  <si>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</si>
  <si>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 xml:space="preserve">K.S.A. 8-145.  </t>
    </r>
    <r>
      <rPr>
        <b/>
        <sz val="12"/>
        <color indexed="8"/>
        <rFont val="Times New Roman"/>
        <family val="1"/>
      </rPr>
      <t>Transfer to general fund from special motor vehicle fund.</t>
    </r>
    <r>
      <rPr>
        <sz val="12"/>
        <color indexed="8"/>
        <rFont val="Times New Roman"/>
        <family val="1"/>
      </rPr>
      <t xml:space="preserve">  Any balance remaining in the special motor vehicle fund at the close of any calendar year shall be withdrawn and credited to the general fund of the county prior to June 1 of the following calendar year.</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</si>
  <si>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</si>
  <si>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1"/>
        <color indexed="8"/>
        <rFont val="Times New Roman"/>
        <family val="1"/>
      </rPr>
      <t>19-2661.</t>
    </r>
    <r>
      <rPr>
        <sz val="11"/>
        <color indexed="8"/>
        <rFont val="Times New Roman"/>
        <family val="1"/>
      </rPr>
      <t xml:space="preserve">  </t>
    </r>
    <r>
      <rPr>
        <b/>
        <sz val="11"/>
        <color indexed="8"/>
        <rFont val="Times New Roman"/>
        <family val="1"/>
      </rPr>
      <t>Transfer to refuse disposal sinking (debt service) fund.</t>
    </r>
    <r>
      <rPr>
        <sz val="11"/>
        <color indexed="8"/>
        <rFont val="Times New Roman"/>
        <family val="1"/>
      </rPr>
      <t xml:space="preserve">  Authorizes the transfer of surplus money from the refuse disposal fund to a refuse disposal debt service fund.</t>
    </r>
  </si>
  <si>
    <t>Does miscellaneous exceed 10% of Total Exp</t>
  </si>
  <si>
    <t>Does miscellaneous exceed 10% of Total Rec</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</si>
  <si>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</si>
  <si>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</si>
  <si>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</si>
  <si>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</si>
  <si>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</si>
  <si>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</si>
  <si>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</si>
  <si>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</si>
  <si>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</si>
  <si>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The following were changed to this spreadsheet on 9/23/10</t>
  </si>
  <si>
    <t>1. All pages removed the revision date</t>
  </si>
  <si>
    <t>2. All tax levy fund pages reduced the columns and revised the bottom of pages for see tabs</t>
  </si>
  <si>
    <t>3. Instruction tab added 10a,b and f, 12 b and c, and 14</t>
  </si>
  <si>
    <t>4. Certificate and Certificate2 tab change the 'Expenditure' heading by adding  'Budget Authority for Expenditures'</t>
  </si>
  <si>
    <t>5. Certificate tab add the year in the block for 'County Clerk Use Only'</t>
  </si>
  <si>
    <t>6. Gen tab added revenue line for 'Compensation Use'</t>
  </si>
  <si>
    <t>7. Gen tab added table for 'Projection of Cash Carryover'</t>
  </si>
  <si>
    <t>8. Gen tab added table for 'Desired Carryover'</t>
  </si>
  <si>
    <t>9. Gen tab redefine print que to not include tables</t>
  </si>
  <si>
    <t>10. Gen tab hid the comp for see tabs</t>
  </si>
  <si>
    <t>11. DebtService tab added table for 'Projected Carryover'</t>
  </si>
  <si>
    <t>12. Road tab added table for 'Projected Carryover'</t>
  </si>
  <si>
    <t>13. DebtService and Road tab redefine print que and hid comp for see tabs</t>
  </si>
  <si>
    <t>14. Levy page10 and page20 tab hid comp for see tabs</t>
  </si>
  <si>
    <t>15. Summ and Summ2 tab changed proposed year expenditure column to 'Budget Authority (Includes Carryover)</t>
  </si>
  <si>
    <t>16. Summ tab added four tables to the right of the form</t>
  </si>
  <si>
    <t>17. Revised TransferStatutes and NonBudFunds tabs</t>
  </si>
  <si>
    <t>18. Added Mill Rate Computation tab</t>
  </si>
  <si>
    <t>19. Add Helpful Links tab</t>
  </si>
  <si>
    <t>20. Inputoth tab changed Actual Delinquency tax from -2 to -3</t>
  </si>
  <si>
    <t>21. Summ2 added year to Estimate Valuation column</t>
  </si>
  <si>
    <t>22. Added page no. to all tabs at the bottom of each page</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</si>
  <si>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</si>
  <si>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</si>
  <si>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</si>
  <si>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</si>
  <si>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</si>
  <si>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</si>
  <si>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</si>
  <si>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</si>
  <si>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</si>
  <si>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</si>
  <si>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</si>
  <si>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</si>
  <si>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</si>
  <si>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</si>
  <si>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</si>
  <si>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</si>
  <si>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</si>
  <si>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</si>
  <si>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</si>
  <si>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</si>
  <si>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</si>
  <si>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</si>
  <si>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</si>
  <si>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</si>
  <si>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</si>
  <si>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</si>
  <si>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</si>
  <si>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</si>
  <si>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</si>
  <si>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</si>
  <si>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</si>
  <si>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</si>
  <si>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</si>
  <si>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</si>
  <si>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</si>
  <si>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</si>
  <si>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</si>
  <si>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</si>
  <si>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</si>
  <si>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</si>
  <si>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</si>
  <si>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</si>
  <si>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</si>
  <si>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</si>
  <si>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</si>
  <si>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</si>
  <si>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</si>
  <si>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</si>
  <si>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</si>
  <si>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</si>
  <si>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</si>
  <si>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</si>
  <si>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</si>
  <si>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</si>
  <si>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</si>
  <si>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</si>
  <si>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</si>
  <si>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</si>
  <si>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</si>
  <si>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</si>
  <si>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</si>
  <si>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</si>
  <si>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</si>
  <si>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</si>
  <si>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</si>
  <si>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</si>
  <si>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</si>
  <si>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</si>
  <si>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</si>
  <si>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</si>
  <si>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</si>
  <si>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</si>
  <si>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</si>
  <si>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</si>
  <si>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</si>
  <si>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</si>
  <si>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28-115a.</t>
    </r>
    <r>
      <rPr>
        <sz val="12"/>
        <color indexed="8"/>
        <rFont val="Times New Roman"/>
        <family val="1"/>
      </rPr>
      <t xml:space="preserve">  </t>
    </r>
    <r>
      <rPr>
        <b/>
        <sz val="12"/>
        <color indexed="8"/>
        <rFont val="Times New Roman"/>
        <family val="1"/>
      </rPr>
      <t>Register of deeds technology fund.</t>
    </r>
    <r>
      <rPr>
        <sz val="12"/>
        <color indexed="8"/>
        <rFont val="Times New Roman"/>
        <family val="1"/>
      </rPr>
      <t xml:space="preserve">  Moneys in the fund (certain additional recording fees collected pursuant to K.S.A. 28-115(b)) shall be used by the register of deeds to acquire equipment and technological services for the storing, recording, archiving, retrieving, maintaining, and handling of data recorded or stored in the office of the register of deeds.</t>
    </r>
  </si>
  <si>
    <r>
      <t xml:space="preserve">K.S.A. </t>
    </r>
    <r>
      <rPr>
        <b/>
        <sz val="12"/>
        <color indexed="8"/>
        <rFont val="Times New Roman"/>
        <family val="1"/>
      </rPr>
      <t>68-1135.</t>
    </r>
    <r>
      <rPr>
        <sz val="12"/>
        <color indexed="8"/>
        <rFont val="Times New Roman"/>
        <family val="1"/>
      </rPr>
      <t xml:space="preserve">  </t>
    </r>
    <r>
      <rPr>
        <b/>
        <sz val="12"/>
        <color indexed="8"/>
        <rFont val="Times New Roman"/>
        <family val="1"/>
      </rPr>
      <t>Special bridge and culvert fund.</t>
    </r>
    <r>
      <rPr>
        <sz val="12"/>
        <color indexed="8"/>
        <rFont val="Times New Roman"/>
        <family val="1"/>
      </rPr>
      <t xml:space="preserve">  Counties are authorized to levy taxes for the purpose of creating and providing a special fund to be used in building and reconstructing bridges and culverts and constructing the approaches thereto or to be used in repaying loans or advances received from the highway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</si>
  <si>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pages . </t>
    </r>
  </si>
  <si>
    <t xml:space="preserve">2. The information entered into the Input Other (inputOth) worksheet is obtained from the County Clerk, County Treasurer, and the budget from two years ago(the year for actual year column for the current budget).  After the information has been entered, please verify the data is correct. </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</si>
  <si>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</si>
  <si>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</si>
  <si>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</si>
  <si>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</si>
  <si>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</si>
  <si>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</si>
  <si>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</si>
  <si>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</si>
  <si>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</si>
  <si>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</si>
  <si>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</si>
  <si>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</si>
  <si>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The following were changed to this spreadsheet on 4/19/11</t>
  </si>
  <si>
    <t>1. Summ tabs changed proposed year expenditure column to 'Budget Authority for Expenditures'</t>
  </si>
  <si>
    <r>
      <t xml:space="preserve">K.S.A. 65-204.  Transfer to County Health Capital Outlay Fund from County Health Fund.  </t>
    </r>
    <r>
      <rPr>
        <sz val="12"/>
        <rFont val="Times New Roman"/>
        <family val="1"/>
      </rPr>
      <t>Any moneys remaining in the county health fund at the end of any county fiscal year for which a levy is made under this section may be transferred to the county health capital outlay fund, which is hereby created, for the making of capital expenditures incident to county health purposes.</t>
    </r>
  </si>
  <si>
    <t>Type</t>
  </si>
  <si>
    <t xml:space="preserve"> Debt</t>
  </si>
  <si>
    <t xml:space="preserve"> Purchased</t>
  </si>
  <si>
    <t>Items</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</si>
  <si>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</si>
  <si>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</si>
  <si>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</si>
  <si>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</si>
  <si>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</si>
  <si>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</si>
  <si>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Clerk Name:</t>
  </si>
  <si>
    <t>Must be at least 10 days between date published and hearing held.</t>
  </si>
  <si>
    <t>January</t>
  </si>
  <si>
    <t>February</t>
  </si>
  <si>
    <t>March</t>
  </si>
  <si>
    <t>April</t>
  </si>
  <si>
    <t>May</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</si>
  <si>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</si>
  <si>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</si>
  <si>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</si>
  <si>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</si>
  <si>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</si>
  <si>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</si>
  <si>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</si>
  <si>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</si>
  <si>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</si>
  <si>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</si>
  <si>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 16/20M Vehicle Taxes </t>
  </si>
  <si>
    <t>Budgeted Funds</t>
  </si>
  <si>
    <t>Expenditures Must Be Changed by:</t>
  </si>
  <si>
    <t>Mill Rate Comparison</t>
  </si>
  <si>
    <t xml:space="preserve">Prior Year </t>
  </si>
  <si>
    <t xml:space="preserve">Current Year </t>
  </si>
  <si>
    <t xml:space="preserve">Proposed Budget </t>
  </si>
  <si>
    <t>Allocation of Vehicle Taxes</t>
  </si>
  <si>
    <t>3b. Once a date has been entered in the Date block, the following statement will appear: 'Latest date for notice to be published in your newspaper'.  Please ensure to take into consideration as to when your newspaper is published when arriving at the hearing date.</t>
  </si>
  <si>
    <t>6.  Motor Vehicle Allocation(mvalloc) are completed from information entered on the input pages (inputpryr and inputoth).  Once calculated, the tables information are linked to the applicable fund pages. If the information is not correct, please do not change the tables, but rather correct the information on the input pages.</t>
  </si>
  <si>
    <r>
      <t>10a.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</si>
  <si>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10b.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</si>
  <si>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10c.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</si>
  <si>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</si>
  <si>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</si>
  <si>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county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county has No Fund warrants, these can be included in the Debt Service fund page and levy taxes for this debt. </t>
    </r>
    <r>
      <rPr>
        <b/>
        <sz val="12"/>
        <rFont val="Times New Roman"/>
        <family val="1"/>
      </rPr>
      <t>Note</t>
    </r>
    <r>
      <rPr>
        <sz val="12"/>
        <rFont val="Times New Roman"/>
        <family val="1"/>
      </rPr>
      <t xml:space="preserve">, No Fund warrants </t>
    </r>
    <r>
      <rPr>
        <u val="single"/>
        <sz val="12"/>
        <rFont val="Times New Roman"/>
        <family val="1"/>
      </rPr>
      <t>are not required</t>
    </r>
    <r>
      <rPr>
        <sz val="12"/>
        <rFont val="Times New Roman"/>
        <family val="1"/>
      </rPr>
      <t xml:space="preserve"> to be included in the Debt Service and may still have a No Fund page to account for them if the county desires.  </t>
    </r>
  </si>
  <si>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</si>
  <si>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10h. The 4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</si>
  <si>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</si>
  <si>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county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turns red.  In order to remove this warning message, you must reduce the non-appropriate figure.</t>
    </r>
  </si>
  <si>
    <t xml:space="preserve">10k. Each fund after the "unencumbered cash bal dec31", will show the budget authority expenditure amount for the actual and current year. </t>
  </si>
  <si>
    <r>
      <t>10l. For tax levy or no tax levy fund pages,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See Tab A</t>
    </r>
    <r>
      <rPr>
        <sz val="12"/>
        <rFont val="Times New Roman"/>
        <family val="1"/>
      </rPr>
      <t>' appears to indicate a possible violation and the expenditure blocks turns red.  Another comparison is made for the unencumbered cash balance dec 31 to determine if the fund ended with a negative cash balance and if so, then a '</t>
    </r>
    <r>
      <rPr>
        <sz val="12"/>
        <color indexed="10"/>
        <rFont val="Times New Roman"/>
        <family val="1"/>
      </rPr>
      <t>See Tab B</t>
    </r>
    <r>
      <rPr>
        <sz val="12"/>
        <rFont val="Times New Roman"/>
        <family val="1"/>
      </rPr>
      <t xml:space="preserve">' will appear for the violation and the unencumbered cash block turns red. </t>
    </r>
  </si>
  <si>
    <r>
      <t>10m. For tax levy or no tax levy fund pages, a comparison is maybe between the budget authority for the current year and total expenditures for the current budget expenditures as shown in the budget. If the current year adjusted expenditures are more than the budget authority, then a possible violation has occurred and red '</t>
    </r>
    <r>
      <rPr>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sz val="12"/>
        <color indexed="10"/>
        <rFont val="Times New Roman"/>
        <family val="1"/>
      </rPr>
      <t>See Tab D</t>
    </r>
    <r>
      <rPr>
        <sz val="12"/>
        <rFont val="Times New Roman"/>
        <family val="1"/>
      </rPr>
      <t>' will appear for the possible violation and the unencumbered cash block turns red.</t>
    </r>
  </si>
  <si>
    <r>
      <t>10n.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</si>
  <si>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</si>
  <si>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</si>
  <si>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</si>
  <si>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</si>
  <si>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The following were changed to this spreadsheet on 12/23/11</t>
  </si>
  <si>
    <t>5. Instructions tab, changed #11b to reflect all tax levy pages with 'Projected Carryover' table</t>
  </si>
  <si>
    <t>6. Instructions tab, changed #11c to reflect all tax levy pages with 'Desired Carryover' and warning about delinquency rate</t>
  </si>
  <si>
    <t>7. Instructions tab, added #11d for last year mill rate, proposed total mill rate, and last year total mill rate</t>
  </si>
  <si>
    <t>8. Instructions tab, changed #12b added name of official</t>
  </si>
  <si>
    <t>9. Instructions tab, added #12c for computation of one mill</t>
  </si>
  <si>
    <t>10. Instructions tab, changed #12d added the name of the tables and warning about delinquency rate if used</t>
  </si>
  <si>
    <t>11. Instructions tab, changed #12e added the name of the table and warning about delinquency rate if used</t>
  </si>
  <si>
    <t>12. Instructions tab, changed #12f added that not signing the Budget Summary page will not require to be reprinted</t>
  </si>
  <si>
    <t xml:space="preserve">13. InputPrYr tab, added column for adjusting ad valorem taxes to reflect a better picture of actual taxes received, allow a rate to be used to compute the new amount, and links the new amounts to the appropriate fund page, if used, otherwise used the original amounts </t>
  </si>
  <si>
    <t>14. InputOth tab, section for Computation of Delinquency, change to % from rate and provided example, link to all tax levy fund page will show as %  vs rate</t>
  </si>
  <si>
    <t>15. InputBudSum tab, added official name and latest date for publication of Notice of Budget Hearing</t>
  </si>
  <si>
    <t xml:space="preserve">16. Cert tab, under Table of Content, added Computation to Determine State Library Grant </t>
  </si>
  <si>
    <t>17. Cert tab, right justifyed figures versus having figures centered</t>
  </si>
  <si>
    <t>18. Cert tab, put spaces between governing body signatures block</t>
  </si>
  <si>
    <t>19. Mvalloc tab, removed slider column and computation for slider</t>
  </si>
  <si>
    <t>20. All tax levy fund pages removed the link from Mvalloc tab for slider and converted cells to blank</t>
  </si>
  <si>
    <t xml:space="preserve">21. Debt and Lpform tab added a blank new column at left side and formated 'type of debt' and 'item purchased'  </t>
  </si>
  <si>
    <t>22. All fund pages changed the year column heading, example 'Prior Year Actual' to 'Prior Year' second line 'Actual YYYY'</t>
  </si>
  <si>
    <t xml:space="preserve">23. Change out the 'Mill Rate Computation' tab so to agree with the website </t>
  </si>
  <si>
    <t>24. Added KSA 65-204 to transfer tab</t>
  </si>
  <si>
    <t>25. All tax levy fund pages added 'Mill Rate Comparison' table</t>
  </si>
  <si>
    <t>26. Certificate tab added a place for the email address of the assisted by</t>
  </si>
  <si>
    <t>Email:</t>
  </si>
  <si>
    <t>____________________________________  __________________________________</t>
  </si>
  <si>
    <t>12a. At the bottom of the page is a green shaded area, enter the page number.</t>
  </si>
  <si>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</si>
  <si>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</si>
  <si>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</si>
  <si>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</si>
  <si>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12f. Once the 'Notice of Budget Hearing' has been printed in the local newspaper, please review the notice to ensure the information was correctly printed.  If the information is not correct, the Notice may need to be republished, and may delay the submission of the budget.</t>
  </si>
  <si>
    <t>12g. If the Special District budgets are computed by the County Clerk, the Clerk could complete the County Spec District.xls spreadsheet and this spreadsheet would be included with the county's budget.  Both Budget Summary pages would be taken to the newspaper for publication.</t>
  </si>
  <si>
    <t>Sheridan County</t>
  </si>
  <si>
    <t>Noxious Weed</t>
  </si>
  <si>
    <t>Public Health</t>
  </si>
  <si>
    <t>Council on Aging</t>
  </si>
  <si>
    <t>Library Service Contract</t>
  </si>
  <si>
    <t>Hospital Maintenance</t>
  </si>
  <si>
    <t>2-1318</t>
  </si>
  <si>
    <t>19-4011</t>
  </si>
  <si>
    <t>Sp. Elec.</t>
  </si>
  <si>
    <t>12-1230</t>
  </si>
  <si>
    <t>19-4606</t>
  </si>
  <si>
    <t>Noxious Weed Capital Outlay</t>
  </si>
  <si>
    <t>911 Emergency Tax</t>
  </si>
  <si>
    <t>Parks &amp; Recreation</t>
  </si>
  <si>
    <t>Solid Waste Disposal</t>
  </si>
  <si>
    <t>Alcohol Program</t>
  </si>
  <si>
    <t>Special Ambulance</t>
  </si>
  <si>
    <t>911 Wireless</t>
  </si>
  <si>
    <t>Special Hwy Improvement</t>
  </si>
  <si>
    <t>Special Machinery</t>
  </si>
  <si>
    <t>Public Transportation Van</t>
  </si>
  <si>
    <t>Capital Project</t>
  </si>
  <si>
    <t>Special Motor Vehicle</t>
  </si>
  <si>
    <t>VIN</t>
  </si>
  <si>
    <t>Prosecuting Attorney Tr.</t>
  </si>
  <si>
    <t>CDBG (Micro-Loan)</t>
  </si>
  <si>
    <t>Recycling Grant</t>
  </si>
  <si>
    <t>Special Technology</t>
  </si>
  <si>
    <t>Concealed Carry Law</t>
  </si>
  <si>
    <t>Sexual Offender Registry</t>
  </si>
  <si>
    <t>FEMA Allocation of Road</t>
  </si>
  <si>
    <t>FEMA Mitigation Plan</t>
  </si>
  <si>
    <t>Paula Bielser</t>
  </si>
  <si>
    <t>the County Clerk's Office</t>
  </si>
  <si>
    <t>David E. Leopold, CPA</t>
  </si>
  <si>
    <t>PO Box 235</t>
  </si>
  <si>
    <t>Hoxie, KS 67740</t>
  </si>
  <si>
    <t>delcpa@ruraltel.net</t>
  </si>
  <si>
    <t>Rural Fire District #1</t>
  </si>
  <si>
    <t>80-1545</t>
  </si>
  <si>
    <t>Special Hwy. Improv.</t>
  </si>
  <si>
    <t>Noxious Weed Cap. Out.</t>
  </si>
  <si>
    <t>19-119</t>
  </si>
  <si>
    <t>68-5101</t>
  </si>
  <si>
    <t>68-141g</t>
  </si>
  <si>
    <t>68-590</t>
  </si>
  <si>
    <t>8-145</t>
  </si>
  <si>
    <t xml:space="preserve">  Ad Valorem Tax</t>
  </si>
  <si>
    <t xml:space="preserve">  Delinquent Tax</t>
  </si>
  <si>
    <t xml:space="preserve">  Motor Vehicle Tax</t>
  </si>
  <si>
    <t xml:space="preserve">  Recreational Vehicle Tax</t>
  </si>
  <si>
    <t xml:space="preserve">  16/20M Vehicle Tax</t>
  </si>
  <si>
    <t xml:space="preserve">  Local Alcoholic Liquor</t>
  </si>
  <si>
    <t xml:space="preserve">  Local Sales Tax</t>
  </si>
  <si>
    <t xml:space="preserve">  Severance Tax</t>
  </si>
  <si>
    <t xml:space="preserve">  Local Comp/Retail Sales Tax</t>
  </si>
  <si>
    <t xml:space="preserve">  Int. &amp; Chgs. On Del., Current, &amp; MVPP</t>
  </si>
  <si>
    <t xml:space="preserve">  Ambulance Fees</t>
  </si>
  <si>
    <t xml:space="preserve">  Antique Registration Fees</t>
  </si>
  <si>
    <t xml:space="preserve">  Game License Fees</t>
  </si>
  <si>
    <t xml:space="preserve">  County Officer's Fees</t>
  </si>
  <si>
    <t xml:space="preserve">  Mortgage Registration Fees</t>
  </si>
  <si>
    <t xml:space="preserve">  Moving Fees</t>
  </si>
  <si>
    <t xml:space="preserve">  Rent</t>
  </si>
  <si>
    <t xml:space="preserve">  Filing Fees</t>
  </si>
  <si>
    <t xml:space="preserve">  Diversion Fund Fees</t>
  </si>
  <si>
    <t xml:space="preserve">  Interest on Idle Funds</t>
  </si>
  <si>
    <t xml:space="preserve">  Booking Fees</t>
  </si>
  <si>
    <t xml:space="preserve">  Maps</t>
  </si>
  <si>
    <t xml:space="preserve">  Jail Keep</t>
  </si>
  <si>
    <t xml:space="preserve">  County Attorney Insufficient Checks</t>
  </si>
  <si>
    <t xml:space="preserve">  District Coroner - State of Kansas</t>
  </si>
  <si>
    <t xml:space="preserve">  Alcohol/Drug Assessment Fee</t>
  </si>
  <si>
    <t xml:space="preserve">  Sale of Surplus Property</t>
  </si>
  <si>
    <t xml:space="preserve">  Miscellaneous Income</t>
  </si>
  <si>
    <t>Transfer from:</t>
  </si>
  <si>
    <t xml:space="preserve">  Special Motor Vehicle</t>
  </si>
  <si>
    <t xml:space="preserve">  Insurance</t>
  </si>
  <si>
    <t xml:space="preserve">  Utilities &amp; Telephone</t>
  </si>
  <si>
    <t xml:space="preserve">  Legal Services</t>
  </si>
  <si>
    <t xml:space="preserve">  Publications &amp; Supplies</t>
  </si>
  <si>
    <t xml:space="preserve">  Jurors</t>
  </si>
  <si>
    <t xml:space="preserve">  Audit</t>
  </si>
  <si>
    <t xml:space="preserve">  Equipment</t>
  </si>
  <si>
    <t xml:space="preserve">  Postage</t>
  </si>
  <si>
    <t>Apportionments</t>
  </si>
  <si>
    <t xml:space="preserve">  Airports</t>
  </si>
  <si>
    <t xml:space="preserve">  Economic Development</t>
  </si>
  <si>
    <t xml:space="preserve">  Extension Council</t>
  </si>
  <si>
    <t xml:space="preserve">  Fair</t>
  </si>
  <si>
    <t xml:space="preserve">  Historical Society</t>
  </si>
  <si>
    <t xml:space="preserve">  Soil Conservation</t>
  </si>
  <si>
    <t xml:space="preserve">  Personal Services</t>
  </si>
  <si>
    <t xml:space="preserve">  Training Officer</t>
  </si>
  <si>
    <t xml:space="preserve">  EMS Building Work</t>
  </si>
  <si>
    <t xml:space="preserve">  EMT Student Reimbursement</t>
  </si>
  <si>
    <t xml:space="preserve">  Expenditures</t>
  </si>
  <si>
    <t>Appraiser</t>
  </si>
  <si>
    <t xml:space="preserve">County Attorney  </t>
  </si>
  <si>
    <t>County Commissioners</t>
  </si>
  <si>
    <t>County Register of Deeds</t>
  </si>
  <si>
    <t>County Sheriff</t>
  </si>
  <si>
    <t>County Health Officer</t>
  </si>
  <si>
    <t>Custodian</t>
  </si>
  <si>
    <t>Dispatch</t>
  </si>
  <si>
    <t>Emergency Preparedness</t>
  </si>
  <si>
    <t xml:space="preserve">  Social Security &amp; Medicare</t>
  </si>
  <si>
    <t>District Coroner</t>
  </si>
  <si>
    <t>Prisoner Care</t>
  </si>
  <si>
    <t>Area Council on Aging</t>
  </si>
  <si>
    <t>Vehicle Replacement</t>
  </si>
  <si>
    <t>Juvenile Justice Authority</t>
  </si>
  <si>
    <t>Information Technology</t>
  </si>
  <si>
    <t xml:space="preserve">Vehicle  </t>
  </si>
  <si>
    <t>Child Advocacy Group</t>
  </si>
  <si>
    <t>Transfer to:</t>
  </si>
  <si>
    <t xml:space="preserve">  Special Ambulance</t>
  </si>
  <si>
    <t xml:space="preserve">  Special City &amp; County Highway</t>
  </si>
  <si>
    <t xml:space="preserve">  County Equalization &amp; Adj.</t>
  </si>
  <si>
    <t xml:space="preserve">  State of Kansas - Other</t>
  </si>
  <si>
    <t>Page No. 8</t>
  </si>
  <si>
    <t>Transfers to:</t>
  </si>
  <si>
    <t xml:space="preserve">  Recycling Grant</t>
  </si>
  <si>
    <t xml:space="preserve">  Special Machinery</t>
  </si>
  <si>
    <t xml:space="preserve">  Spec. Hwy. Improvement</t>
  </si>
  <si>
    <t xml:space="preserve">  16/20 M Vehicle Tax</t>
  </si>
  <si>
    <t xml:space="preserve">  Reimbursements</t>
  </si>
  <si>
    <t xml:space="preserve">  Transfer to Noxious Weed Cap. Outlay</t>
  </si>
  <si>
    <t xml:space="preserve">  Apportionments</t>
  </si>
  <si>
    <t xml:space="preserve">  State of Kansas</t>
  </si>
  <si>
    <t xml:space="preserve">  WIC</t>
  </si>
  <si>
    <t xml:space="preserve">  Services/Fees</t>
  </si>
  <si>
    <t xml:space="preserve">  Donations</t>
  </si>
  <si>
    <t xml:space="preserve">  Transfer from Noxious Weed</t>
  </si>
  <si>
    <t xml:space="preserve">  Telephone Companies</t>
  </si>
  <si>
    <t xml:space="preserve">  Tax Expenditures</t>
  </si>
  <si>
    <t xml:space="preserve">  Liquor Tax</t>
  </si>
  <si>
    <t xml:space="preserve">  Parks &amp; Recreation</t>
  </si>
  <si>
    <t xml:space="preserve">  Library</t>
  </si>
  <si>
    <t xml:space="preserve">  Public Usage</t>
  </si>
  <si>
    <t xml:space="preserve">  City Usage</t>
  </si>
  <si>
    <t xml:space="preserve">  City of Selden</t>
  </si>
  <si>
    <t xml:space="preserve">  Alcohol Program</t>
  </si>
  <si>
    <t xml:space="preserve">  Transfer from General</t>
  </si>
  <si>
    <t xml:space="preserve">  E-911 Receipts</t>
  </si>
  <si>
    <t xml:space="preserve">  State of Kansas Grant</t>
  </si>
  <si>
    <t>Trsf Road &amp; Bridge</t>
  </si>
  <si>
    <t>Reimbursements</t>
  </si>
  <si>
    <t>NWKS Area Transit</t>
  </si>
  <si>
    <t>Donations &amp; Misc.</t>
  </si>
  <si>
    <t>State of Kansas</t>
  </si>
  <si>
    <t>Lien Fees</t>
  </si>
  <si>
    <t>Sales &amp; Comp Fees</t>
  </si>
  <si>
    <t>Motor Vehicle Fees</t>
  </si>
  <si>
    <t>Reflector</t>
  </si>
  <si>
    <t>Contractual</t>
  </si>
  <si>
    <t>Commodities</t>
  </si>
  <si>
    <t>Capital Outlay</t>
  </si>
  <si>
    <t>Personal Services</t>
  </si>
  <si>
    <t xml:space="preserve">Expenditures </t>
  </si>
  <si>
    <t>Trsf to General</t>
  </si>
  <si>
    <t>VINs</t>
  </si>
  <si>
    <t>Case Fees</t>
  </si>
  <si>
    <t>Loan Payments</t>
  </si>
  <si>
    <t>KDHE Grant</t>
  </si>
  <si>
    <t>Technology Fees</t>
  </si>
  <si>
    <t>VIN Fees &amp; Misc.</t>
  </si>
  <si>
    <t>KS PATF</t>
  </si>
  <si>
    <t>Micro-Loan Pmts</t>
  </si>
  <si>
    <t>Grant Expenditures</t>
  </si>
  <si>
    <t>Local Expenditures</t>
  </si>
  <si>
    <t>Conc. Carry Licenses</t>
  </si>
  <si>
    <t xml:space="preserve">Receipts  </t>
  </si>
  <si>
    <t xml:space="preserve">Expenditures  </t>
  </si>
  <si>
    <t xml:space="preserve">  National Info Consortium</t>
  </si>
  <si>
    <t xml:space="preserve">  Building Repairs</t>
  </si>
  <si>
    <t>CDBG for Elevator</t>
  </si>
  <si>
    <t xml:space="preserve">  Surplus Sales</t>
  </si>
  <si>
    <t>N/A</t>
  </si>
  <si>
    <t>Page No. 10</t>
  </si>
  <si>
    <t>Exempt</t>
  </si>
  <si>
    <t>Page No. 13</t>
  </si>
  <si>
    <t>Page No. 12</t>
  </si>
  <si>
    <t>Page No. 11</t>
  </si>
  <si>
    <t>Page No. 9</t>
  </si>
  <si>
    <t>Page No. 14</t>
  </si>
  <si>
    <t>Page No. 15</t>
  </si>
  <si>
    <t>Page No. 16</t>
  </si>
  <si>
    <t>Page No. 20</t>
  </si>
  <si>
    <t>Page No. 21</t>
  </si>
  <si>
    <t>Page No. 22</t>
  </si>
  <si>
    <t>Ad Valorem Tax</t>
  </si>
  <si>
    <t>Delinquent Tax</t>
  </si>
  <si>
    <t>Motor Vehicle Tax</t>
  </si>
  <si>
    <t>Recreational Vehicle Tax</t>
  </si>
  <si>
    <t>16/20 M Vehicle Tax</t>
  </si>
  <si>
    <t>Does miscellaneous exceed 10% of Total Receipts</t>
  </si>
  <si>
    <t>Does miscellaneous exceed 10% of Total Expenditure</t>
  </si>
  <si>
    <t>Pool Lease-Purchase</t>
  </si>
  <si>
    <t xml:space="preserve">  Contractual Services</t>
  </si>
  <si>
    <t>10-1116(c)</t>
  </si>
  <si>
    <r>
      <t>RESOLUTION NO.____</t>
    </r>
    <r>
      <rPr>
        <b/>
        <u val="single"/>
        <sz val="11"/>
        <rFont val="Times New Roman"/>
        <family val="1"/>
      </rPr>
      <t>12-100</t>
    </r>
    <r>
      <rPr>
        <b/>
        <sz val="11"/>
        <rFont val="Times New Roman"/>
        <family val="1"/>
      </rPr>
      <t>__________</t>
    </r>
  </si>
  <si>
    <r>
      <t>_________</t>
    </r>
    <r>
      <rPr>
        <u val="single"/>
        <sz val="11"/>
        <rFont val="Times New Roman"/>
        <family val="1"/>
      </rPr>
      <t>Doyle Kauk</t>
    </r>
    <r>
      <rPr>
        <sz val="11"/>
        <rFont val="Times New Roman"/>
        <family val="1"/>
      </rPr>
      <t>________________.</t>
    </r>
  </si>
  <si>
    <r>
      <t>_________</t>
    </r>
    <r>
      <rPr>
        <u val="single"/>
        <sz val="11"/>
        <rFont val="Times New Roman"/>
        <family val="1"/>
      </rPr>
      <t>Troy Dewey</t>
    </r>
    <r>
      <rPr>
        <sz val="11"/>
        <rFont val="Times New Roman"/>
        <family val="1"/>
      </rPr>
      <t>________________.</t>
    </r>
  </si>
  <si>
    <r>
      <t>_________</t>
    </r>
    <r>
      <rPr>
        <u val="single"/>
        <sz val="11"/>
        <rFont val="Times New Roman"/>
        <family val="1"/>
      </rPr>
      <t>Vic Bielser</t>
    </r>
    <r>
      <rPr>
        <sz val="11"/>
        <rFont val="Times New Roman"/>
        <family val="1"/>
      </rPr>
      <t>________________.</t>
    </r>
  </si>
  <si>
    <t>Page No. 23</t>
  </si>
  <si>
    <r>
      <t xml:space="preserve"> Commissioners will be published in the </t>
    </r>
    <r>
      <rPr>
        <u val="single"/>
        <sz val="11"/>
        <color indexed="9"/>
        <rFont val="Times New Roman"/>
        <family val="1"/>
      </rPr>
      <t>Hoxie Sentinel</t>
    </r>
    <r>
      <rPr>
        <sz val="11"/>
        <color indexed="9"/>
        <rFont val="Times New Roman"/>
        <family val="1"/>
      </rPr>
      <t xml:space="preserve"> (newspaper).   Interested persons can also address questions concerning the budget to </t>
    </r>
    <r>
      <rPr>
        <u val="single"/>
        <sz val="11"/>
        <color indexed="9"/>
        <rFont val="Times New Roman"/>
        <family val="1"/>
      </rPr>
      <t>Sheridan Co. Clerk's</t>
    </r>
    <r>
      <rPr>
        <sz val="11"/>
        <color indexed="9"/>
        <rFont val="Times New Roman"/>
        <family val="1"/>
      </rPr>
      <t xml:space="preserve"> </t>
    </r>
    <r>
      <rPr>
        <u val="single"/>
        <sz val="11"/>
        <color indexed="9"/>
        <rFont val="Times New Roman"/>
        <family val="1"/>
      </rPr>
      <t>office</t>
    </r>
    <r>
      <rPr>
        <sz val="11"/>
        <color indexed="9"/>
        <rFont val="Times New Roman"/>
        <family val="1"/>
      </rPr>
      <t xml:space="preserve"> by calling </t>
    </r>
    <r>
      <rPr>
        <u val="single"/>
        <sz val="11"/>
        <color indexed="9"/>
        <rFont val="Times New Roman"/>
        <family val="1"/>
      </rPr>
      <t>785-675-3361</t>
    </r>
    <r>
      <rPr>
        <sz val="11"/>
        <color indexed="9"/>
        <rFont val="Times New Roman"/>
        <family val="1"/>
      </rPr>
      <t xml:space="preserve"> between the hours of </t>
    </r>
    <r>
      <rPr>
        <u val="single"/>
        <sz val="11"/>
        <color indexed="9"/>
        <rFont val="Times New Roman"/>
        <family val="1"/>
      </rPr>
      <t>8:00</t>
    </r>
    <r>
      <rPr>
        <sz val="11"/>
        <color indexed="9"/>
        <rFont val="Times New Roman"/>
        <family val="1"/>
      </rPr>
      <t xml:space="preserve"> a.m. to </t>
    </r>
    <r>
      <rPr>
        <u val="single"/>
        <sz val="11"/>
        <color indexed="9"/>
        <rFont val="Times New Roman"/>
        <family val="1"/>
      </rPr>
      <t>5:00</t>
    </r>
    <r>
      <rPr>
        <sz val="11"/>
        <color indexed="9"/>
        <rFont val="Times New Roman"/>
        <family val="1"/>
      </rPr>
      <t xml:space="preserve"> p.m., Monday through Fridays, excluding holidays.  </t>
    </r>
  </si>
  <si>
    <t>the Commissioner's Room</t>
  </si>
  <si>
    <t>September 4, 2012</t>
  </si>
  <si>
    <t>8:00 AM</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</si>
</sst>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m/d/yy"/>
    <numFmt numFmtId="173" formatCode="m/d"/>
    <numFmt numFmtId="174" formatCode="_(* #,##0.0_);_(* \(#,##0.0\);_(* &quot;-&quot;??_);_(@_)"/>
    <numFmt numFmtId="175" formatCode="_(* #,##0_);_(* \(#,##0\);_(* &quot;-&quot;??_);_(@_)"/>
    <numFmt numFmtId="176" formatCode="#,##0.0_);\(#,##0.0\)"/>
    <numFmt numFmtId="177" formatCode="#,##0.000_);\(#,##0.000\)"/>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0.000"/>
    <numFmt numFmtId="184" formatCode="#,##0.000"/>
    <numFmt numFmtId="185" formatCode="[$-409]mmmm\ d\,\ yyyy;@"/>
    <numFmt numFmtId="186" formatCode="[$-409]h:mm\ AM/PM;@"/>
    <numFmt numFmtId="187" formatCode="\1\2\-\1\1\1\1"/>
    <numFmt numFmtId="188" formatCode="[$-409]dddd\,\ mmmm\ dd\,\ yyyy"/>
    <numFmt numFmtId="189" formatCode="m/d/yy;@"/>
    <numFmt numFmtId="190" formatCode="&quot;$&quot;#,##0"/>
    <numFmt numFmtId="191" formatCode="&quot;$&quot;#,##0.00"/>
    <numFmt numFmtId="192" formatCode="#,###"/>
    <numFmt numFmtId="193" formatCode="0.0%"/>
    <numFmt numFmtId="194" formatCode="#,##0.000_);[Red]\(#,##0.000\)"/>
  </numFmts>
  <fonts count="10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4"/>
      <name val="Times New Roman"/>
      <family val="1"/>
    </font>
    <font>
      <sz val="11"/>
      <name val="Times New Roman"/>
      <family val="1"/>
    </font>
    <font>
      <sz val="8"/>
      <name val="Courier"/>
      <family val="3"/>
    </font>
    <font>
      <u val="single"/>
      <sz val="12"/>
      <color indexed="36"/>
      <name val="Courier New"/>
      <family val="3"/>
    </font>
    <font>
      <u val="single"/>
      <sz val="12"/>
      <color indexed="12"/>
      <name val="Courier New"/>
      <family val="3"/>
    </font>
    <font>
      <sz val="12"/>
      <name val="Courier New"/>
      <family val="3"/>
    </font>
    <font>
      <sz val="8"/>
      <name val="Courier New"/>
      <family val="3"/>
    </font>
    <font>
      <i/>
      <sz val="11"/>
      <name val="Times New Roman"/>
      <family val="1"/>
    </font>
    <font>
      <b/>
      <sz val="11"/>
      <name val="Times New Roman"/>
      <family val="1"/>
    </font>
    <font>
      <sz val="11"/>
      <color indexed="9"/>
      <name val="Times New Roman"/>
      <family val="1"/>
    </font>
    <font>
      <sz val="9"/>
      <name val="Times New Roman"/>
      <family val="1"/>
    </font>
    <font>
      <sz val="10"/>
      <name val="Times New Roman"/>
      <family val="1"/>
    </font>
    <font>
      <b/>
      <sz val="10"/>
      <name val="Times New Roman"/>
      <family val="1"/>
    </font>
    <font>
      <sz val="10"/>
      <name val="Courier"/>
      <family val="3"/>
    </font>
    <font>
      <sz val="12"/>
      <color indexed="9"/>
      <name val="Times New Roman"/>
      <family val="1"/>
    </font>
    <font>
      <sz val="8"/>
      <name val="Times New Roman"/>
      <family val="1"/>
    </font>
    <font>
      <b/>
      <u val="single"/>
      <sz val="12"/>
      <name val="Times New Roman"/>
      <family val="1"/>
    </font>
    <font>
      <sz val="12"/>
      <color indexed="10"/>
      <name val="Times New Roman"/>
      <family val="1"/>
    </font>
    <font>
      <b/>
      <u val="single"/>
      <sz val="12"/>
      <color indexed="10"/>
      <name val="Times New Roman"/>
      <family val="1"/>
    </font>
    <font>
      <b/>
      <u val="single"/>
      <sz val="12"/>
      <name val="Courier"/>
      <family val="3"/>
    </font>
    <font>
      <b/>
      <sz val="8"/>
      <name val="Times New Roman"/>
      <family val="1"/>
    </font>
    <font>
      <b/>
      <u val="single"/>
      <sz val="10"/>
      <name val="Times New Roman"/>
      <family val="1"/>
    </font>
    <font>
      <b/>
      <sz val="12"/>
      <color indexed="10"/>
      <name val="Times New Roman"/>
      <family val="1"/>
    </font>
    <font>
      <sz val="12"/>
      <color indexed="10"/>
      <name val="Courier"/>
      <family val="3"/>
    </font>
    <font>
      <i/>
      <sz val="12"/>
      <name val="Times New Roman"/>
      <family val="1"/>
    </font>
    <font>
      <b/>
      <u val="single"/>
      <sz val="14"/>
      <name val="Times New Roman"/>
      <family val="1"/>
    </font>
    <font>
      <b/>
      <sz val="12"/>
      <color indexed="8"/>
      <name val="Times New Roman"/>
      <family val="1"/>
    </font>
    <font>
      <sz val="12"/>
      <color indexed="8"/>
      <name val="Times New Roman"/>
      <family val="1"/>
    </font>
    <font>
      <b/>
      <sz val="11"/>
      <color indexed="8"/>
      <name val="Arial"/>
      <family val="2"/>
    </font>
    <font>
      <sz val="11"/>
      <color indexed="8"/>
      <name val="Arial"/>
      <family val="2"/>
    </font>
    <font>
      <b/>
      <u val="single"/>
      <sz val="8"/>
      <color indexed="10"/>
      <name val="Times New Roman"/>
      <family val="1"/>
    </font>
    <font>
      <sz val="14"/>
      <name val="Courier"/>
      <family val="3"/>
    </font>
    <font>
      <b/>
      <sz val="14"/>
      <name val="Times New Roman"/>
      <family val="1"/>
    </font>
    <font>
      <u val="single"/>
      <sz val="12"/>
      <color indexed="12"/>
      <name val="Courier"/>
      <family val="3"/>
    </font>
    <font>
      <i/>
      <u val="single"/>
      <sz val="12"/>
      <name val="Courier"/>
      <family val="3"/>
    </font>
    <font>
      <sz val="11"/>
      <color indexed="8"/>
      <name val="Times New Roman"/>
      <family val="1"/>
    </font>
    <font>
      <b/>
      <sz val="11"/>
      <color indexed="8"/>
      <name val="Times New Roman"/>
      <family val="1"/>
    </font>
    <font>
      <b/>
      <u val="single"/>
      <sz val="10"/>
      <name val="Courier"/>
      <family val="3"/>
    </font>
    <font>
      <sz val="10"/>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b/>
      <u val="single"/>
      <sz val="11"/>
      <name val="Times New Roman"/>
      <family val="1"/>
    </font>
    <font>
      <u val="single"/>
      <sz val="11"/>
      <color indexed="9"/>
      <name val="Times New Roman"/>
      <family val="1"/>
    </font>
    <font>
      <u val="single"/>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FFFFC0"/>
        <bgColor indexed="64"/>
      </patternFill>
    </fill>
    <fill>
      <patternFill patternType="solid">
        <fgColor rgb="FFFFFF0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top style="medium"/>
      <bottom/>
    </border>
    <border>
      <left style="medium"/>
      <right/>
      <top/>
      <bottom/>
    </border>
    <border>
      <left/>
      <right style="medium"/>
      <top/>
      <bottom/>
    </border>
    <border>
      <left/>
      <right/>
      <top style="medium"/>
      <bottom/>
    </border>
    <border>
      <left/>
      <right style="medium"/>
      <top style="medium"/>
      <bottom/>
    </border>
    <border>
      <left style="medium"/>
      <right/>
      <top/>
      <bottom style="thin"/>
    </border>
    <border>
      <left style="medium"/>
      <right/>
      <top/>
      <bottom style="medium"/>
    </border>
    <border>
      <left/>
      <right/>
      <top/>
      <bottom style="medium"/>
    </border>
    <border>
      <left/>
      <right style="medium"/>
      <top/>
      <bottom style="medium"/>
    </border>
    <border>
      <left style="medium"/>
      <right/>
      <top style="thin"/>
      <bottom/>
    </border>
    <border>
      <left/>
      <right style="medium"/>
      <top style="thin"/>
      <bottom/>
    </border>
  </borders>
  <cellStyleXfs count="41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10"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4" fillId="30" borderId="1" applyNumberFormat="0" applyAlignment="0" applyProtection="0"/>
    <xf numFmtId="0" fontId="85" fillId="0" borderId="6" applyNumberFormat="0" applyFill="0" applyAlignment="0" applyProtection="0"/>
    <xf numFmtId="0" fontId="86"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833">
    <xf numFmtId="0" fontId="0" fillId="0" borderId="0" xfId="0" applyAlignment="1">
      <alignment/>
    </xf>
    <xf numFmtId="0" fontId="4" fillId="0" borderId="0" xfId="0" applyFont="1" applyAlignment="1" applyProtection="1">
      <alignment/>
      <protection locked="0"/>
    </xf>
    <xf numFmtId="0" fontId="4" fillId="0" borderId="0" xfId="0" applyFont="1" applyAlignment="1">
      <alignment/>
    </xf>
    <xf numFmtId="0" fontId="4" fillId="0" borderId="0" xfId="0" applyFont="1" applyAlignment="1">
      <alignment horizontal="centerContinuous"/>
    </xf>
    <xf numFmtId="37" fontId="4" fillId="0" borderId="0" xfId="0" applyNumberFormat="1" applyFont="1" applyAlignment="1" applyProtection="1">
      <alignment horizontal="left"/>
      <protection locked="0"/>
    </xf>
    <xf numFmtId="37" fontId="4" fillId="0" borderId="0" xfId="0" applyNumberFormat="1" applyFont="1" applyAlignment="1" applyProtection="1">
      <alignment horizontal="center"/>
      <protection locked="0"/>
    </xf>
    <xf numFmtId="0" fontId="4" fillId="0" borderId="0" xfId="0" applyFont="1" applyAlignment="1">
      <alignment/>
    </xf>
    <xf numFmtId="37" fontId="4" fillId="33" borderId="10" xfId="0" applyNumberFormat="1" applyFont="1" applyFill="1" applyBorder="1" applyAlignment="1" applyProtection="1">
      <alignment/>
      <protection locked="0"/>
    </xf>
    <xf numFmtId="0" fontId="4" fillId="33" borderId="0" xfId="0" applyFont="1" applyFill="1" applyAlignment="1" applyProtection="1">
      <alignment/>
      <protection locked="0"/>
    </xf>
    <xf numFmtId="164" fontId="4" fillId="33" borderId="10" xfId="0" applyNumberFormat="1" applyFont="1" applyFill="1" applyBorder="1" applyAlignment="1" applyProtection="1">
      <alignment/>
      <protection locked="0"/>
    </xf>
    <xf numFmtId="37" fontId="4" fillId="34" borderId="11" xfId="0" applyNumberFormat="1" applyFont="1" applyFill="1" applyBorder="1" applyAlignment="1" applyProtection="1">
      <alignment horizontal="center"/>
      <protection/>
    </xf>
    <xf numFmtId="37" fontId="4" fillId="34" borderId="0" xfId="0" applyNumberFormat="1" applyFont="1" applyFill="1" applyAlignment="1" applyProtection="1">
      <alignment horizontal="right"/>
      <protection/>
    </xf>
    <xf numFmtId="0" fontId="4" fillId="34" borderId="0" xfId="0" applyFont="1" applyFill="1" applyAlignment="1" applyProtection="1">
      <alignment/>
      <protection/>
    </xf>
    <xf numFmtId="37" fontId="4" fillId="34" borderId="0" xfId="0" applyNumberFormat="1" applyFont="1" applyFill="1" applyAlignment="1" applyProtection="1">
      <alignment horizontal="left"/>
      <protection/>
    </xf>
    <xf numFmtId="37" fontId="4" fillId="34" borderId="0" xfId="0" applyNumberFormat="1" applyFont="1" applyFill="1" applyAlignment="1" applyProtection="1">
      <alignment horizontal="centerContinuous"/>
      <protection/>
    </xf>
    <xf numFmtId="0" fontId="4" fillId="34" borderId="0" xfId="0" applyFont="1" applyFill="1" applyAlignment="1" applyProtection="1">
      <alignment horizontal="centerContinuous"/>
      <protection/>
    </xf>
    <xf numFmtId="37" fontId="4" fillId="34" borderId="0" xfId="0" applyNumberFormat="1" applyFont="1" applyFill="1" applyAlignment="1" applyProtection="1">
      <alignment horizontal="fill"/>
      <protection/>
    </xf>
    <xf numFmtId="37" fontId="4" fillId="34" borderId="12" xfId="0" applyNumberFormat="1" applyFont="1" applyFill="1" applyBorder="1" applyAlignment="1" applyProtection="1">
      <alignment horizontal="centerContinuous"/>
      <protection/>
    </xf>
    <xf numFmtId="0" fontId="4" fillId="34" borderId="13" xfId="0" applyFont="1" applyFill="1" applyBorder="1" applyAlignment="1" applyProtection="1">
      <alignment horizontal="centerContinuous"/>
      <protection/>
    </xf>
    <xf numFmtId="0" fontId="4" fillId="34" borderId="14" xfId="0" applyFont="1" applyFill="1" applyBorder="1" applyAlignment="1" applyProtection="1">
      <alignment horizontal="centerContinuous"/>
      <protection/>
    </xf>
    <xf numFmtId="37" fontId="4" fillId="34" borderId="15" xfId="0" applyNumberFormat="1" applyFont="1" applyFill="1" applyBorder="1" applyAlignment="1" applyProtection="1">
      <alignment horizontal="center"/>
      <protection/>
    </xf>
    <xf numFmtId="37" fontId="4" fillId="34" borderId="16" xfId="0" applyNumberFormat="1" applyFont="1" applyFill="1" applyBorder="1" applyAlignment="1" applyProtection="1">
      <alignment horizontal="left"/>
      <protection/>
    </xf>
    <xf numFmtId="37" fontId="4" fillId="34" borderId="10" xfId="0" applyNumberFormat="1" applyFont="1" applyFill="1" applyBorder="1" applyAlignment="1" applyProtection="1">
      <alignment horizontal="left"/>
      <protection/>
    </xf>
    <xf numFmtId="37" fontId="4" fillId="34" borderId="10" xfId="0" applyNumberFormat="1" applyFont="1" applyFill="1" applyBorder="1" applyAlignment="1" applyProtection="1">
      <alignment/>
      <protection/>
    </xf>
    <xf numFmtId="37" fontId="4" fillId="34" borderId="0" xfId="0" applyNumberFormat="1" applyFont="1" applyFill="1" applyAlignment="1" applyProtection="1">
      <alignment/>
      <protection/>
    </xf>
    <xf numFmtId="0" fontId="4" fillId="34" borderId="0" xfId="0" applyFont="1" applyFill="1" applyAlignment="1">
      <alignment/>
    </xf>
    <xf numFmtId="0" fontId="4" fillId="34" borderId="17" xfId="0" applyFont="1" applyFill="1" applyBorder="1" applyAlignment="1" applyProtection="1">
      <alignment horizontal="center"/>
      <protection/>
    </xf>
    <xf numFmtId="0" fontId="4" fillId="34" borderId="0" xfId="0" applyFont="1" applyFill="1" applyAlignment="1" applyProtection="1">
      <alignment horizontal="center"/>
      <protection/>
    </xf>
    <xf numFmtId="37" fontId="4" fillId="34" borderId="0" xfId="0" applyNumberFormat="1" applyFont="1" applyFill="1" applyAlignment="1" applyProtection="1" quotePrefix="1">
      <alignment horizontal="right"/>
      <protection/>
    </xf>
    <xf numFmtId="37" fontId="5" fillId="34" borderId="0" xfId="0" applyNumberFormat="1" applyFont="1" applyFill="1" applyAlignment="1" applyProtection="1">
      <alignment horizontal="centerContinuous"/>
      <protection/>
    </xf>
    <xf numFmtId="0" fontId="4" fillId="34" borderId="15" xfId="0" applyFont="1" applyFill="1" applyBorder="1" applyAlignment="1" applyProtection="1">
      <alignment horizontal="centerContinuous"/>
      <protection/>
    </xf>
    <xf numFmtId="1" fontId="4" fillId="34" borderId="12" xfId="0" applyNumberFormat="1" applyFont="1" applyFill="1" applyBorder="1" applyAlignment="1" applyProtection="1">
      <alignment horizontal="centerContinuous"/>
      <protection/>
    </xf>
    <xf numFmtId="164" fontId="4" fillId="34" borderId="10" xfId="0" applyNumberFormat="1" applyFont="1" applyFill="1" applyBorder="1" applyAlignment="1" applyProtection="1">
      <alignment/>
      <protection/>
    </xf>
    <xf numFmtId="0" fontId="14" fillId="0" borderId="0" xfId="0" applyFont="1" applyAlignment="1">
      <alignment horizontal="center" vertical="top"/>
    </xf>
    <xf numFmtId="0" fontId="0" fillId="0" borderId="0" xfId="0" applyAlignment="1">
      <alignment vertical="top"/>
    </xf>
    <xf numFmtId="0" fontId="14" fillId="0" borderId="0" xfId="0" applyFont="1" applyAlignment="1">
      <alignment vertical="top"/>
    </xf>
    <xf numFmtId="0" fontId="12" fillId="0" borderId="0" xfId="404" applyAlignment="1">
      <alignment vertical="top"/>
      <protection/>
    </xf>
    <xf numFmtId="0" fontId="12" fillId="0" borderId="0" xfId="404">
      <alignment/>
      <protection/>
    </xf>
    <xf numFmtId="0" fontId="15" fillId="0" borderId="0" xfId="0" applyFont="1" applyAlignment="1">
      <alignment vertical="top"/>
    </xf>
    <xf numFmtId="0" fontId="8" fillId="0" borderId="0" xfId="0" applyFont="1" applyAlignment="1">
      <alignment horizontal="center" vertical="top"/>
    </xf>
    <xf numFmtId="0" fontId="14"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vertical="top"/>
    </xf>
    <xf numFmtId="0" fontId="16" fillId="0" borderId="0" xfId="0" applyFont="1" applyAlignment="1">
      <alignment/>
    </xf>
    <xf numFmtId="0" fontId="16" fillId="0" borderId="0" xfId="0" applyNumberFormat="1" applyFont="1" applyAlignment="1">
      <alignment/>
    </xf>
    <xf numFmtId="0" fontId="8" fillId="0" borderId="0" xfId="0" applyFont="1" applyAlignment="1">
      <alignment/>
    </xf>
    <xf numFmtId="0" fontId="8" fillId="0" borderId="0" xfId="0" applyFont="1" applyAlignment="1">
      <alignment/>
    </xf>
    <xf numFmtId="0" fontId="17" fillId="0" borderId="0" xfId="0" applyFont="1" applyAlignment="1">
      <alignment/>
    </xf>
    <xf numFmtId="0" fontId="4" fillId="34" borderId="0" xfId="0" applyNumberFormat="1" applyFont="1" applyFill="1" applyAlignment="1" applyProtection="1">
      <alignment horizontal="right"/>
      <protection/>
    </xf>
    <xf numFmtId="37" fontId="4" fillId="34" borderId="0" xfId="0" applyNumberFormat="1" applyFont="1" applyFill="1" applyBorder="1" applyAlignment="1" applyProtection="1">
      <alignment horizontal="left"/>
      <protection/>
    </xf>
    <xf numFmtId="0" fontId="4" fillId="34" borderId="0" xfId="0" applyFont="1" applyFill="1" applyAlignment="1">
      <alignment horizontal="center"/>
    </xf>
    <xf numFmtId="0" fontId="4" fillId="0" borderId="0" xfId="0" applyFont="1" applyAlignment="1">
      <alignment vertical="top"/>
    </xf>
    <xf numFmtId="0" fontId="4" fillId="0" borderId="0" xfId="404" applyFont="1" applyAlignment="1">
      <alignment vertical="top"/>
      <protection/>
    </xf>
    <xf numFmtId="0" fontId="21" fillId="0" borderId="0" xfId="0" applyNumberFormat="1" applyFont="1" applyAlignment="1">
      <alignment vertical="top"/>
    </xf>
    <xf numFmtId="0" fontId="21" fillId="0" borderId="0" xfId="0" applyFont="1" applyAlignment="1">
      <alignment/>
    </xf>
    <xf numFmtId="0" fontId="4" fillId="0" borderId="0" xfId="404" applyFont="1">
      <alignment/>
      <protection/>
    </xf>
    <xf numFmtId="164" fontId="4" fillId="34" borderId="10" xfId="0" applyNumberFormat="1" applyFont="1" applyFill="1" applyBorder="1" applyAlignment="1" applyProtection="1">
      <alignment/>
      <protection locked="0"/>
    </xf>
    <xf numFmtId="0" fontId="4" fillId="0" borderId="0" xfId="0" applyFont="1" applyAlignment="1">
      <alignment horizontal="right"/>
    </xf>
    <xf numFmtId="166" fontId="4" fillId="34" borderId="0" xfId="0" applyNumberFormat="1" applyFont="1" applyFill="1" applyAlignment="1" applyProtection="1">
      <alignment horizontal="center"/>
      <protection/>
    </xf>
    <xf numFmtId="37" fontId="4" fillId="34" borderId="16" xfId="0" applyNumberFormat="1" applyFont="1" applyFill="1" applyBorder="1" applyAlignment="1" applyProtection="1">
      <alignment horizontal="center"/>
      <protection/>
    </xf>
    <xf numFmtId="37" fontId="4" fillId="34" borderId="0" xfId="0" applyNumberFormat="1" applyFont="1" applyFill="1" applyBorder="1" applyAlignment="1" applyProtection="1">
      <alignment horizontal="center"/>
      <protection/>
    </xf>
    <xf numFmtId="165" fontId="4" fillId="35" borderId="16" xfId="0" applyNumberFormat="1" applyFont="1" applyFill="1" applyBorder="1" applyAlignment="1" applyProtection="1">
      <alignment horizontal="center"/>
      <protection/>
    </xf>
    <xf numFmtId="165" fontId="4" fillId="34" borderId="0" xfId="0" applyNumberFormat="1" applyFont="1" applyFill="1" applyBorder="1" applyAlignment="1" applyProtection="1">
      <alignment horizontal="center"/>
      <protection/>
    </xf>
    <xf numFmtId="0" fontId="4" fillId="34" borderId="0" xfId="0" applyFont="1" applyFill="1" applyAlignment="1">
      <alignment horizontal="left"/>
    </xf>
    <xf numFmtId="37" fontId="5" fillId="34" borderId="0" xfId="0" applyNumberFormat="1" applyFont="1" applyFill="1" applyAlignment="1" applyProtection="1">
      <alignment horizontal="center"/>
      <protection/>
    </xf>
    <xf numFmtId="0" fontId="0" fillId="34" borderId="0" xfId="0" applyFill="1" applyAlignment="1">
      <alignment/>
    </xf>
    <xf numFmtId="0" fontId="0" fillId="34" borderId="0" xfId="0" applyFill="1" applyAlignment="1">
      <alignment/>
    </xf>
    <xf numFmtId="177" fontId="4" fillId="34" borderId="0" xfId="0" applyNumberFormat="1" applyFont="1" applyFill="1" applyBorder="1" applyAlignment="1" applyProtection="1">
      <alignment horizontal="center"/>
      <protection/>
    </xf>
    <xf numFmtId="0" fontId="5"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29" fillId="0" borderId="0" xfId="0" applyFont="1" applyAlignment="1">
      <alignment vertical="center" wrapText="1"/>
    </xf>
    <xf numFmtId="0" fontId="4" fillId="33" borderId="0" xfId="0" applyFont="1" applyFill="1" applyAlignment="1" applyProtection="1">
      <alignment vertical="center" wrapText="1"/>
      <protection/>
    </xf>
    <xf numFmtId="0" fontId="4" fillId="0" borderId="0" xfId="0" applyFont="1" applyFill="1" applyAlignment="1" applyProtection="1">
      <alignment vertical="center" wrapText="1"/>
      <protection/>
    </xf>
    <xf numFmtId="0" fontId="4" fillId="34" borderId="0" xfId="0" applyFont="1" applyFill="1" applyAlignment="1">
      <alignment vertical="center" wrapText="1"/>
    </xf>
    <xf numFmtId="0" fontId="4" fillId="36" borderId="0" xfId="0" applyFont="1" applyFill="1" applyAlignment="1">
      <alignment vertical="center" wrapText="1"/>
    </xf>
    <xf numFmtId="0" fontId="4" fillId="37" borderId="0" xfId="0" applyFont="1" applyFill="1" applyAlignment="1">
      <alignment vertical="center"/>
    </xf>
    <xf numFmtId="37" fontId="4" fillId="0" borderId="0" xfId="0" applyNumberFormat="1" applyFont="1" applyFill="1" applyAlignment="1" applyProtection="1">
      <alignment horizontal="left" vertical="center" wrapText="1"/>
      <protection/>
    </xf>
    <xf numFmtId="37" fontId="4"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0" fontId="4" fillId="33" borderId="16" xfId="0" applyFont="1" applyFill="1" applyBorder="1" applyAlignment="1" applyProtection="1">
      <alignment vertical="center"/>
      <protection/>
    </xf>
    <xf numFmtId="37" fontId="4" fillId="33" borderId="16" xfId="0" applyNumberFormat="1"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horizontal="center" vertical="center"/>
      <protection locked="0"/>
    </xf>
    <xf numFmtId="0" fontId="5" fillId="34" borderId="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4" borderId="0" xfId="0" applyFont="1" applyFill="1" applyAlignment="1" applyProtection="1">
      <alignment horizontal="center" vertical="center"/>
      <protection/>
    </xf>
    <xf numFmtId="0" fontId="4" fillId="36" borderId="15" xfId="0" applyFont="1" applyFill="1" applyBorder="1" applyAlignment="1" applyProtection="1">
      <alignment horizontal="center" vertical="center"/>
      <protection/>
    </xf>
    <xf numFmtId="37" fontId="4" fillId="36" borderId="15" xfId="0" applyNumberFormat="1" applyFont="1" applyFill="1" applyBorder="1" applyAlignment="1" applyProtection="1">
      <alignment horizontal="center" vertical="center"/>
      <protection/>
    </xf>
    <xf numFmtId="0" fontId="4" fillId="36" borderId="15"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6" borderId="17"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0" fontId="4" fillId="34"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3" fontId="4" fillId="33" borderId="10" xfId="0" applyNumberFormat="1" applyFont="1" applyFill="1" applyBorder="1" applyAlignment="1" applyProtection="1">
      <alignment vertical="center" wrapText="1"/>
      <protection locked="0"/>
    </xf>
    <xf numFmtId="164" fontId="4" fillId="33" borderId="10" xfId="0" applyNumberFormat="1" applyFont="1" applyFill="1" applyBorder="1" applyAlignment="1" applyProtection="1">
      <alignment vertical="center"/>
      <protection locked="0"/>
    </xf>
    <xf numFmtId="0" fontId="4" fillId="34" borderId="10" xfId="0" applyFont="1" applyFill="1" applyBorder="1" applyAlignment="1" applyProtection="1">
      <alignment vertical="center"/>
      <protection/>
    </xf>
    <xf numFmtId="164" fontId="4" fillId="33" borderId="10" xfId="0" applyNumberFormat="1" applyFont="1" applyFill="1" applyBorder="1" applyAlignment="1" applyProtection="1">
      <alignment vertical="center"/>
      <protection locked="0"/>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37" fontId="4" fillId="34" borderId="16" xfId="0" applyNumberFormat="1" applyFont="1" applyFill="1" applyBorder="1" applyAlignment="1" applyProtection="1">
      <alignment horizontal="left" vertical="center"/>
      <protection/>
    </xf>
    <xf numFmtId="0" fontId="4" fillId="34" borderId="16" xfId="0" applyFont="1" applyFill="1" applyBorder="1" applyAlignment="1" applyProtection="1">
      <alignment vertical="center"/>
      <protection/>
    </xf>
    <xf numFmtId="0" fontId="4" fillId="34" borderId="14" xfId="0" applyFont="1" applyFill="1" applyBorder="1" applyAlignment="1" applyProtection="1">
      <alignment vertical="center"/>
      <protection/>
    </xf>
    <xf numFmtId="3" fontId="4" fillId="35" borderId="14" xfId="0" applyNumberFormat="1" applyFont="1" applyFill="1" applyBorder="1" applyAlignment="1" applyProtection="1">
      <alignment vertical="center"/>
      <protection/>
    </xf>
    <xf numFmtId="164" fontId="4" fillId="35" borderId="10"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locked="0"/>
    </xf>
    <xf numFmtId="0" fontId="4" fillId="34" borderId="18" xfId="0"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164" fontId="4" fillId="34" borderId="0" xfId="0" applyNumberFormat="1" applyFont="1" applyFill="1" applyBorder="1" applyAlignment="1" applyProtection="1">
      <alignment vertical="center"/>
      <protection locked="0"/>
    </xf>
    <xf numFmtId="3" fontId="4" fillId="34" borderId="0" xfId="0" applyNumberFormat="1" applyFont="1" applyFill="1" applyBorder="1" applyAlignment="1" applyProtection="1">
      <alignment vertical="center"/>
      <protection/>
    </xf>
    <xf numFmtId="37" fontId="5" fillId="38" borderId="0" xfId="0" applyNumberFormat="1" applyFont="1" applyFill="1" applyAlignment="1" applyProtection="1">
      <alignment horizontal="left" vertical="center"/>
      <protection/>
    </xf>
    <xf numFmtId="0" fontId="4" fillId="34" borderId="0" xfId="0" applyFont="1" applyFill="1" applyAlignment="1">
      <alignment vertical="center"/>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37" fontId="4" fillId="36" borderId="16" xfId="0" applyNumberFormat="1" applyFont="1" applyFill="1" applyBorder="1" applyAlignment="1" applyProtection="1">
      <alignment horizontal="left" vertical="center"/>
      <protection/>
    </xf>
    <xf numFmtId="0" fontId="4" fillId="36" borderId="16" xfId="0" applyFont="1" applyFill="1" applyBorder="1" applyAlignment="1" applyProtection="1">
      <alignment vertical="center"/>
      <protection/>
    </xf>
    <xf numFmtId="37" fontId="4" fillId="36" borderId="13" xfId="0" applyNumberFormat="1" applyFont="1" applyFill="1" applyBorder="1" applyAlignment="1" applyProtection="1">
      <alignment horizontal="left" vertical="center"/>
      <protection/>
    </xf>
    <xf numFmtId="0" fontId="4" fillId="36" borderId="13" xfId="0" applyFont="1" applyFill="1" applyBorder="1" applyAlignment="1" applyProtection="1">
      <alignment vertical="center"/>
      <protection/>
    </xf>
    <xf numFmtId="0" fontId="4" fillId="34" borderId="13" xfId="0"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23" fillId="38" borderId="0" xfId="0" applyNumberFormat="1" applyFont="1" applyFill="1" applyAlignment="1" applyProtection="1">
      <alignment horizontal="left" vertical="center"/>
      <protection/>
    </xf>
    <xf numFmtId="0" fontId="6" fillId="36" borderId="0" xfId="0" applyFont="1" applyFill="1" applyAlignment="1">
      <alignment vertical="center"/>
    </xf>
    <xf numFmtId="0" fontId="4" fillId="38" borderId="0" xfId="0" applyFont="1" applyFill="1" applyAlignment="1" applyProtection="1">
      <alignment vertical="center"/>
      <protection locked="0"/>
    </xf>
    <xf numFmtId="0" fontId="4" fillId="34" borderId="0" xfId="0" applyFont="1" applyFill="1" applyAlignment="1" applyProtection="1">
      <alignment vertical="center"/>
      <protection locked="0"/>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0" fontId="4" fillId="38" borderId="16"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4" fillId="38" borderId="13" xfId="0" applyFont="1" applyFill="1" applyBorder="1" applyAlignment="1" applyProtection="1">
      <alignment vertical="center"/>
      <protection locked="0"/>
    </xf>
    <xf numFmtId="0" fontId="4" fillId="0" borderId="0" xfId="0" applyFont="1" applyAlignment="1" applyProtection="1">
      <alignment vertical="center"/>
      <protection locked="0"/>
    </xf>
    <xf numFmtId="37" fontId="4" fillId="34" borderId="0" xfId="0" applyNumberFormat="1" applyFont="1" applyFill="1" applyAlignment="1">
      <alignment vertical="center"/>
    </xf>
    <xf numFmtId="3" fontId="4" fillId="34" borderId="0" xfId="0" applyNumberFormat="1" applyFont="1" applyFill="1" applyAlignment="1" applyProtection="1">
      <alignment vertical="center"/>
      <protection/>
    </xf>
    <xf numFmtId="37" fontId="4" fillId="34" borderId="13" xfId="0" applyNumberFormat="1" applyFont="1" applyFill="1" applyBorder="1" applyAlignment="1" applyProtection="1">
      <alignment horizontal="left" vertical="center"/>
      <protection/>
    </xf>
    <xf numFmtId="37" fontId="4" fillId="33" borderId="10"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horizontal="left" vertical="center"/>
      <protection/>
    </xf>
    <xf numFmtId="3" fontId="4" fillId="34" borderId="18" xfId="0" applyNumberFormat="1" applyFont="1" applyFill="1" applyBorder="1" applyAlignment="1" applyProtection="1">
      <alignment vertical="center"/>
      <protection/>
    </xf>
    <xf numFmtId="3" fontId="4" fillId="34" borderId="14" xfId="0" applyNumberFormat="1"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0" fontId="0" fillId="34" borderId="0" xfId="0" applyFill="1" applyAlignment="1">
      <alignment vertical="center"/>
    </xf>
    <xf numFmtId="0" fontId="4" fillId="36" borderId="15" xfId="0" applyFont="1" applyFill="1" applyBorder="1" applyAlignment="1">
      <alignment horizontal="center" vertical="center"/>
    </xf>
    <xf numFmtId="0" fontId="4" fillId="36" borderId="11" xfId="0" applyFont="1" applyFill="1" applyBorder="1" applyAlignment="1">
      <alignment horizontal="center" vertical="center"/>
    </xf>
    <xf numFmtId="0" fontId="24" fillId="34" borderId="0" xfId="0" applyFont="1" applyFill="1" applyAlignment="1">
      <alignment vertical="center"/>
    </xf>
    <xf numFmtId="0" fontId="30" fillId="34" borderId="0" xfId="0" applyFont="1" applyFill="1" applyAlignment="1">
      <alignment vertical="center"/>
    </xf>
    <xf numFmtId="0" fontId="4" fillId="36" borderId="17" xfId="0" applyFont="1" applyFill="1" applyBorder="1" applyAlignment="1">
      <alignment horizontal="center" vertical="center"/>
    </xf>
    <xf numFmtId="37" fontId="4" fillId="34" borderId="17" xfId="0" applyNumberFormat="1" applyFont="1" applyFill="1" applyBorder="1" applyAlignment="1">
      <alignment vertical="center"/>
    </xf>
    <xf numFmtId="3" fontId="4" fillId="33" borderId="17" xfId="0" applyNumberFormat="1" applyFont="1" applyFill="1" applyBorder="1" applyAlignment="1" applyProtection="1">
      <alignment vertical="center"/>
      <protection locked="0"/>
    </xf>
    <xf numFmtId="0" fontId="18" fillId="34" borderId="0" xfId="0" applyFont="1" applyFill="1" applyAlignment="1">
      <alignment vertical="center"/>
    </xf>
    <xf numFmtId="0" fontId="18" fillId="0" borderId="0" xfId="0" applyFont="1" applyAlignment="1">
      <alignment vertical="center"/>
    </xf>
    <xf numFmtId="0" fontId="18" fillId="34" borderId="0" xfId="0" applyFont="1" applyFill="1" applyAlignment="1" applyProtection="1">
      <alignment vertical="center"/>
      <protection/>
    </xf>
    <xf numFmtId="0" fontId="0" fillId="0" borderId="0" xfId="0" applyAlignment="1">
      <alignment vertical="center"/>
    </xf>
    <xf numFmtId="37" fontId="18" fillId="34" borderId="0" xfId="0" applyNumberFormat="1" applyFont="1" applyFill="1" applyAlignment="1" applyProtection="1">
      <alignment horizontal="centerContinuous" vertical="center"/>
      <protection/>
    </xf>
    <xf numFmtId="0" fontId="18"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left" vertical="center"/>
      <protection/>
    </xf>
    <xf numFmtId="37" fontId="18" fillId="34" borderId="0" xfId="0" applyNumberFormat="1" applyFont="1" applyFill="1" applyAlignment="1" applyProtection="1">
      <alignment horizontal="fill" vertical="center"/>
      <protection/>
    </xf>
    <xf numFmtId="37" fontId="18" fillId="34" borderId="12" xfId="0" applyNumberFormat="1" applyFont="1" applyFill="1" applyBorder="1" applyAlignment="1" applyProtection="1">
      <alignment horizontal="centerContinuous" vertical="center"/>
      <protection/>
    </xf>
    <xf numFmtId="0" fontId="18" fillId="34" borderId="13" xfId="0" applyFont="1" applyFill="1" applyBorder="1" applyAlignment="1" applyProtection="1">
      <alignment horizontal="centerContinuous" vertical="center"/>
      <protection/>
    </xf>
    <xf numFmtId="0" fontId="18" fillId="34" borderId="14" xfId="0" applyFont="1" applyFill="1" applyBorder="1" applyAlignment="1" applyProtection="1">
      <alignment horizontal="centerContinuous" vertical="center"/>
      <protection/>
    </xf>
    <xf numFmtId="37" fontId="18" fillId="34" borderId="15" xfId="0" applyNumberFormat="1" applyFont="1" applyFill="1" applyBorder="1" applyAlignment="1" applyProtection="1">
      <alignment horizontal="center" vertical="center"/>
      <protection/>
    </xf>
    <xf numFmtId="37" fontId="19" fillId="34" borderId="16" xfId="0" applyNumberFormat="1" applyFont="1" applyFill="1" applyBorder="1" applyAlignment="1" applyProtection="1">
      <alignment horizontal="left" vertical="center"/>
      <protection/>
    </xf>
    <xf numFmtId="0" fontId="18" fillId="34" borderId="16" xfId="0" applyFont="1" applyFill="1" applyBorder="1" applyAlignment="1" applyProtection="1">
      <alignment vertical="center"/>
      <protection/>
    </xf>
    <xf numFmtId="37" fontId="18" fillId="34" borderId="17" xfId="0" applyNumberFormat="1" applyFont="1" applyFill="1" applyBorder="1" applyAlignment="1" applyProtection="1">
      <alignment horizontal="center" vertical="center"/>
      <protection/>
    </xf>
    <xf numFmtId="37" fontId="18" fillId="34" borderId="10" xfId="0" applyNumberFormat="1" applyFont="1" applyFill="1" applyBorder="1" applyAlignment="1" applyProtection="1">
      <alignment horizontal="left" vertical="center"/>
      <protection/>
    </xf>
    <xf numFmtId="37" fontId="18" fillId="34" borderId="11" xfId="0" applyNumberFormat="1" applyFont="1" applyFill="1" applyBorder="1" applyAlignment="1" applyProtection="1">
      <alignment horizontal="center" vertical="center"/>
      <protection/>
    </xf>
    <xf numFmtId="0" fontId="18" fillId="34" borderId="0" xfId="0" applyFont="1" applyFill="1" applyBorder="1" applyAlignment="1" applyProtection="1">
      <alignment vertical="center"/>
      <protection/>
    </xf>
    <xf numFmtId="37" fontId="18" fillId="34" borderId="12" xfId="0" applyNumberFormat="1" applyFont="1" applyFill="1" applyBorder="1" applyAlignment="1" applyProtection="1">
      <alignment horizontal="left" vertical="center"/>
      <protection/>
    </xf>
    <xf numFmtId="0" fontId="18" fillId="34" borderId="14" xfId="0" applyFont="1" applyFill="1" applyBorder="1" applyAlignment="1" applyProtection="1">
      <alignment vertical="center"/>
      <protection/>
    </xf>
    <xf numFmtId="37" fontId="18" fillId="34" borderId="18" xfId="0" applyNumberFormat="1" applyFont="1" applyFill="1" applyBorder="1" applyAlignment="1" applyProtection="1">
      <alignment horizontal="center" vertical="center"/>
      <protection/>
    </xf>
    <xf numFmtId="37" fontId="18" fillId="34" borderId="10" xfId="0" applyNumberFormat="1" applyFont="1" applyFill="1" applyBorder="1" applyAlignment="1" applyProtection="1">
      <alignment horizontal="center" vertical="center"/>
      <protection/>
    </xf>
    <xf numFmtId="0" fontId="18" fillId="34" borderId="11" xfId="0" applyFont="1" applyFill="1" applyBorder="1" applyAlignment="1" applyProtection="1">
      <alignment vertical="center"/>
      <protection/>
    </xf>
    <xf numFmtId="37" fontId="18" fillId="34" borderId="14" xfId="0" applyNumberFormat="1" applyFont="1" applyFill="1" applyBorder="1" applyAlignment="1" applyProtection="1">
      <alignment horizontal="center" vertical="center"/>
      <protection/>
    </xf>
    <xf numFmtId="37" fontId="28" fillId="34" borderId="17" xfId="0" applyNumberFormat="1" applyFont="1" applyFill="1" applyBorder="1" applyAlignment="1" applyProtection="1">
      <alignment horizontal="left" vertical="center"/>
      <protection/>
    </xf>
    <xf numFmtId="37" fontId="28" fillId="34" borderId="17" xfId="0" applyNumberFormat="1" applyFont="1" applyFill="1" applyBorder="1" applyAlignment="1" applyProtection="1">
      <alignment horizontal="center" vertical="center"/>
      <protection/>
    </xf>
    <xf numFmtId="0" fontId="18" fillId="34" borderId="10" xfId="0" applyFont="1" applyFill="1" applyBorder="1" applyAlignment="1" applyProtection="1">
      <alignment vertical="center"/>
      <protection/>
    </xf>
    <xf numFmtId="0" fontId="18" fillId="34" borderId="17" xfId="0" applyFont="1" applyFill="1" applyBorder="1" applyAlignment="1" applyProtection="1">
      <alignment vertical="center"/>
      <protection/>
    </xf>
    <xf numFmtId="37" fontId="18" fillId="34" borderId="12" xfId="0" applyNumberFormat="1" applyFont="1" applyFill="1" applyBorder="1" applyAlignment="1" applyProtection="1">
      <alignment horizontal="center" vertical="center"/>
      <protection/>
    </xf>
    <xf numFmtId="37" fontId="18" fillId="34" borderId="10" xfId="0" applyNumberFormat="1" applyFont="1" applyFill="1" applyBorder="1" applyAlignment="1" applyProtection="1">
      <alignment vertical="center"/>
      <protection/>
    </xf>
    <xf numFmtId="183" fontId="4" fillId="34" borderId="10" xfId="0" applyNumberFormat="1" applyFont="1" applyFill="1" applyBorder="1" applyAlignment="1" applyProtection="1">
      <alignment vertical="center"/>
      <protection/>
    </xf>
    <xf numFmtId="37" fontId="4" fillId="34" borderId="10" xfId="0" applyNumberFormat="1" applyFont="1" applyFill="1" applyBorder="1" applyAlignment="1" applyProtection="1">
      <alignment horizontal="center" vertical="center"/>
      <protection/>
    </xf>
    <xf numFmtId="0" fontId="18" fillId="34" borderId="10" xfId="0" applyFont="1" applyFill="1" applyBorder="1" applyAlignment="1" applyProtection="1">
      <alignment horizontal="center" vertical="center"/>
      <protection/>
    </xf>
    <xf numFmtId="0" fontId="18" fillId="34" borderId="15" xfId="0" applyFont="1" applyFill="1" applyBorder="1" applyAlignment="1" applyProtection="1">
      <alignment vertical="center"/>
      <protection/>
    </xf>
    <xf numFmtId="37" fontId="19" fillId="34" borderId="15" xfId="0" applyNumberFormat="1" applyFont="1" applyFill="1" applyBorder="1" applyAlignment="1" applyProtection="1">
      <alignment horizontal="left" vertical="center"/>
      <protection/>
    </xf>
    <xf numFmtId="37" fontId="18" fillId="34" borderId="19" xfId="0" applyNumberFormat="1" applyFont="1" applyFill="1" applyBorder="1" applyAlignment="1" applyProtection="1">
      <alignment horizontal="left" vertical="center"/>
      <protection/>
    </xf>
    <xf numFmtId="0" fontId="18" fillId="34" borderId="20" xfId="0" applyFont="1" applyFill="1" applyBorder="1" applyAlignment="1" applyProtection="1">
      <alignment vertical="center"/>
      <protection/>
    </xf>
    <xf numFmtId="37" fontId="18" fillId="34" borderId="0"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0" fontId="4" fillId="39" borderId="10" xfId="0" applyFont="1" applyFill="1" applyBorder="1" applyAlignment="1">
      <alignment horizontal="center" vertical="center" shrinkToFit="1"/>
    </xf>
    <xf numFmtId="0" fontId="24" fillId="39" borderId="14" xfId="0" applyFont="1" applyFill="1" applyBorder="1" applyAlignment="1" applyProtection="1">
      <alignment horizontal="center" vertical="center"/>
      <protection/>
    </xf>
    <xf numFmtId="3" fontId="18" fillId="33" borderId="10" xfId="0" applyNumberFormat="1" applyFont="1" applyFill="1" applyBorder="1" applyAlignment="1" applyProtection="1">
      <alignment vertical="center"/>
      <protection locked="0"/>
    </xf>
    <xf numFmtId="37" fontId="18" fillId="34" borderId="14" xfId="0" applyNumberFormat="1" applyFont="1" applyFill="1" applyBorder="1" applyAlignment="1" applyProtection="1">
      <alignment horizontal="fill" vertical="center"/>
      <protection/>
    </xf>
    <xf numFmtId="37" fontId="18" fillId="34" borderId="0" xfId="0" applyNumberFormat="1" applyFont="1" applyFill="1" applyAlignment="1" applyProtection="1">
      <alignment horizontal="right" vertical="center"/>
      <protection/>
    </xf>
    <xf numFmtId="0" fontId="18" fillId="33" borderId="16" xfId="0" applyFont="1" applyFill="1" applyBorder="1" applyAlignment="1" applyProtection="1">
      <alignment vertical="center"/>
      <protection locked="0"/>
    </xf>
    <xf numFmtId="0" fontId="18" fillId="33" borderId="13" xfId="0" applyFont="1" applyFill="1" applyBorder="1" applyAlignment="1" applyProtection="1">
      <alignment vertical="center"/>
      <protection locked="0"/>
    </xf>
    <xf numFmtId="0" fontId="18" fillId="34" borderId="0" xfId="0" applyFont="1" applyFill="1" applyAlignment="1" applyProtection="1">
      <alignment horizontal="right" vertical="center"/>
      <protection/>
    </xf>
    <xf numFmtId="0" fontId="18" fillId="34" borderId="0" xfId="0" applyFont="1" applyFill="1" applyAlignment="1" applyProtection="1">
      <alignment horizontal="left" vertical="center"/>
      <protection/>
    </xf>
    <xf numFmtId="0" fontId="18" fillId="0" borderId="0" xfId="0" applyFont="1" applyAlignment="1" applyProtection="1">
      <alignment vertical="center"/>
      <protection locked="0"/>
    </xf>
    <xf numFmtId="37" fontId="4" fillId="34" borderId="0" xfId="0" applyNumberFormat="1" applyFont="1" applyFill="1" applyAlignment="1" applyProtection="1">
      <alignment horizontal="centerContinuous" vertical="center"/>
      <protection/>
    </xf>
    <xf numFmtId="37" fontId="4" fillId="34" borderId="12" xfId="0" applyNumberFormat="1"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14" xfId="0" applyFont="1" applyFill="1" applyBorder="1" applyAlignment="1" applyProtection="1">
      <alignment horizontal="centerContinuous" vertical="center"/>
      <protection/>
    </xf>
    <xf numFmtId="37" fontId="4" fillId="34" borderId="15"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left" vertical="center"/>
      <protection/>
    </xf>
    <xf numFmtId="37" fontId="4" fillId="34" borderId="17"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0" xfId="0" applyNumberFormat="1" applyFont="1" applyFill="1" applyBorder="1" applyAlignment="1" applyProtection="1">
      <alignment horizontal="center" vertical="center"/>
      <protection/>
    </xf>
    <xf numFmtId="37" fontId="4" fillId="33" borderId="10" xfId="0" applyNumberFormat="1" applyFont="1" applyFill="1" applyBorder="1" applyAlignment="1" applyProtection="1">
      <alignment horizontal="left" vertical="center"/>
      <protection locked="0"/>
    </xf>
    <xf numFmtId="37" fontId="4" fillId="34" borderId="10" xfId="0" applyNumberFormat="1" applyFont="1" applyFill="1" applyBorder="1" applyAlignment="1" applyProtection="1">
      <alignment horizontal="fill" vertical="center"/>
      <protection/>
    </xf>
    <xf numFmtId="37" fontId="4" fillId="35" borderId="21" xfId="0" applyNumberFormat="1" applyFont="1" applyFill="1" applyBorder="1" applyAlignment="1" applyProtection="1">
      <alignment vertical="center"/>
      <protection/>
    </xf>
    <xf numFmtId="183" fontId="4" fillId="35" borderId="21"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7" fontId="4" fillId="0" borderId="0" xfId="0" applyNumberFormat="1" applyFont="1" applyAlignment="1" applyProtection="1">
      <alignment horizontal="left" vertical="center"/>
      <protection locked="0"/>
    </xf>
    <xf numFmtId="0" fontId="4" fillId="0" borderId="0" xfId="0" applyFont="1" applyAlignment="1" applyProtection="1">
      <alignment horizontal="center" vertical="center"/>
      <protection locked="0"/>
    </xf>
    <xf numFmtId="37" fontId="4" fillId="0" borderId="0" xfId="0" applyNumberFormat="1" applyFont="1" applyAlignment="1" applyProtection="1">
      <alignment horizontal="fill" vertical="center"/>
      <protection locked="0"/>
    </xf>
    <xf numFmtId="37" fontId="4"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6" xfId="0" applyNumberFormat="1"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0" fontId="4" fillId="34" borderId="22" xfId="0" applyFont="1" applyFill="1" applyBorder="1" applyAlignment="1" applyProtection="1">
      <alignment vertical="center"/>
      <protection/>
    </xf>
    <xf numFmtId="171" fontId="4" fillId="34" borderId="16"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3" xfId="0" applyNumberFormat="1" applyFont="1" applyFill="1" applyBorder="1" applyAlignment="1" applyProtection="1">
      <alignment vertical="center"/>
      <protection/>
    </xf>
    <xf numFmtId="0" fontId="7" fillId="0" borderId="0" xfId="0" applyFont="1" applyAlignment="1">
      <alignment vertical="center"/>
    </xf>
    <xf numFmtId="37" fontId="4" fillId="34" borderId="0" xfId="0" applyNumberFormat="1" applyFont="1" applyFill="1" applyAlignment="1" applyProtection="1">
      <alignment horizontal="right" vertical="center"/>
      <protection/>
    </xf>
    <xf numFmtId="0" fontId="5" fillId="34" borderId="16"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xf>
    <xf numFmtId="0" fontId="4" fillId="33" borderId="17" xfId="0" applyFont="1" applyFill="1" applyBorder="1" applyAlignment="1" applyProtection="1">
      <alignment vertical="center"/>
      <protection locked="0"/>
    </xf>
    <xf numFmtId="175" fontId="4" fillId="33" borderId="17" xfId="42" applyNumberFormat="1" applyFont="1" applyFill="1" applyBorder="1" applyAlignment="1" applyProtection="1">
      <alignment vertical="center"/>
      <protection locked="0"/>
    </xf>
    <xf numFmtId="175" fontId="4" fillId="33" borderId="10" xfId="42" applyNumberFormat="1"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1" fontId="4" fillId="34" borderId="0" xfId="0" applyNumberFormat="1" applyFont="1" applyFill="1" applyBorder="1" applyAlignment="1" applyProtection="1">
      <alignment horizontal="right" vertical="center"/>
      <protection/>
    </xf>
    <xf numFmtId="0" fontId="5" fillId="34" borderId="0" xfId="403" applyFont="1" applyFill="1" applyAlignment="1" applyProtection="1">
      <alignment horizontal="centerContinuous"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center" vertical="center"/>
      <protection/>
    </xf>
    <xf numFmtId="0" fontId="4" fillId="34" borderId="19" xfId="0" applyFont="1" applyFill="1" applyBorder="1" applyAlignment="1" applyProtection="1">
      <alignment horizontal="centerContinuous" vertical="center"/>
      <protection/>
    </xf>
    <xf numFmtId="0" fontId="4" fillId="34" borderId="20"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 vertical="center"/>
      <protection/>
    </xf>
    <xf numFmtId="1" fontId="4" fillId="34" borderId="27"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0" fontId="4" fillId="34" borderId="17" xfId="0" applyFont="1" applyFill="1" applyBorder="1" applyAlignment="1" applyProtection="1">
      <alignment horizontal="center" vertical="center"/>
      <protection/>
    </xf>
    <xf numFmtId="2" fontId="4" fillId="34" borderId="10"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0" fontId="4" fillId="33" borderId="10" xfId="0" applyFont="1" applyFill="1" applyBorder="1" applyAlignment="1" applyProtection="1">
      <alignment horizontal="center" vertical="center"/>
      <protection locked="0"/>
    </xf>
    <xf numFmtId="2" fontId="4" fillId="33" borderId="10" xfId="0" applyNumberFormat="1" applyFont="1" applyFill="1" applyBorder="1" applyAlignment="1" applyProtection="1">
      <alignment horizontal="center" vertical="center"/>
      <protection locked="0"/>
    </xf>
    <xf numFmtId="3" fontId="4" fillId="33" borderId="10" xfId="0" applyNumberFormat="1" applyFont="1" applyFill="1" applyBorder="1" applyAlignment="1" applyProtection="1">
      <alignment horizontal="center" vertical="center"/>
      <protection locked="0"/>
    </xf>
    <xf numFmtId="37" fontId="4" fillId="33" borderId="10" xfId="0" applyNumberFormat="1" applyFont="1" applyFill="1" applyBorder="1" applyAlignment="1" applyProtection="1">
      <alignment horizontal="center" vertical="center"/>
      <protection locked="0"/>
    </xf>
    <xf numFmtId="173" fontId="4" fillId="33" borderId="10" xfId="0" applyNumberFormat="1"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172" fontId="5" fillId="34" borderId="10" xfId="0" applyNumberFormat="1" applyFont="1" applyFill="1" applyBorder="1" applyAlignment="1" applyProtection="1">
      <alignment horizontal="center" vertical="center"/>
      <protection/>
    </xf>
    <xf numFmtId="2" fontId="5" fillId="34" borderId="10" xfId="0" applyNumberFormat="1" applyFont="1" applyFill="1" applyBorder="1" applyAlignment="1" applyProtection="1">
      <alignment horizontal="center" vertical="center"/>
      <protection/>
    </xf>
    <xf numFmtId="3" fontId="5" fillId="34" borderId="10" xfId="0" applyNumberFormat="1" applyFont="1" applyFill="1" applyBorder="1" applyAlignment="1" applyProtection="1">
      <alignment horizontal="center" vertical="center"/>
      <protection/>
    </xf>
    <xf numFmtId="37" fontId="5" fillId="35" borderId="10" xfId="0" applyNumberFormat="1" applyFont="1" applyFill="1" applyBorder="1" applyAlignment="1" applyProtection="1">
      <alignment horizontal="center" vertical="center"/>
      <protection/>
    </xf>
    <xf numFmtId="173" fontId="5" fillId="34" borderId="10" xfId="0" applyNumberFormat="1" applyFont="1" applyFill="1" applyBorder="1" applyAlignment="1" applyProtection="1">
      <alignment horizontal="center" vertical="center"/>
      <protection/>
    </xf>
    <xf numFmtId="172"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73" fontId="4" fillId="34" borderId="10" xfId="0" applyNumberFormat="1" applyFont="1" applyFill="1" applyBorder="1" applyAlignment="1" applyProtection="1">
      <alignment horizontal="center" vertical="center"/>
      <protection/>
    </xf>
    <xf numFmtId="1" fontId="5" fillId="34" borderId="10" xfId="0" applyNumberFormat="1" applyFont="1" applyFill="1" applyBorder="1" applyAlignment="1" applyProtection="1">
      <alignment horizontal="center" vertical="center"/>
      <protection/>
    </xf>
    <xf numFmtId="3" fontId="5" fillId="35"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0" fontId="4" fillId="34" borderId="28"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27" xfId="0" applyFont="1" applyFill="1" applyBorder="1" applyAlignment="1" applyProtection="1">
      <alignment horizontal="left" vertical="center"/>
      <protection/>
    </xf>
    <xf numFmtId="0" fontId="8" fillId="34" borderId="17" xfId="0" applyFont="1" applyFill="1" applyBorder="1" applyAlignment="1" applyProtection="1">
      <alignment horizontal="center" vertical="center"/>
      <protection/>
    </xf>
    <xf numFmtId="14" fontId="4" fillId="34" borderId="17" xfId="0" applyNumberFormat="1" applyFont="1" applyFill="1" applyBorder="1" applyAlignment="1" applyProtection="1" quotePrefix="1">
      <alignment horizontal="center" vertical="center"/>
      <protection/>
    </xf>
    <xf numFmtId="0" fontId="4" fillId="33" borderId="10" xfId="0" applyFont="1" applyFill="1" applyBorder="1" applyAlignment="1" applyProtection="1">
      <alignment vertical="center"/>
      <protection locked="0"/>
    </xf>
    <xf numFmtId="1" fontId="4" fillId="33" borderId="10" xfId="0" applyNumberFormat="1" applyFont="1" applyFill="1" applyBorder="1" applyAlignment="1" applyProtection="1">
      <alignment vertical="center"/>
      <protection locked="0"/>
    </xf>
    <xf numFmtId="2" fontId="4" fillId="33" borderId="10" xfId="0" applyNumberFormat="1" applyFont="1" applyFill="1" applyBorder="1" applyAlignment="1" applyProtection="1">
      <alignment vertical="center"/>
      <protection locked="0"/>
    </xf>
    <xf numFmtId="3" fontId="5" fillId="35" borderId="21" xfId="0" applyNumberFormat="1" applyFont="1" applyFill="1" applyBorder="1" applyAlignment="1" applyProtection="1">
      <alignment vertical="center"/>
      <protection/>
    </xf>
    <xf numFmtId="0" fontId="4" fillId="0" borderId="0" xfId="0" applyFont="1" applyBorder="1" applyAlignment="1">
      <alignment vertical="center"/>
    </xf>
    <xf numFmtId="0" fontId="4" fillId="37" borderId="0" xfId="402" applyFont="1" applyFill="1" applyAlignment="1" applyProtection="1">
      <alignment vertical="center"/>
      <protection/>
    </xf>
    <xf numFmtId="0" fontId="4" fillId="37" borderId="0" xfId="0" applyFont="1" applyFill="1" applyAlignment="1" applyProtection="1">
      <alignment vertical="center"/>
      <protection/>
    </xf>
    <xf numFmtId="0" fontId="4" fillId="34" borderId="0" xfId="0" applyFont="1" applyFill="1" applyAlignment="1" applyProtection="1" quotePrefix="1">
      <alignment horizontal="right" vertical="center"/>
      <protection/>
    </xf>
    <xf numFmtId="0" fontId="4" fillId="34" borderId="0" xfId="0" applyFont="1" applyFill="1" applyAlignment="1" applyProtection="1">
      <alignment horizontal="left" vertical="center"/>
      <protection/>
    </xf>
    <xf numFmtId="1" fontId="4" fillId="34" borderId="17"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7" fontId="4" fillId="34" borderId="12" xfId="0" applyNumberFormat="1" applyFont="1" applyFill="1" applyBorder="1" applyAlignment="1" applyProtection="1">
      <alignment vertical="center"/>
      <protection/>
    </xf>
    <xf numFmtId="37" fontId="4" fillId="33" borderId="10"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3" borderId="12" xfId="0" applyFont="1" applyFill="1" applyBorder="1" applyAlignment="1" applyProtection="1">
      <alignment horizontal="left" vertical="center"/>
      <protection locked="0"/>
    </xf>
    <xf numFmtId="0" fontId="4" fillId="34" borderId="12" xfId="0" applyFont="1" applyFill="1" applyBorder="1" applyAlignment="1" applyProtection="1">
      <alignment vertical="center"/>
      <protection/>
    </xf>
    <xf numFmtId="3" fontId="24" fillId="40" borderId="20"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left" vertical="center"/>
      <protection/>
    </xf>
    <xf numFmtId="37" fontId="5" fillId="35" borderId="10" xfId="0" applyNumberFormat="1" applyFont="1" applyFill="1" applyBorder="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Alignment="1" applyProtection="1">
      <alignment horizontal="fill" vertical="center"/>
      <protection/>
    </xf>
    <xf numFmtId="0" fontId="4" fillId="34" borderId="17"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37" fontId="4" fillId="35" borderId="10" xfId="0" applyNumberFormat="1" applyFont="1" applyFill="1" applyBorder="1" applyAlignment="1" applyProtection="1">
      <alignment vertical="center"/>
      <protection/>
    </xf>
    <xf numFmtId="0" fontId="24" fillId="0" borderId="0" xfId="0" applyFont="1" applyAlignment="1">
      <alignment vertical="center"/>
    </xf>
    <xf numFmtId="0" fontId="25" fillId="34" borderId="0" xfId="0" applyFont="1" applyFill="1" applyAlignment="1" applyProtection="1">
      <alignment horizontal="center" vertical="center"/>
      <protection/>
    </xf>
    <xf numFmtId="0" fontId="4" fillId="34" borderId="0" xfId="0" applyFont="1" applyFill="1" applyAlignment="1">
      <alignment horizontal="right" vertical="center"/>
    </xf>
    <xf numFmtId="1" fontId="4" fillId="34" borderId="15"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left" vertical="center"/>
      <protection locked="0"/>
    </xf>
    <xf numFmtId="37" fontId="4" fillId="35" borderId="15" xfId="0" applyNumberFormat="1" applyFont="1" applyFill="1" applyBorder="1" applyAlignment="1" applyProtection="1">
      <alignment vertical="center"/>
      <protection/>
    </xf>
    <xf numFmtId="0" fontId="4" fillId="34" borderId="0" xfId="0" applyNumberFormat="1" applyFont="1" applyFill="1" applyAlignment="1" applyProtection="1">
      <alignment vertical="center"/>
      <protection/>
    </xf>
    <xf numFmtId="37" fontId="4" fillId="34" borderId="0" xfId="0" applyNumberFormat="1" applyFont="1" applyFill="1" applyAlignment="1" applyProtection="1">
      <alignment horizontal="fill" vertical="center"/>
      <protection/>
    </xf>
    <xf numFmtId="0" fontId="4" fillId="35" borderId="0" xfId="0" applyFont="1" applyFill="1" applyAlignment="1" applyProtection="1">
      <alignment horizontal="left" vertical="center"/>
      <protection/>
    </xf>
    <xf numFmtId="37" fontId="5" fillId="39" borderId="21" xfId="0" applyNumberFormat="1" applyFont="1" applyFill="1" applyBorder="1" applyAlignment="1" applyProtection="1">
      <alignment vertical="center"/>
      <protection/>
    </xf>
    <xf numFmtId="0" fontId="24" fillId="37" borderId="0" xfId="0" applyFont="1" applyFill="1" applyAlignment="1">
      <alignment vertical="center"/>
    </xf>
    <xf numFmtId="37" fontId="4" fillId="37" borderId="0" xfId="0" applyNumberFormat="1" applyFont="1" applyFill="1" applyAlignment="1">
      <alignment vertical="center"/>
    </xf>
    <xf numFmtId="37" fontId="4" fillId="0" borderId="0" xfId="0" applyNumberFormat="1" applyFont="1" applyAlignment="1">
      <alignment vertical="center"/>
    </xf>
    <xf numFmtId="166" fontId="4" fillId="34" borderId="0" xfId="0" applyNumberFormat="1" applyFont="1" applyFill="1" applyAlignment="1" applyProtection="1">
      <alignment vertical="center"/>
      <protection/>
    </xf>
    <xf numFmtId="37" fontId="4" fillId="34" borderId="0" xfId="0" applyNumberFormat="1" applyFont="1" applyFill="1" applyAlignment="1" applyProtection="1" quotePrefix="1">
      <alignment horizontal="right" vertical="center"/>
      <protection/>
    </xf>
    <xf numFmtId="37" fontId="4" fillId="34" borderId="27"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fill" vertical="center"/>
      <protection/>
    </xf>
    <xf numFmtId="3" fontId="24" fillId="40" borderId="10" xfId="0" applyNumberFormat="1" applyFont="1" applyFill="1" applyBorder="1" applyAlignment="1" applyProtection="1">
      <alignment horizontal="center" vertical="center"/>
      <protection/>
    </xf>
    <xf numFmtId="3" fontId="4" fillId="39" borderId="10" xfId="0" applyNumberFormat="1" applyFont="1" applyFill="1" applyBorder="1" applyAlignment="1" applyProtection="1">
      <alignment vertical="center"/>
      <protection/>
    </xf>
    <xf numFmtId="0" fontId="4" fillId="33" borderId="0" xfId="0" applyFont="1" applyFill="1" applyAlignment="1" applyProtection="1">
      <alignment horizontal="left" vertical="center"/>
      <protection locked="0"/>
    </xf>
    <xf numFmtId="0" fontId="4" fillId="33" borderId="12" xfId="0" applyFont="1" applyFill="1" applyBorder="1" applyAlignment="1" applyProtection="1">
      <alignment horizontal="left" vertical="center"/>
      <protection/>
    </xf>
    <xf numFmtId="0" fontId="4" fillId="33" borderId="12" xfId="0" applyFont="1" applyFill="1" applyBorder="1" applyAlignment="1">
      <alignment vertical="center"/>
    </xf>
    <xf numFmtId="3" fontId="5" fillId="35" borderId="10" xfId="0" applyNumberFormat="1" applyFont="1" applyFill="1" applyBorder="1" applyAlignment="1" applyProtection="1">
      <alignment vertical="center"/>
      <protection/>
    </xf>
    <xf numFmtId="0" fontId="4" fillId="34" borderId="0" xfId="0" applyFont="1" applyFill="1" applyAlignment="1" applyProtection="1">
      <alignment horizontal="center" vertical="center"/>
      <protection locked="0"/>
    </xf>
    <xf numFmtId="37" fontId="4" fillId="33" borderId="12" xfId="0" applyNumberFormat="1" applyFont="1" applyFill="1" applyBorder="1" applyAlignment="1" applyProtection="1">
      <alignment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31" fillId="34" borderId="0" xfId="0" applyFont="1" applyFill="1" applyAlignment="1">
      <alignment horizontal="center" vertical="center"/>
    </xf>
    <xf numFmtId="0" fontId="4" fillId="34" borderId="14" xfId="0" applyFont="1" applyFill="1" applyBorder="1" applyAlignment="1">
      <alignment horizontal="center" vertical="center"/>
    </xf>
    <xf numFmtId="0" fontId="4" fillId="34" borderId="16" xfId="0" applyFont="1" applyFill="1" applyBorder="1" applyAlignment="1">
      <alignment vertical="center"/>
    </xf>
    <xf numFmtId="0" fontId="22" fillId="34" borderId="15" xfId="0" applyFont="1" applyFill="1" applyBorder="1" applyAlignment="1">
      <alignment vertical="center"/>
    </xf>
    <xf numFmtId="0" fontId="22" fillId="34" borderId="14" xfId="0" applyFont="1" applyFill="1" applyBorder="1" applyAlignment="1">
      <alignment horizontal="center" vertical="center"/>
    </xf>
    <xf numFmtId="0" fontId="22" fillId="34" borderId="20" xfId="0" applyFont="1" applyFill="1" applyBorder="1" applyAlignment="1">
      <alignment vertical="center"/>
    </xf>
    <xf numFmtId="0" fontId="22" fillId="34" borderId="10" xfId="0" applyFont="1" applyFill="1" applyBorder="1" applyAlignment="1">
      <alignment horizontal="center" vertical="center"/>
    </xf>
    <xf numFmtId="0" fontId="4" fillId="34" borderId="14" xfId="0" applyFont="1" applyFill="1" applyBorder="1" applyAlignment="1">
      <alignment vertical="center"/>
    </xf>
    <xf numFmtId="0" fontId="4" fillId="34" borderId="10" xfId="0" applyFont="1" applyFill="1" applyBorder="1" applyAlignment="1">
      <alignment horizontal="center" vertical="center"/>
    </xf>
    <xf numFmtId="0" fontId="22" fillId="34" borderId="27" xfId="0" applyFont="1" applyFill="1" applyBorder="1" applyAlignment="1">
      <alignment vertical="center"/>
    </xf>
    <xf numFmtId="3" fontId="22" fillId="33" borderId="10" xfId="0" applyNumberFormat="1" applyFont="1" applyFill="1" applyBorder="1" applyAlignment="1" applyProtection="1">
      <alignment horizontal="center" vertical="center"/>
      <protection locked="0"/>
    </xf>
    <xf numFmtId="0" fontId="22" fillId="34" borderId="16" xfId="0" applyFont="1" applyFill="1" applyBorder="1" applyAlignment="1">
      <alignment vertical="center"/>
    </xf>
    <xf numFmtId="3" fontId="22" fillId="35" borderId="10" xfId="0" applyNumberFormat="1" applyFont="1" applyFill="1" applyBorder="1" applyAlignment="1">
      <alignment horizontal="center" vertical="center"/>
    </xf>
    <xf numFmtId="0" fontId="22" fillId="34" borderId="0" xfId="0" applyFont="1" applyFill="1" applyAlignment="1">
      <alignment vertical="center"/>
    </xf>
    <xf numFmtId="3" fontId="22" fillId="34" borderId="0" xfId="0" applyNumberFormat="1" applyFont="1" applyFill="1" applyAlignment="1">
      <alignment horizontal="center" vertical="center"/>
    </xf>
    <xf numFmtId="0" fontId="22" fillId="34" borderId="0" xfId="0" applyFont="1" applyFill="1" applyAlignment="1">
      <alignment horizontal="center" vertical="center"/>
    </xf>
    <xf numFmtId="0" fontId="22" fillId="33" borderId="10" xfId="0" applyFont="1" applyFill="1" applyBorder="1" applyAlignment="1" applyProtection="1">
      <alignment vertical="center"/>
      <protection locked="0"/>
    </xf>
    <xf numFmtId="0" fontId="22" fillId="33" borderId="20" xfId="0" applyFont="1" applyFill="1" applyBorder="1" applyAlignment="1" applyProtection="1">
      <alignment vertical="center"/>
      <protection locked="0"/>
    </xf>
    <xf numFmtId="0" fontId="22" fillId="33" borderId="0" xfId="0" applyFont="1" applyFill="1" applyAlignment="1" applyProtection="1">
      <alignment vertical="center"/>
      <protection locked="0"/>
    </xf>
    <xf numFmtId="0" fontId="22" fillId="33" borderId="14" xfId="0" applyFont="1" applyFill="1" applyBorder="1" applyAlignment="1" applyProtection="1">
      <alignment vertical="center"/>
      <protection locked="0"/>
    </xf>
    <xf numFmtId="0" fontId="22" fillId="33" borderId="17" xfId="0" applyFont="1" applyFill="1" applyBorder="1" applyAlignment="1" applyProtection="1">
      <alignment vertical="center"/>
      <protection locked="0"/>
    </xf>
    <xf numFmtId="0" fontId="22" fillId="33" borderId="24" xfId="0" applyFont="1" applyFill="1" applyBorder="1" applyAlignment="1" applyProtection="1">
      <alignment vertical="center"/>
      <protection locked="0"/>
    </xf>
    <xf numFmtId="3" fontId="22" fillId="34" borderId="10" xfId="0" applyNumberFormat="1" applyFont="1" applyFill="1" applyBorder="1" applyAlignment="1">
      <alignment horizontal="center" vertical="center"/>
    </xf>
    <xf numFmtId="3" fontId="27" fillId="39" borderId="10" xfId="0" applyNumberFormat="1" applyFont="1" applyFill="1" applyBorder="1" applyAlignment="1">
      <alignment horizontal="center" vertical="center"/>
    </xf>
    <xf numFmtId="3" fontId="4" fillId="34" borderId="0" xfId="0" applyNumberFormat="1" applyFont="1" applyFill="1" applyAlignment="1">
      <alignment vertical="center"/>
    </xf>
    <xf numFmtId="3" fontId="4" fillId="0" borderId="0" xfId="0" applyNumberFormat="1" applyFont="1" applyAlignment="1">
      <alignment vertical="center"/>
    </xf>
    <xf numFmtId="0" fontId="4" fillId="0" borderId="0" xfId="0" applyFont="1" applyAlignment="1">
      <alignment horizontal="centerContinuous" vertical="center"/>
    </xf>
    <xf numFmtId="0" fontId="4" fillId="34" borderId="15" xfId="0" applyFont="1" applyFill="1" applyBorder="1" applyAlignment="1" applyProtection="1">
      <alignment horizontal="centerContinuous" vertical="center"/>
      <protection/>
    </xf>
    <xf numFmtId="1" fontId="4" fillId="34" borderId="12" xfId="0" applyNumberFormat="1" applyFont="1" applyFill="1" applyBorder="1" applyAlignment="1" applyProtection="1">
      <alignment horizontal="centerContinuous" vertical="center"/>
      <protection/>
    </xf>
    <xf numFmtId="164" fontId="4" fillId="34" borderId="10" xfId="0" applyNumberFormat="1" applyFont="1" applyFill="1" applyBorder="1" applyAlignment="1" applyProtection="1">
      <alignment vertical="center"/>
      <protection/>
    </xf>
    <xf numFmtId="37" fontId="4" fillId="34" borderId="10" xfId="0" applyNumberFormat="1" applyFont="1" applyFill="1" applyBorder="1" applyAlignment="1" applyProtection="1">
      <alignment vertical="center"/>
      <protection locked="0"/>
    </xf>
    <xf numFmtId="1" fontId="4" fillId="34" borderId="0" xfId="0" applyNumberFormat="1" applyFont="1" applyFill="1" applyAlignment="1" applyProtection="1">
      <alignment vertical="center"/>
      <protection/>
    </xf>
    <xf numFmtId="1" fontId="6" fillId="34" borderId="0" xfId="0" applyNumberFormat="1" applyFont="1" applyFill="1" applyAlignment="1" applyProtection="1">
      <alignment horizontal="center" vertical="center"/>
      <protection/>
    </xf>
    <xf numFmtId="37" fontId="4" fillId="34" borderId="21" xfId="0" applyNumberFormat="1" applyFont="1" applyFill="1" applyBorder="1" applyAlignment="1" applyProtection="1">
      <alignment vertical="center"/>
      <protection/>
    </xf>
    <xf numFmtId="0" fontId="4" fillId="33" borderId="0" xfId="0" applyFont="1" applyFill="1" applyAlignment="1" applyProtection="1">
      <alignment vertical="center"/>
      <protection locked="0"/>
    </xf>
    <xf numFmtId="0" fontId="4" fillId="34" borderId="15" xfId="0" applyFont="1" applyFill="1" applyBorder="1" applyAlignment="1" applyProtection="1">
      <alignment horizontal="center" vertical="center" wrapText="1"/>
      <protection/>
    </xf>
    <xf numFmtId="0" fontId="4" fillId="34" borderId="2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3" fontId="4" fillId="33" borderId="10" xfId="0" applyNumberFormat="1" applyFont="1" applyFill="1" applyBorder="1" applyAlignment="1" applyProtection="1">
      <alignment horizontal="center" vertical="center"/>
      <protection locked="0"/>
    </xf>
    <xf numFmtId="184" fontId="4" fillId="34" borderId="10" xfId="0" applyNumberFormat="1" applyFont="1" applyFill="1" applyBorder="1" applyAlignment="1" applyProtection="1">
      <alignment horizontal="center" vertical="center"/>
      <protection/>
    </xf>
    <xf numFmtId="3" fontId="4" fillId="33" borderId="15" xfId="0" applyNumberFormat="1" applyFont="1" applyFill="1" applyBorder="1" applyAlignment="1" applyProtection="1">
      <alignment horizontal="center" vertical="center"/>
      <protection locked="0"/>
    </xf>
    <xf numFmtId="3" fontId="4" fillId="34" borderId="21" xfId="0" applyNumberFormat="1" applyFont="1" applyFill="1" applyBorder="1" applyAlignment="1" applyProtection="1">
      <alignment horizontal="center" vertical="center"/>
      <protection/>
    </xf>
    <xf numFmtId="184" fontId="4" fillId="34" borderId="21"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4" fontId="4" fillId="34" borderId="16" xfId="0" applyNumberFormat="1" applyFont="1" applyFill="1" applyBorder="1" applyAlignment="1" applyProtection="1">
      <alignment horizontal="center" vertical="center"/>
      <protection/>
    </xf>
    <xf numFmtId="184" fontId="4" fillId="34" borderId="0" xfId="0" applyNumberFormat="1" applyFont="1" applyFill="1" applyBorder="1" applyAlignment="1" applyProtection="1">
      <alignment horizontal="center" vertical="center"/>
      <protection/>
    </xf>
    <xf numFmtId="3" fontId="4" fillId="34" borderId="16" xfId="0" applyNumberFormat="1" applyFont="1" applyFill="1" applyBorder="1" applyAlignment="1">
      <alignment horizontal="center" vertical="center"/>
    </xf>
    <xf numFmtId="0" fontId="0" fillId="34" borderId="0" xfId="0" applyFill="1" applyAlignment="1">
      <alignment horizontal="center" vertical="center"/>
    </xf>
    <xf numFmtId="184" fontId="4" fillId="34" borderId="16" xfId="0" applyNumberFormat="1" applyFont="1" applyFill="1" applyBorder="1" applyAlignment="1">
      <alignment horizontal="center" vertical="center"/>
    </xf>
    <xf numFmtId="183" fontId="4" fillId="34" borderId="0" xfId="0" applyNumberFormat="1" applyFont="1" applyFill="1" applyBorder="1" applyAlignment="1" applyProtection="1">
      <alignment vertical="center"/>
      <protection/>
    </xf>
    <xf numFmtId="0" fontId="6" fillId="0" borderId="0" xfId="0" applyFont="1" applyAlignment="1">
      <alignment vertical="center"/>
    </xf>
    <xf numFmtId="0" fontId="32" fillId="0" borderId="0" xfId="0" applyFont="1" applyAlignment="1">
      <alignment horizontal="center" vertical="center"/>
    </xf>
    <xf numFmtId="0" fontId="5" fillId="0" borderId="0" xfId="0" applyFont="1" applyAlignment="1">
      <alignment vertical="center" wrapText="1"/>
    </xf>
    <xf numFmtId="3" fontId="37" fillId="39" borderId="0" xfId="0" applyNumberFormat="1" applyFont="1" applyFill="1" applyAlignment="1">
      <alignment horizontal="center" vertical="center"/>
    </xf>
    <xf numFmtId="0" fontId="4" fillId="0" borderId="0" xfId="358" applyNumberFormat="1" applyFont="1" applyAlignment="1">
      <alignment vertical="center" wrapText="1"/>
      <protection/>
    </xf>
    <xf numFmtId="0" fontId="4" fillId="0" borderId="0" xfId="367" applyNumberFormat="1" applyFont="1" applyAlignment="1">
      <alignment vertical="center" wrapText="1"/>
      <protection/>
    </xf>
    <xf numFmtId="0" fontId="4" fillId="0" borderId="0" xfId="374" applyFont="1" applyAlignment="1">
      <alignment vertical="center" wrapText="1"/>
      <protection/>
    </xf>
    <xf numFmtId="0" fontId="4" fillId="0" borderId="0" xfId="186" applyFont="1" applyAlignment="1">
      <alignment vertical="center" wrapText="1"/>
      <protection/>
    </xf>
    <xf numFmtId="0" fontId="0" fillId="0" borderId="0" xfId="0" applyAlignment="1">
      <alignment/>
    </xf>
    <xf numFmtId="37" fontId="18" fillId="34" borderId="0" xfId="0" applyNumberFormat="1" applyFont="1" applyFill="1" applyBorder="1" applyAlignment="1" applyProtection="1">
      <alignment horizontal="left" vertical="center"/>
      <protection/>
    </xf>
    <xf numFmtId="0" fontId="4" fillId="0" borderId="0" xfId="394" applyFont="1" applyAlignment="1">
      <alignment vertical="center"/>
      <protection/>
    </xf>
    <xf numFmtId="37" fontId="18" fillId="34" borderId="0" xfId="0" applyNumberFormat="1" applyFont="1" applyFill="1" applyBorder="1" applyAlignment="1" applyProtection="1">
      <alignment horizontal="fill" vertical="center"/>
      <protection/>
    </xf>
    <xf numFmtId="0" fontId="12" fillId="0" borderId="0" xfId="382" applyFont="1">
      <alignment/>
      <protection/>
    </xf>
    <xf numFmtId="0" fontId="4" fillId="0" borderId="0" xfId="382" applyFont="1" applyAlignment="1">
      <alignment horizontal="left" vertical="center"/>
      <protection/>
    </xf>
    <xf numFmtId="49" fontId="4" fillId="33" borderId="0" xfId="382" applyNumberFormat="1" applyFont="1" applyFill="1" applyAlignment="1" applyProtection="1">
      <alignment horizontal="left" vertical="center"/>
      <protection locked="0"/>
    </xf>
    <xf numFmtId="185" fontId="22" fillId="0" borderId="0" xfId="382" applyNumberFormat="1" applyFont="1" applyAlignment="1">
      <alignment horizontal="left" vertical="center"/>
      <protection/>
    </xf>
    <xf numFmtId="49" fontId="4" fillId="0" borderId="0" xfId="382" applyNumberFormat="1" applyFont="1" applyAlignment="1">
      <alignment horizontal="left" vertical="center"/>
      <protection/>
    </xf>
    <xf numFmtId="0" fontId="22" fillId="0" borderId="0" xfId="382" applyFont="1" applyAlignment="1">
      <alignment horizontal="left" vertical="center"/>
      <protection/>
    </xf>
    <xf numFmtId="186" fontId="22" fillId="0" borderId="0" xfId="382" applyNumberFormat="1" applyFont="1" applyAlignment="1">
      <alignment horizontal="left" vertical="center"/>
      <protection/>
    </xf>
    <xf numFmtId="0" fontId="4" fillId="33" borderId="0" xfId="382" applyFont="1" applyFill="1" applyAlignment="1" applyProtection="1">
      <alignment horizontal="left" vertical="center"/>
      <protection locked="0"/>
    </xf>
    <xf numFmtId="0" fontId="12" fillId="33" borderId="0" xfId="382" applyFont="1" applyFill="1" applyAlignment="1" applyProtection="1">
      <alignment horizontal="left" vertical="center"/>
      <protection locked="0"/>
    </xf>
    <xf numFmtId="0" fontId="6" fillId="0" borderId="0" xfId="122" applyFont="1" applyAlignment="1">
      <alignment vertical="center"/>
      <protection/>
    </xf>
    <xf numFmtId="0" fontId="4" fillId="0" borderId="0" xfId="126" applyFont="1" applyAlignment="1">
      <alignment vertical="center"/>
      <protection/>
    </xf>
    <xf numFmtId="0" fontId="2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03" applyFont="1">
      <alignment/>
      <protection/>
    </xf>
    <xf numFmtId="0" fontId="0" fillId="0" borderId="0" xfId="203" applyFont="1" applyFill="1">
      <alignment/>
      <protection/>
    </xf>
    <xf numFmtId="0" fontId="0" fillId="0" borderId="0" xfId="0" applyFont="1" applyAlignment="1">
      <alignment/>
    </xf>
    <xf numFmtId="0" fontId="1" fillId="0" borderId="0" xfId="0" applyFont="1" applyAlignment="1">
      <alignment horizontal="center"/>
    </xf>
    <xf numFmtId="0" fontId="4" fillId="0" borderId="0" xfId="399" applyFont="1" applyAlignment="1">
      <alignment vertical="center" wrapText="1"/>
      <protection/>
    </xf>
    <xf numFmtId="0" fontId="4" fillId="0" borderId="0" xfId="75" applyFont="1" applyAlignment="1">
      <alignment vertical="center" wrapText="1"/>
      <protection/>
    </xf>
    <xf numFmtId="0" fontId="6" fillId="0" borderId="0" xfId="121" applyFont="1" applyAlignment="1">
      <alignment vertical="center"/>
      <protection/>
    </xf>
    <xf numFmtId="0" fontId="91"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3" fontId="22" fillId="35" borderId="17" xfId="0" applyNumberFormat="1" applyFont="1" applyFill="1" applyBorder="1" applyAlignment="1">
      <alignment horizontal="center" vertical="center"/>
    </xf>
    <xf numFmtId="0" fontId="4" fillId="33" borderId="16" xfId="0" applyFont="1" applyFill="1" applyBorder="1" applyAlignment="1" applyProtection="1">
      <alignment vertical="center"/>
      <protection locked="0"/>
    </xf>
    <xf numFmtId="14" fontId="4" fillId="33" borderId="10" xfId="0" applyNumberFormat="1" applyFont="1" applyFill="1" applyBorder="1" applyAlignment="1" applyProtection="1">
      <alignment vertical="center"/>
      <protection locked="0"/>
    </xf>
    <xf numFmtId="14" fontId="4" fillId="33" borderId="10" xfId="0" applyNumberFormat="1" applyFont="1" applyFill="1" applyBorder="1" applyAlignment="1" applyProtection="1">
      <alignment horizontal="center" vertical="center"/>
      <protection locked="0"/>
    </xf>
    <xf numFmtId="3" fontId="4" fillId="33" borderId="12" xfId="0" applyNumberFormat="1" applyFont="1" applyFill="1" applyBorder="1" applyAlignment="1" applyProtection="1">
      <alignment vertical="center"/>
      <protection locked="0"/>
    </xf>
    <xf numFmtId="3" fontId="24" fillId="40" borderId="12" xfId="0" applyNumberFormat="1" applyFont="1" applyFill="1" applyBorder="1" applyAlignment="1" applyProtection="1">
      <alignment horizontal="center" vertical="center"/>
      <protection/>
    </xf>
    <xf numFmtId="3" fontId="5" fillId="35" borderId="12" xfId="0" applyNumberFormat="1" applyFont="1" applyFill="1" applyBorder="1" applyAlignment="1" applyProtection="1">
      <alignment vertical="center"/>
      <protection/>
    </xf>
    <xf numFmtId="0" fontId="4" fillId="34" borderId="27"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vertical="center"/>
      <protection/>
    </xf>
    <xf numFmtId="3" fontId="4" fillId="35" borderId="12" xfId="0" applyNumberFormat="1" applyFont="1" applyFill="1" applyBorder="1" applyAlignment="1" applyProtection="1">
      <alignment vertical="center"/>
      <protection/>
    </xf>
    <xf numFmtId="49" fontId="4" fillId="33" borderId="10" xfId="0" applyNumberFormat="1" applyFont="1" applyFill="1" applyBorder="1" applyAlignment="1" applyProtection="1">
      <alignment horizontal="center" vertical="center"/>
      <protection locked="0"/>
    </xf>
    <xf numFmtId="37" fontId="18" fillId="34" borderId="0" xfId="0" applyNumberFormat="1" applyFont="1" applyFill="1" applyAlignment="1" applyProtection="1">
      <alignment horizontal="center" vertical="center"/>
      <protection locked="0"/>
    </xf>
    <xf numFmtId="37" fontId="18" fillId="34" borderId="0" xfId="0" applyNumberFormat="1" applyFont="1" applyFill="1" applyAlignment="1" applyProtection="1">
      <alignment horizontal="left" vertical="center"/>
      <protection locked="0"/>
    </xf>
    <xf numFmtId="0" fontId="18" fillId="36" borderId="10" xfId="0" applyFont="1" applyFill="1" applyBorder="1" applyAlignment="1" applyProtection="1">
      <alignment horizontal="center" vertical="center"/>
      <protection/>
    </xf>
    <xf numFmtId="37" fontId="18" fillId="34" borderId="22" xfId="0" applyNumberFormat="1" applyFont="1" applyFill="1" applyBorder="1" applyAlignment="1" applyProtection="1">
      <alignment horizontal="center" vertical="center"/>
      <protection/>
    </xf>
    <xf numFmtId="0" fontId="4" fillId="39" borderId="18" xfId="77" applyFont="1" applyFill="1" applyBorder="1" applyAlignment="1" applyProtection="1">
      <alignment vertical="center"/>
      <protection/>
    </xf>
    <xf numFmtId="0" fontId="18" fillId="39" borderId="18" xfId="77" applyFont="1" applyFill="1" applyBorder="1" applyAlignment="1" applyProtection="1">
      <alignment vertical="center"/>
      <protection/>
    </xf>
    <xf numFmtId="37" fontId="18" fillId="34" borderId="17" xfId="86" applyNumberFormat="1" applyFont="1" applyFill="1" applyBorder="1" applyAlignment="1" applyProtection="1">
      <alignment horizontal="center" vertical="center"/>
      <protection/>
    </xf>
    <xf numFmtId="37" fontId="18" fillId="34" borderId="11" xfId="86" applyNumberFormat="1" applyFont="1" applyFill="1" applyBorder="1" applyAlignment="1" applyProtection="1">
      <alignment horizontal="center" vertical="center"/>
      <protection/>
    </xf>
    <xf numFmtId="0" fontId="25" fillId="34" borderId="10" xfId="0" applyFont="1" applyFill="1" applyBorder="1" applyAlignment="1" applyProtection="1">
      <alignment horizontal="center" vertical="center"/>
      <protection/>
    </xf>
    <xf numFmtId="3" fontId="25" fillId="34" borderId="10" xfId="0" applyNumberFormat="1" applyFont="1" applyFill="1" applyBorder="1" applyAlignment="1" applyProtection="1">
      <alignment horizontal="center" vertical="center"/>
      <protection/>
    </xf>
    <xf numFmtId="3" fontId="24" fillId="40" borderId="15" xfId="0" applyNumberFormat="1"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37" fontId="5" fillId="34"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4" fillId="39" borderId="12" xfId="0" applyNumberFormat="1" applyFont="1" applyFill="1" applyBorder="1" applyAlignment="1" applyProtection="1">
      <alignment vertical="center"/>
      <protection/>
    </xf>
    <xf numFmtId="0" fontId="34" fillId="0" borderId="0" xfId="0" applyFont="1" applyAlignment="1">
      <alignment/>
    </xf>
    <xf numFmtId="0" fontId="33" fillId="0" borderId="0" xfId="0" applyFont="1" applyAlignment="1">
      <alignment wrapText="1"/>
    </xf>
    <xf numFmtId="0" fontId="0" fillId="0" borderId="0" xfId="0" applyAlignment="1">
      <alignment vertical="center" wrapText="1"/>
    </xf>
    <xf numFmtId="0" fontId="5" fillId="0" borderId="0" xfId="0" applyFont="1" applyAlignment="1">
      <alignment wrapText="1"/>
    </xf>
    <xf numFmtId="0" fontId="15" fillId="0" borderId="0" xfId="0" applyFont="1" applyAlignment="1">
      <alignment wrapText="1"/>
    </xf>
    <xf numFmtId="0" fontId="38" fillId="0" borderId="0" xfId="0" applyFont="1" applyAlignment="1">
      <alignment vertical="center"/>
    </xf>
    <xf numFmtId="0" fontId="39" fillId="0" borderId="0" xfId="0" applyFont="1" applyAlignment="1">
      <alignment horizontal="center"/>
    </xf>
    <xf numFmtId="37" fontId="4" fillId="34" borderId="11" xfId="77" applyNumberFormat="1" applyFont="1" applyFill="1" applyBorder="1" applyAlignment="1" applyProtection="1">
      <alignment horizontal="center" vertical="center"/>
      <protection/>
    </xf>
    <xf numFmtId="37" fontId="4" fillId="34" borderId="17" xfId="77" applyNumberFormat="1" applyFont="1" applyFill="1" applyBorder="1" applyAlignment="1" applyProtection="1">
      <alignment horizontal="center" vertical="center"/>
      <protection/>
    </xf>
    <xf numFmtId="0" fontId="19" fillId="39" borderId="16" xfId="77" applyFont="1" applyFill="1" applyBorder="1" applyAlignment="1" applyProtection="1">
      <alignment vertical="center"/>
      <protection/>
    </xf>
    <xf numFmtId="190" fontId="19" fillId="39" borderId="27" xfId="77" applyNumberFormat="1" applyFont="1" applyFill="1" applyBorder="1" applyAlignment="1" applyProtection="1">
      <alignment horizontal="center" vertical="center"/>
      <protection/>
    </xf>
    <xf numFmtId="190" fontId="18" fillId="34" borderId="28" xfId="77" applyNumberFormat="1" applyFont="1" applyFill="1" applyBorder="1" applyAlignment="1" applyProtection="1">
      <alignment vertical="center"/>
      <protection/>
    </xf>
    <xf numFmtId="190" fontId="18" fillId="34" borderId="27" xfId="77" applyNumberFormat="1" applyFont="1" applyFill="1" applyBorder="1" applyAlignment="1" applyProtection="1">
      <alignment horizontal="center" vertical="center"/>
      <protection/>
    </xf>
    <xf numFmtId="0" fontId="18" fillId="34" borderId="0" xfId="77" applyFont="1" applyFill="1" applyBorder="1" applyAlignment="1" applyProtection="1">
      <alignment vertical="center"/>
      <protection/>
    </xf>
    <xf numFmtId="0" fontId="18" fillId="34" borderId="24" xfId="77" applyFont="1" applyFill="1" applyBorder="1" applyAlignment="1" applyProtection="1">
      <alignment vertical="center"/>
      <protection/>
    </xf>
    <xf numFmtId="0" fontId="18" fillId="34" borderId="0" xfId="77" applyFont="1" applyFill="1" applyBorder="1" applyAlignment="1" applyProtection="1">
      <alignment horizontal="left" vertical="center"/>
      <protection/>
    </xf>
    <xf numFmtId="0" fontId="45" fillId="0" borderId="0" xfId="0" applyFont="1" applyAlignment="1">
      <alignment vertical="center"/>
    </xf>
    <xf numFmtId="190" fontId="18" fillId="34" borderId="28" xfId="77" applyNumberFormat="1" applyFont="1" applyFill="1" applyBorder="1" applyAlignment="1" applyProtection="1">
      <alignment horizontal="center" vertical="center"/>
      <protection/>
    </xf>
    <xf numFmtId="0" fontId="4" fillId="34" borderId="0" xfId="89" applyFont="1" applyFill="1" applyAlignment="1" applyProtection="1">
      <alignment horizontal="right" vertical="center"/>
      <protection/>
    </xf>
    <xf numFmtId="0" fontId="92" fillId="34" borderId="0" xfId="0" applyFont="1" applyFill="1" applyBorder="1" applyAlignment="1" applyProtection="1">
      <alignment horizontal="center" vertical="center"/>
      <protection/>
    </xf>
    <xf numFmtId="0" fontId="92" fillId="34" borderId="0" xfId="0" applyFont="1" applyFill="1" applyAlignment="1" applyProtection="1">
      <alignment horizontal="center" vertical="center"/>
      <protection/>
    </xf>
    <xf numFmtId="0" fontId="4" fillId="34" borderId="29" xfId="0" applyFont="1" applyFill="1" applyBorder="1" applyAlignment="1" applyProtection="1">
      <alignment vertical="center"/>
      <protection locked="0"/>
    </xf>
    <xf numFmtId="0" fontId="4" fillId="34" borderId="29" xfId="0" applyFont="1" applyFill="1" applyBorder="1" applyAlignment="1" applyProtection="1">
      <alignment vertical="center"/>
      <protection/>
    </xf>
    <xf numFmtId="37" fontId="4" fillId="34" borderId="29"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fill" vertical="center"/>
      <protection/>
    </xf>
    <xf numFmtId="37" fontId="4" fillId="34" borderId="17" xfId="0" applyNumberFormat="1" applyFont="1" applyFill="1" applyBorder="1" applyAlignment="1" applyProtection="1">
      <alignment vertical="center"/>
      <protection/>
    </xf>
    <xf numFmtId="0" fontId="0" fillId="0" borderId="0" xfId="77">
      <alignment/>
      <protection/>
    </xf>
    <xf numFmtId="37" fontId="4" fillId="34" borderId="15" xfId="77" applyNumberFormat="1" applyFont="1" applyFill="1" applyBorder="1" applyAlignment="1" applyProtection="1">
      <alignment horizontal="center"/>
      <protection/>
    </xf>
    <xf numFmtId="37" fontId="4" fillId="34" borderId="17" xfId="77" applyNumberFormat="1" applyFont="1" applyFill="1" applyBorder="1" applyAlignment="1" applyProtection="1">
      <alignment horizontal="center"/>
      <protection/>
    </xf>
    <xf numFmtId="0" fontId="4" fillId="34" borderId="0" xfId="77" applyFont="1" applyFill="1" applyBorder="1" applyAlignment="1" applyProtection="1">
      <alignment vertical="center"/>
      <protection/>
    </xf>
    <xf numFmtId="0" fontId="4" fillId="34" borderId="28" xfId="77" applyFont="1" applyFill="1" applyBorder="1" applyAlignment="1" applyProtection="1">
      <alignment vertical="center"/>
      <protection/>
    </xf>
    <xf numFmtId="0" fontId="4" fillId="34" borderId="24" xfId="77" applyFont="1" applyFill="1" applyBorder="1" applyAlignment="1" applyProtection="1">
      <alignment vertical="center"/>
      <protection/>
    </xf>
    <xf numFmtId="0" fontId="4" fillId="0" borderId="0" xfId="77" applyFont="1" applyFill="1" applyBorder="1" applyAlignment="1" applyProtection="1">
      <alignment vertical="center"/>
      <protection/>
    </xf>
    <xf numFmtId="0" fontId="18" fillId="41" borderId="28" xfId="86" applyFont="1" applyFill="1" applyBorder="1" applyProtection="1">
      <alignment/>
      <protection/>
    </xf>
    <xf numFmtId="0" fontId="4" fillId="41" borderId="0" xfId="86" applyFont="1" applyFill="1" applyBorder="1" applyProtection="1">
      <alignment/>
      <protection/>
    </xf>
    <xf numFmtId="190" fontId="4" fillId="41" borderId="24" xfId="86" applyNumberFormat="1" applyFont="1" applyFill="1" applyBorder="1" applyAlignment="1" applyProtection="1">
      <alignment horizontal="center"/>
      <protection/>
    </xf>
    <xf numFmtId="0" fontId="4" fillId="41" borderId="27" xfId="86" applyFont="1" applyFill="1" applyBorder="1" applyProtection="1">
      <alignment/>
      <protection/>
    </xf>
    <xf numFmtId="0" fontId="4" fillId="41" borderId="16" xfId="86" applyFont="1" applyFill="1" applyBorder="1" applyProtection="1">
      <alignment/>
      <protection/>
    </xf>
    <xf numFmtId="190" fontId="4" fillId="42" borderId="18" xfId="86" applyNumberFormat="1" applyFont="1" applyFill="1" applyBorder="1" applyAlignment="1" applyProtection="1">
      <alignment horizontal="center"/>
      <protection/>
    </xf>
    <xf numFmtId="0" fontId="4" fillId="0" borderId="0" xfId="86" applyFont="1" applyFill="1" applyBorder="1" applyProtection="1">
      <alignment/>
      <protection/>
    </xf>
    <xf numFmtId="0" fontId="4" fillId="41" borderId="28" xfId="86" applyFont="1" applyFill="1" applyBorder="1" applyProtection="1">
      <alignment/>
      <protection/>
    </xf>
    <xf numFmtId="0" fontId="4" fillId="41" borderId="24" xfId="86" applyFont="1" applyFill="1" applyBorder="1" applyProtection="1">
      <alignment/>
      <protection/>
    </xf>
    <xf numFmtId="183" fontId="4" fillId="41" borderId="24" xfId="86" applyNumberFormat="1" applyFont="1" applyFill="1" applyBorder="1" applyAlignment="1" applyProtection="1">
      <alignment horizontal="center"/>
      <protection/>
    </xf>
    <xf numFmtId="0" fontId="4" fillId="42" borderId="28" xfId="86" applyFont="1" applyFill="1" applyBorder="1" applyProtection="1">
      <alignment/>
      <protection/>
    </xf>
    <xf numFmtId="0" fontId="4" fillId="42" borderId="0" xfId="86" applyFont="1" applyFill="1" applyBorder="1" applyProtection="1">
      <alignment/>
      <protection/>
    </xf>
    <xf numFmtId="0" fontId="4" fillId="42" borderId="27" xfId="86" applyFont="1" applyFill="1" applyBorder="1" applyProtection="1">
      <alignment/>
      <protection/>
    </xf>
    <xf numFmtId="0" fontId="4" fillId="42" borderId="16" xfId="86" applyFont="1" applyFill="1" applyBorder="1" applyProtection="1">
      <alignment/>
      <protection/>
    </xf>
    <xf numFmtId="0" fontId="4" fillId="0" borderId="0" xfId="86" applyFont="1" applyProtection="1">
      <alignment/>
      <protection/>
    </xf>
    <xf numFmtId="190" fontId="4" fillId="41" borderId="18" xfId="86" applyNumberFormat="1" applyFont="1" applyFill="1" applyBorder="1" applyAlignment="1" applyProtection="1">
      <alignment horizontal="center"/>
      <protection/>
    </xf>
    <xf numFmtId="184" fontId="4" fillId="43" borderId="24" xfId="86" applyNumberFormat="1" applyFont="1" applyFill="1" applyBorder="1" applyAlignment="1" applyProtection="1">
      <alignment horizontal="center"/>
      <protection locked="0"/>
    </xf>
    <xf numFmtId="37" fontId="4" fillId="44" borderId="21" xfId="0" applyNumberFormat="1" applyFont="1" applyFill="1" applyBorder="1" applyAlignment="1" applyProtection="1">
      <alignment vertical="center"/>
      <protection/>
    </xf>
    <xf numFmtId="0" fontId="34" fillId="0" borderId="0" xfId="0" applyFont="1" applyAlignment="1">
      <alignment vertical="center"/>
    </xf>
    <xf numFmtId="0" fontId="47" fillId="0" borderId="0" xfId="0" applyFont="1" applyBorder="1" applyAlignment="1">
      <alignment horizontal="centerContinuous"/>
    </xf>
    <xf numFmtId="0" fontId="47" fillId="0" borderId="0" xfId="0" applyFont="1" applyBorder="1" applyAlignment="1">
      <alignment/>
    </xf>
    <xf numFmtId="0" fontId="47" fillId="0" borderId="0" xfId="0" applyFont="1" applyAlignment="1">
      <alignment/>
    </xf>
    <xf numFmtId="0" fontId="4" fillId="0" borderId="0" xfId="77" applyFont="1" applyAlignment="1">
      <alignment vertical="center"/>
      <protection/>
    </xf>
    <xf numFmtId="0" fontId="4" fillId="0" borderId="0" xfId="89" applyFont="1" applyAlignment="1">
      <alignment vertical="center"/>
      <protection/>
    </xf>
    <xf numFmtId="0" fontId="4" fillId="0" borderId="0" xfId="77" applyFont="1">
      <alignment/>
      <protection/>
    </xf>
    <xf numFmtId="0" fontId="48" fillId="0" borderId="0" xfId="77" applyFont="1" applyAlignment="1">
      <alignment horizontal="center"/>
      <protection/>
    </xf>
    <xf numFmtId="0" fontId="4" fillId="0" borderId="0" xfId="77" applyFont="1" applyAlignment="1">
      <alignment wrapText="1"/>
      <protection/>
    </xf>
    <xf numFmtId="0" fontId="49" fillId="0" borderId="0" xfId="66" applyFont="1" applyAlignment="1" applyProtection="1">
      <alignment/>
      <protection/>
    </xf>
    <xf numFmtId="0" fontId="4" fillId="0" borderId="0" xfId="89" applyFont="1" applyAlignment="1">
      <alignment vertical="center" wrapText="1"/>
      <protection/>
    </xf>
    <xf numFmtId="0" fontId="93" fillId="41" borderId="0" xfId="0" applyFont="1" applyFill="1" applyAlignment="1">
      <alignment/>
    </xf>
    <xf numFmtId="0" fontId="93" fillId="41" borderId="30" xfId="0" applyFont="1" applyFill="1" applyBorder="1" applyAlignment="1">
      <alignment/>
    </xf>
    <xf numFmtId="0" fontId="94" fillId="0" borderId="0" xfId="0" applyFont="1" applyBorder="1" applyAlignment="1">
      <alignment/>
    </xf>
    <xf numFmtId="0" fontId="93" fillId="0" borderId="0" xfId="0" applyFont="1" applyBorder="1" applyAlignment="1">
      <alignment horizontal="centerContinuous"/>
    </xf>
    <xf numFmtId="0" fontId="93" fillId="41" borderId="30" xfId="0" applyFont="1" applyFill="1" applyBorder="1" applyAlignment="1">
      <alignment/>
    </xf>
    <xf numFmtId="0" fontId="93" fillId="41" borderId="31" xfId="0" applyFont="1" applyFill="1" applyBorder="1" applyAlignment="1">
      <alignment horizontal="centerContinuous" vertical="center"/>
    </xf>
    <xf numFmtId="190" fontId="93" fillId="41" borderId="0" xfId="0" applyNumberFormat="1" applyFont="1" applyFill="1" applyBorder="1" applyAlignment="1">
      <alignment horizontal="centerContinuous" vertical="center"/>
    </xf>
    <xf numFmtId="0" fontId="93" fillId="41" borderId="0" xfId="0" applyFont="1" applyFill="1" applyBorder="1" applyAlignment="1">
      <alignment horizontal="centerContinuous" vertical="center"/>
    </xf>
    <xf numFmtId="184" fontId="93" fillId="41" borderId="0" xfId="0" applyNumberFormat="1" applyFont="1" applyFill="1" applyBorder="1" applyAlignment="1" applyProtection="1">
      <alignment horizontal="centerContinuous" vertical="center"/>
      <protection locked="0"/>
    </xf>
    <xf numFmtId="191" fontId="93" fillId="41" borderId="0" xfId="0" applyNumberFormat="1" applyFont="1" applyFill="1" applyBorder="1" applyAlignment="1">
      <alignment horizontal="centerContinuous" vertical="center"/>
    </xf>
    <xf numFmtId="0" fontId="93" fillId="41" borderId="32" xfId="0" applyFont="1" applyFill="1" applyBorder="1" applyAlignment="1">
      <alignment horizontal="centerContinuous" vertical="center"/>
    </xf>
    <xf numFmtId="0" fontId="93" fillId="41" borderId="31" xfId="0" applyFont="1" applyFill="1" applyBorder="1" applyAlignment="1">
      <alignment horizontal="centerContinuous"/>
    </xf>
    <xf numFmtId="190" fontId="93" fillId="41" borderId="0" xfId="0" applyNumberFormat="1" applyFont="1" applyFill="1" applyBorder="1" applyAlignment="1">
      <alignment horizontal="centerContinuous"/>
    </xf>
    <xf numFmtId="0" fontId="93" fillId="41" borderId="0" xfId="0" applyFont="1" applyFill="1" applyBorder="1" applyAlignment="1">
      <alignment horizontal="centerContinuous"/>
    </xf>
    <xf numFmtId="184" fontId="93" fillId="41" borderId="0" xfId="0" applyNumberFormat="1" applyFont="1" applyFill="1" applyBorder="1" applyAlignment="1" applyProtection="1">
      <alignment horizontal="centerContinuous"/>
      <protection locked="0"/>
    </xf>
    <xf numFmtId="191" fontId="93" fillId="41" borderId="0" xfId="0" applyNumberFormat="1" applyFont="1" applyFill="1" applyBorder="1" applyAlignment="1">
      <alignment horizontal="centerContinuous"/>
    </xf>
    <xf numFmtId="0" fontId="93" fillId="41" borderId="32" xfId="0" applyFont="1" applyFill="1" applyBorder="1" applyAlignment="1">
      <alignment horizontal="centerContinuous"/>
    </xf>
    <xf numFmtId="0" fontId="47" fillId="45" borderId="0" xfId="0" applyFont="1" applyFill="1" applyAlignment="1">
      <alignment/>
    </xf>
    <xf numFmtId="0" fontId="47" fillId="41" borderId="0" xfId="0" applyFont="1" applyFill="1" applyAlignment="1">
      <alignment/>
    </xf>
    <xf numFmtId="0" fontId="93" fillId="45" borderId="0" xfId="0" applyFont="1" applyFill="1" applyAlignment="1">
      <alignment horizontal="center" wrapText="1"/>
    </xf>
    <xf numFmtId="0" fontId="47" fillId="41" borderId="0" xfId="0" applyFont="1" applyFill="1" applyAlignment="1">
      <alignment horizontal="center"/>
    </xf>
    <xf numFmtId="0" fontId="47" fillId="41" borderId="33" xfId="0" applyFont="1" applyFill="1" applyBorder="1" applyAlignment="1">
      <alignment/>
    </xf>
    <xf numFmtId="0" fontId="47" fillId="41" borderId="34" xfId="0" applyFont="1" applyFill="1" applyBorder="1" applyAlignment="1">
      <alignment/>
    </xf>
    <xf numFmtId="190" fontId="47" fillId="41" borderId="35" xfId="0" applyNumberFormat="1" applyFont="1" applyFill="1" applyBorder="1" applyAlignment="1">
      <alignment/>
    </xf>
    <xf numFmtId="0" fontId="47" fillId="41" borderId="0" xfId="0" applyFont="1" applyFill="1" applyBorder="1" applyAlignment="1">
      <alignment/>
    </xf>
    <xf numFmtId="190" fontId="47" fillId="41" borderId="16" xfId="0" applyNumberFormat="1" applyFont="1" applyFill="1" applyBorder="1" applyAlignment="1">
      <alignment horizontal="center"/>
    </xf>
    <xf numFmtId="0" fontId="47" fillId="41" borderId="32" xfId="0" applyFont="1" applyFill="1" applyBorder="1" applyAlignment="1">
      <alignment/>
    </xf>
    <xf numFmtId="0" fontId="47" fillId="41" borderId="36" xfId="0" applyFont="1" applyFill="1" applyBorder="1" applyAlignment="1">
      <alignment/>
    </xf>
    <xf numFmtId="0" fontId="47" fillId="41" borderId="37" xfId="0" applyFont="1" applyFill="1" applyBorder="1" applyAlignment="1">
      <alignment/>
    </xf>
    <xf numFmtId="0" fontId="47" fillId="41" borderId="38" xfId="0" applyFont="1" applyFill="1" applyBorder="1" applyAlignment="1">
      <alignment/>
    </xf>
    <xf numFmtId="190" fontId="47" fillId="41" borderId="0" xfId="0" applyNumberFormat="1" applyFont="1" applyFill="1" applyAlignment="1">
      <alignment/>
    </xf>
    <xf numFmtId="0" fontId="47" fillId="41" borderId="30" xfId="0" applyFont="1" applyFill="1" applyBorder="1" applyAlignment="1">
      <alignment/>
    </xf>
    <xf numFmtId="0" fontId="47" fillId="41" borderId="31" xfId="0" applyFont="1" applyFill="1" applyBorder="1" applyAlignment="1">
      <alignment/>
    </xf>
    <xf numFmtId="190" fontId="47" fillId="43" borderId="35" xfId="0" applyNumberFormat="1" applyFont="1" applyFill="1" applyBorder="1" applyAlignment="1" applyProtection="1">
      <alignment horizontal="center"/>
      <protection locked="0"/>
    </xf>
    <xf numFmtId="184" fontId="47" fillId="41" borderId="0" xfId="0" applyNumberFormat="1" applyFont="1" applyFill="1" applyBorder="1" applyAlignment="1">
      <alignment horizontal="center"/>
    </xf>
    <xf numFmtId="190" fontId="47" fillId="0" borderId="0" xfId="0" applyNumberFormat="1" applyFont="1" applyAlignment="1">
      <alignment/>
    </xf>
    <xf numFmtId="0" fontId="47" fillId="45" borderId="0" xfId="0" applyFont="1" applyFill="1" applyBorder="1" applyAlignment="1">
      <alignment/>
    </xf>
    <xf numFmtId="0" fontId="47" fillId="41" borderId="39" xfId="0" applyFont="1" applyFill="1" applyBorder="1" applyAlignment="1">
      <alignment/>
    </xf>
    <xf numFmtId="0" fontId="47" fillId="41" borderId="22" xfId="0" applyFont="1" applyFill="1" applyBorder="1" applyAlignment="1">
      <alignment/>
    </xf>
    <xf numFmtId="0" fontId="47" fillId="41" borderId="40" xfId="0" applyFont="1" applyFill="1" applyBorder="1" applyAlignment="1">
      <alignment/>
    </xf>
    <xf numFmtId="5" fontId="47" fillId="41" borderId="37" xfId="0" applyNumberFormat="1" applyFont="1" applyFill="1" applyBorder="1" applyAlignment="1">
      <alignment horizontal="center"/>
    </xf>
    <xf numFmtId="0" fontId="47" fillId="41" borderId="37" xfId="0" applyFont="1" applyFill="1" applyBorder="1" applyAlignment="1">
      <alignment horizontal="center"/>
    </xf>
    <xf numFmtId="184" fontId="47" fillId="41" borderId="37" xfId="0" applyNumberFormat="1" applyFont="1" applyFill="1" applyBorder="1" applyAlignment="1">
      <alignment horizontal="center"/>
    </xf>
    <xf numFmtId="191" fontId="47" fillId="41" borderId="37" xfId="0" applyNumberFormat="1" applyFont="1" applyFill="1" applyBorder="1" applyAlignment="1">
      <alignment horizontal="center"/>
    </xf>
    <xf numFmtId="0" fontId="47" fillId="41" borderId="0" xfId="0" applyFont="1" applyFill="1" applyAlignment="1">
      <alignment horizontal="center" wrapText="1"/>
    </xf>
    <xf numFmtId="0" fontId="47" fillId="41" borderId="33" xfId="0" applyFont="1" applyFill="1" applyBorder="1" applyAlignment="1">
      <alignment/>
    </xf>
    <xf numFmtId="0" fontId="47" fillId="41" borderId="34" xfId="0" applyFont="1" applyFill="1" applyBorder="1" applyAlignment="1">
      <alignment/>
    </xf>
    <xf numFmtId="0" fontId="47" fillId="41" borderId="31" xfId="0" applyFont="1" applyFill="1" applyBorder="1" applyAlignment="1">
      <alignment/>
    </xf>
    <xf numFmtId="0" fontId="47" fillId="41" borderId="32" xfId="0" applyFont="1" applyFill="1" applyBorder="1" applyAlignment="1">
      <alignment/>
    </xf>
    <xf numFmtId="0" fontId="47" fillId="41" borderId="39" xfId="0" applyFont="1" applyFill="1" applyBorder="1" applyAlignment="1">
      <alignment/>
    </xf>
    <xf numFmtId="0" fontId="47" fillId="41" borderId="22" xfId="0" applyFont="1" applyFill="1" applyBorder="1" applyAlignment="1">
      <alignment/>
    </xf>
    <xf numFmtId="0" fontId="47" fillId="41" borderId="40" xfId="0" applyFont="1" applyFill="1" applyBorder="1" applyAlignment="1">
      <alignment/>
    </xf>
    <xf numFmtId="183" fontId="47" fillId="41" borderId="0" xfId="0" applyNumberFormat="1" applyFont="1" applyFill="1" applyBorder="1" applyAlignment="1">
      <alignment horizontal="center"/>
    </xf>
    <xf numFmtId="0" fontId="47" fillId="41" borderId="36" xfId="0" applyFont="1" applyFill="1" applyBorder="1" applyAlignment="1">
      <alignment/>
    </xf>
    <xf numFmtId="5" fontId="47" fillId="41" borderId="0" xfId="0" applyNumberFormat="1" applyFont="1" applyFill="1" applyBorder="1" applyAlignment="1">
      <alignment horizontal="center"/>
    </xf>
    <xf numFmtId="0" fontId="47" fillId="45" borderId="0" xfId="0" applyFont="1" applyFill="1" applyAlignment="1">
      <alignment/>
    </xf>
    <xf numFmtId="184" fontId="47" fillId="43" borderId="16" xfId="0" applyNumberFormat="1" applyFont="1" applyFill="1" applyBorder="1" applyAlignment="1" applyProtection="1">
      <alignment horizontal="center"/>
      <protection locked="0"/>
    </xf>
    <xf numFmtId="191" fontId="47" fillId="41" borderId="0" xfId="0" applyNumberFormat="1" applyFont="1" applyFill="1" applyBorder="1" applyAlignment="1">
      <alignment/>
    </xf>
    <xf numFmtId="190" fontId="47" fillId="41" borderId="37" xfId="0" applyNumberFormat="1" applyFont="1" applyFill="1" applyBorder="1" applyAlignment="1">
      <alignment horizontal="center"/>
    </xf>
    <xf numFmtId="184" fontId="47" fillId="41" borderId="37" xfId="0" applyNumberFormat="1" applyFont="1" applyFill="1" applyBorder="1" applyAlignment="1" applyProtection="1">
      <alignment horizontal="center"/>
      <protection locked="0"/>
    </xf>
    <xf numFmtId="191" fontId="47" fillId="41" borderId="37" xfId="0" applyNumberFormat="1" applyFont="1" applyFill="1" applyBorder="1" applyAlignment="1">
      <alignment/>
    </xf>
    <xf numFmtId="184" fontId="47" fillId="41" borderId="0" xfId="0" applyNumberFormat="1" applyFont="1" applyFill="1" applyBorder="1" applyAlignment="1" applyProtection="1">
      <alignment horizontal="center"/>
      <protection locked="0"/>
    </xf>
    <xf numFmtId="190" fontId="47" fillId="41" borderId="33" xfId="0" applyNumberFormat="1" applyFont="1" applyFill="1" applyBorder="1" applyAlignment="1">
      <alignment horizontal="center"/>
    </xf>
    <xf numFmtId="0" fontId="47" fillId="41" borderId="33" xfId="0" applyFont="1" applyFill="1" applyBorder="1" applyAlignment="1">
      <alignment horizontal="center"/>
    </xf>
    <xf numFmtId="184" fontId="47" fillId="41" borderId="33" xfId="0" applyNumberFormat="1" applyFont="1" applyFill="1" applyBorder="1" applyAlignment="1" applyProtection="1">
      <alignment horizontal="center"/>
      <protection locked="0"/>
    </xf>
    <xf numFmtId="191" fontId="47" fillId="41" borderId="33" xfId="0" applyNumberFormat="1" applyFont="1" applyFill="1" applyBorder="1" applyAlignment="1">
      <alignment/>
    </xf>
    <xf numFmtId="190" fontId="47" fillId="41" borderId="0" xfId="0" applyNumberFormat="1" applyFont="1" applyFill="1" applyBorder="1" applyAlignment="1" applyProtection="1">
      <alignment horizontal="center"/>
      <protection locked="0"/>
    </xf>
    <xf numFmtId="0" fontId="47" fillId="46" borderId="0" xfId="0" applyFont="1" applyFill="1" applyAlignment="1">
      <alignment/>
    </xf>
    <xf numFmtId="190" fontId="4" fillId="42" borderId="24" xfId="86" applyNumberFormat="1" applyFont="1" applyFill="1" applyBorder="1" applyAlignment="1" applyProtection="1">
      <alignment horizontal="center"/>
      <protection/>
    </xf>
    <xf numFmtId="0" fontId="4" fillId="42" borderId="27" xfId="0" applyFont="1" applyFill="1" applyBorder="1" applyAlignment="1">
      <alignment vertical="center"/>
    </xf>
    <xf numFmtId="0" fontId="4" fillId="42" borderId="16" xfId="0" applyFont="1" applyFill="1" applyBorder="1" applyAlignment="1">
      <alignment vertical="center"/>
    </xf>
    <xf numFmtId="190" fontId="4" fillId="42" borderId="18" xfId="0" applyNumberFormat="1" applyFont="1" applyFill="1" applyBorder="1" applyAlignment="1">
      <alignment horizontal="center" vertical="center"/>
    </xf>
    <xf numFmtId="0" fontId="4" fillId="34" borderId="27" xfId="0" applyFont="1" applyFill="1" applyBorder="1" applyAlignment="1" applyProtection="1">
      <alignment horizontal="center" vertical="center"/>
      <protection/>
    </xf>
    <xf numFmtId="190" fontId="47" fillId="41" borderId="0" xfId="0" applyNumberFormat="1" applyFont="1" applyFill="1" applyBorder="1" applyAlignment="1">
      <alignment horizontal="center"/>
    </xf>
    <xf numFmtId="0" fontId="47" fillId="41" borderId="22" xfId="0" applyFont="1" applyFill="1" applyBorder="1" applyAlignment="1">
      <alignment horizontal="center"/>
    </xf>
    <xf numFmtId="191" fontId="47" fillId="41" borderId="0" xfId="0" applyNumberFormat="1" applyFont="1" applyFill="1" applyBorder="1" applyAlignment="1">
      <alignment horizontal="center"/>
    </xf>
    <xf numFmtId="0" fontId="93" fillId="41" borderId="0" xfId="0" applyFont="1" applyFill="1" applyAlignment="1">
      <alignment horizontal="center" wrapText="1"/>
    </xf>
    <xf numFmtId="190" fontId="47" fillId="43" borderId="16" xfId="0" applyNumberFormat="1" applyFont="1" applyFill="1" applyBorder="1" applyAlignment="1" applyProtection="1">
      <alignment horizontal="center"/>
      <protection locked="0"/>
    </xf>
    <xf numFmtId="0" fontId="93" fillId="41" borderId="0" xfId="0" applyFont="1" applyFill="1" applyAlignment="1">
      <alignment horizontal="center"/>
    </xf>
    <xf numFmtId="190" fontId="47" fillId="41" borderId="0" xfId="0" applyNumberFormat="1" applyFont="1" applyFill="1" applyAlignment="1">
      <alignment horizontal="center"/>
    </xf>
    <xf numFmtId="0" fontId="47" fillId="41" borderId="0" xfId="0" applyFont="1" applyFill="1" applyBorder="1" applyAlignment="1">
      <alignment/>
    </xf>
    <xf numFmtId="0" fontId="47" fillId="41" borderId="38" xfId="0" applyFont="1" applyFill="1" applyBorder="1" applyAlignment="1">
      <alignment/>
    </xf>
    <xf numFmtId="0" fontId="47" fillId="41" borderId="0" xfId="0" applyFont="1" applyFill="1" applyBorder="1" applyAlignment="1">
      <alignment horizontal="center"/>
    </xf>
    <xf numFmtId="0" fontId="4" fillId="34" borderId="28" xfId="0" applyFont="1" applyFill="1" applyBorder="1" applyAlignment="1" applyProtection="1">
      <alignment horizontal="center" vertical="center"/>
      <protection/>
    </xf>
    <xf numFmtId="0" fontId="4" fillId="34" borderId="0" xfId="0" applyFont="1" applyFill="1" applyBorder="1" applyAlignment="1" applyProtection="1">
      <alignment horizontal="left" vertical="center"/>
      <protection/>
    </xf>
    <xf numFmtId="0" fontId="4" fillId="0" borderId="0" xfId="384" applyFont="1" applyAlignment="1">
      <alignment horizontal="left" vertical="center"/>
      <protection/>
    </xf>
    <xf numFmtId="0" fontId="95" fillId="0" borderId="0" xfId="0" applyFont="1" applyAlignment="1">
      <alignment/>
    </xf>
    <xf numFmtId="0" fontId="96" fillId="0" borderId="0" xfId="384" applyFont="1">
      <alignment/>
      <protection/>
    </xf>
    <xf numFmtId="185" fontId="97" fillId="0" borderId="0" xfId="384" applyNumberFormat="1" applyFont="1" applyAlignment="1">
      <alignment horizontal="left" vertical="center"/>
      <protection/>
    </xf>
    <xf numFmtId="0" fontId="97" fillId="0" borderId="0" xfId="384" applyNumberFormat="1" applyFont="1" applyAlignment="1">
      <alignment horizontal="left" vertical="center"/>
      <protection/>
    </xf>
    <xf numFmtId="1" fontId="97" fillId="0" borderId="0" xfId="384" applyNumberFormat="1" applyFont="1" applyAlignment="1">
      <alignment horizontal="left" vertical="center"/>
      <protection/>
    </xf>
    <xf numFmtId="0" fontId="98" fillId="0" borderId="0" xfId="384" applyFont="1" applyAlignment="1">
      <alignment horizontal="left" vertical="center"/>
      <protection/>
    </xf>
    <xf numFmtId="0" fontId="4" fillId="41" borderId="0" xfId="0" applyFont="1" applyFill="1" applyAlignment="1" applyProtection="1">
      <alignment vertical="center"/>
      <protection locked="0"/>
    </xf>
    <xf numFmtId="10" fontId="4" fillId="33" borderId="10" xfId="0" applyNumberFormat="1" applyFont="1" applyFill="1" applyBorder="1" applyAlignment="1" applyProtection="1">
      <alignment vertical="center"/>
      <protection locked="0"/>
    </xf>
    <xf numFmtId="0" fontId="4" fillId="34" borderId="15" xfId="0" applyFont="1" applyFill="1" applyBorder="1" applyAlignment="1">
      <alignment horizontal="center" vertical="center"/>
    </xf>
    <xf numFmtId="37" fontId="4" fillId="35" borderId="21" xfId="0" applyNumberFormat="1" applyFont="1" applyFill="1" applyBorder="1" applyAlignment="1" applyProtection="1">
      <alignment horizontal="center" vertical="center"/>
      <protection/>
    </xf>
    <xf numFmtId="177" fontId="4" fillId="35" borderId="21" xfId="0" applyNumberFormat="1" applyFont="1" applyFill="1" applyBorder="1" applyAlignment="1" applyProtection="1">
      <alignment horizontal="center" vertical="center"/>
      <protection/>
    </xf>
    <xf numFmtId="177" fontId="4" fillId="34" borderId="10" xfId="0" applyNumberFormat="1" applyFont="1" applyFill="1" applyBorder="1" applyAlignment="1" applyProtection="1">
      <alignment horizontal="center" vertical="center"/>
      <protection/>
    </xf>
    <xf numFmtId="193" fontId="4" fillId="34" borderId="0" xfId="0" applyNumberFormat="1" applyFont="1" applyFill="1" applyAlignment="1">
      <alignment horizontal="center" vertical="center"/>
    </xf>
    <xf numFmtId="0" fontId="18" fillId="41" borderId="28" xfId="0" applyFont="1" applyFill="1" applyBorder="1" applyAlignment="1" applyProtection="1">
      <alignment vertical="center"/>
      <protection/>
    </xf>
    <xf numFmtId="0" fontId="4" fillId="41" borderId="0" xfId="0" applyFont="1" applyFill="1" applyBorder="1" applyAlignment="1" applyProtection="1">
      <alignment vertical="center"/>
      <protection/>
    </xf>
    <xf numFmtId="0" fontId="18" fillId="41" borderId="0" xfId="0" applyFont="1" applyFill="1" applyBorder="1" applyAlignment="1" applyProtection="1">
      <alignment vertical="center"/>
      <protection/>
    </xf>
    <xf numFmtId="190" fontId="18" fillId="41" borderId="24" xfId="0" applyNumberFormat="1" applyFont="1" applyFill="1" applyBorder="1" applyAlignment="1" applyProtection="1">
      <alignment horizontal="center" vertical="center"/>
      <protection/>
    </xf>
    <xf numFmtId="0" fontId="18" fillId="41" borderId="28" xfId="0" applyFont="1" applyFill="1" applyBorder="1" applyAlignment="1" applyProtection="1">
      <alignment horizontal="left" vertical="center"/>
      <protection/>
    </xf>
    <xf numFmtId="190" fontId="18" fillId="43" borderId="10" xfId="0" applyNumberFormat="1" applyFont="1" applyFill="1" applyBorder="1" applyAlignment="1" applyProtection="1">
      <alignment horizontal="center" vertical="center"/>
      <protection locked="0"/>
    </xf>
    <xf numFmtId="184" fontId="19" fillId="41" borderId="14" xfId="0" applyNumberFormat="1" applyFont="1" applyFill="1" applyBorder="1" applyAlignment="1" applyProtection="1">
      <alignment horizontal="center" vertical="center"/>
      <protection/>
    </xf>
    <xf numFmtId="0" fontId="19" fillId="42" borderId="28"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18" fillId="42" borderId="0" xfId="0" applyFont="1" applyFill="1" applyBorder="1" applyAlignment="1" applyProtection="1">
      <alignment vertical="center"/>
      <protection/>
    </xf>
    <xf numFmtId="190" fontId="19" fillId="42" borderId="14" xfId="0" applyNumberFormat="1" applyFont="1" applyFill="1" applyBorder="1" applyAlignment="1" applyProtection="1">
      <alignment horizontal="center" vertical="center"/>
      <protection/>
    </xf>
    <xf numFmtId="37" fontId="18" fillId="34" borderId="27" xfId="0" applyNumberFormat="1" applyFont="1" applyFill="1" applyBorder="1" applyAlignment="1" applyProtection="1">
      <alignment horizontal="left" vertical="center"/>
      <protection/>
    </xf>
    <xf numFmtId="0" fontId="20" fillId="41" borderId="16" xfId="0" applyFont="1" applyFill="1" applyBorder="1" applyAlignment="1">
      <alignment horizontal="left" vertical="center"/>
    </xf>
    <xf numFmtId="190" fontId="19" fillId="42" borderId="18" xfId="0" applyNumberFormat="1" applyFont="1" applyFill="1" applyBorder="1" applyAlignment="1" applyProtection="1">
      <alignment horizontal="center" vertical="center"/>
      <protection locked="0"/>
    </xf>
    <xf numFmtId="0" fontId="99" fillId="0" borderId="0" xfId="0" applyFont="1" applyAlignment="1" applyProtection="1">
      <alignment/>
      <protection locked="0"/>
    </xf>
    <xf numFmtId="184" fontId="18" fillId="41" borderId="28" xfId="0" applyNumberFormat="1" applyFont="1" applyFill="1" applyBorder="1" applyAlignment="1" applyProtection="1">
      <alignment horizontal="center" vertical="center"/>
      <protection/>
    </xf>
    <xf numFmtId="0" fontId="18" fillId="41" borderId="0" xfId="0" applyFont="1" applyFill="1" applyBorder="1" applyAlignment="1" applyProtection="1">
      <alignment horizontal="left" vertical="center"/>
      <protection/>
    </xf>
    <xf numFmtId="0" fontId="28" fillId="41" borderId="0" xfId="0" applyFont="1" applyFill="1" applyBorder="1" applyAlignment="1" applyProtection="1">
      <alignment horizontal="center" vertical="center"/>
      <protection/>
    </xf>
    <xf numFmtId="0" fontId="0" fillId="41" borderId="24" xfId="0" applyFill="1" applyBorder="1" applyAlignment="1" applyProtection="1">
      <alignment vertical="center"/>
      <protection/>
    </xf>
    <xf numFmtId="184" fontId="18" fillId="42" borderId="27" xfId="0" applyNumberFormat="1" applyFont="1" applyFill="1" applyBorder="1" applyAlignment="1" applyProtection="1">
      <alignment horizontal="center" vertical="center"/>
      <protection/>
    </xf>
    <xf numFmtId="184" fontId="18" fillId="41" borderId="12" xfId="0" applyNumberFormat="1" applyFont="1" applyFill="1" applyBorder="1" applyAlignment="1" applyProtection="1">
      <alignment horizontal="center" vertical="center"/>
      <protection/>
    </xf>
    <xf numFmtId="184" fontId="18" fillId="42" borderId="12" xfId="0" applyNumberFormat="1" applyFont="1" applyFill="1" applyBorder="1" applyAlignment="1" applyProtection="1">
      <alignment horizontal="center" vertical="center"/>
      <protection/>
    </xf>
    <xf numFmtId="0" fontId="18" fillId="41" borderId="16" xfId="0" applyFont="1" applyFill="1" applyBorder="1" applyAlignment="1" applyProtection="1">
      <alignment horizontal="left" vertical="center"/>
      <protection/>
    </xf>
    <xf numFmtId="0" fontId="28" fillId="41" borderId="16" xfId="0" applyFont="1" applyFill="1" applyBorder="1" applyAlignment="1" applyProtection="1">
      <alignment horizontal="center" vertical="center"/>
      <protection/>
    </xf>
    <xf numFmtId="0" fontId="0" fillId="41" borderId="18" xfId="0" applyFill="1" applyBorder="1" applyAlignment="1" applyProtection="1">
      <alignment vertical="center"/>
      <protection/>
    </xf>
    <xf numFmtId="37" fontId="4" fillId="34" borderId="24" xfId="0" applyNumberFormat="1" applyFont="1" applyFill="1" applyBorder="1" applyAlignment="1" applyProtection="1">
      <alignment horizontal="right" vertical="center"/>
      <protection/>
    </xf>
    <xf numFmtId="190" fontId="18" fillId="41" borderId="28" xfId="0" applyNumberFormat="1" applyFont="1" applyFill="1" applyBorder="1" applyAlignment="1" applyProtection="1">
      <alignment horizontal="center" vertical="center"/>
      <protection/>
    </xf>
    <xf numFmtId="0" fontId="18" fillId="41" borderId="24" xfId="0" applyFont="1" applyFill="1" applyBorder="1" applyAlignment="1" applyProtection="1">
      <alignment vertical="center"/>
      <protection/>
    </xf>
    <xf numFmtId="190" fontId="18" fillId="41" borderId="27" xfId="0" applyNumberFormat="1" applyFont="1" applyFill="1" applyBorder="1" applyAlignment="1" applyProtection="1">
      <alignment horizontal="center" vertical="center"/>
      <protection/>
    </xf>
    <xf numFmtId="190" fontId="18" fillId="41" borderId="28" xfId="0" applyNumberFormat="1" applyFont="1" applyFill="1" applyBorder="1" applyAlignment="1" applyProtection="1">
      <alignment vertical="center"/>
      <protection/>
    </xf>
    <xf numFmtId="0" fontId="4" fillId="41" borderId="24" xfId="0" applyFont="1" applyFill="1" applyBorder="1" applyAlignment="1" applyProtection="1">
      <alignment/>
      <protection locked="0"/>
    </xf>
    <xf numFmtId="190" fontId="18" fillId="42" borderId="27" xfId="0" applyNumberFormat="1" applyFont="1" applyFill="1" applyBorder="1" applyAlignment="1" applyProtection="1">
      <alignment horizontal="center" vertical="center"/>
      <protection/>
    </xf>
    <xf numFmtId="0" fontId="18" fillId="42" borderId="16" xfId="0" applyFont="1" applyFill="1" applyBorder="1" applyAlignment="1" applyProtection="1">
      <alignment vertical="center"/>
      <protection/>
    </xf>
    <xf numFmtId="0" fontId="18" fillId="42" borderId="18" xfId="0" applyFont="1" applyFill="1" applyBorder="1" applyAlignment="1" applyProtection="1">
      <alignment vertical="center"/>
      <protection/>
    </xf>
    <xf numFmtId="37" fontId="4" fillId="42" borderId="18" xfId="0" applyNumberFormat="1" applyFont="1" applyFill="1" applyBorder="1" applyAlignment="1" applyProtection="1">
      <alignment horizontal="right" vertical="center"/>
      <protection/>
    </xf>
    <xf numFmtId="0" fontId="4" fillId="41" borderId="28" xfId="0" applyFont="1" applyFill="1" applyBorder="1" applyAlignment="1" applyProtection="1">
      <alignment vertical="center"/>
      <protection/>
    </xf>
    <xf numFmtId="190" fontId="22" fillId="41" borderId="28" xfId="0" applyNumberFormat="1" applyFont="1" applyFill="1" applyBorder="1" applyAlignment="1" applyProtection="1">
      <alignment horizontal="center" vertical="center"/>
      <protection/>
    </xf>
    <xf numFmtId="0" fontId="4" fillId="41" borderId="24" xfId="0" applyFont="1" applyFill="1" applyBorder="1" applyAlignment="1" applyProtection="1">
      <alignment vertical="center"/>
      <protection/>
    </xf>
    <xf numFmtId="190" fontId="22" fillId="41" borderId="28" xfId="0" applyNumberFormat="1" applyFont="1" applyFill="1" applyBorder="1" applyAlignment="1" applyProtection="1">
      <alignment vertical="center"/>
      <protection/>
    </xf>
    <xf numFmtId="0" fontId="22" fillId="41" borderId="0" xfId="0" applyFont="1" applyFill="1" applyBorder="1" applyAlignment="1" applyProtection="1">
      <alignment vertical="center"/>
      <protection/>
    </xf>
    <xf numFmtId="190" fontId="22" fillId="41" borderId="27" xfId="0" applyNumberFormat="1" applyFont="1" applyFill="1" applyBorder="1" applyAlignment="1" applyProtection="1">
      <alignment horizontal="center" vertical="center"/>
      <protection/>
    </xf>
    <xf numFmtId="190" fontId="22" fillId="42" borderId="27" xfId="0" applyNumberFormat="1" applyFont="1" applyFill="1" applyBorder="1" applyAlignment="1" applyProtection="1">
      <alignment horizontal="center" vertical="center"/>
      <protection/>
    </xf>
    <xf numFmtId="0" fontId="4" fillId="42" borderId="18" xfId="0" applyFont="1" applyFill="1" applyBorder="1" applyAlignment="1" applyProtection="1">
      <alignment vertical="center"/>
      <protection/>
    </xf>
    <xf numFmtId="0" fontId="4" fillId="42" borderId="18" xfId="0" applyFont="1" applyFill="1" applyBorder="1" applyAlignment="1" applyProtection="1">
      <alignment/>
      <protection locked="0"/>
    </xf>
    <xf numFmtId="193" fontId="4" fillId="33" borderId="10" xfId="0" applyNumberFormat="1" applyFont="1" applyFill="1" applyBorder="1" applyAlignment="1" applyProtection="1">
      <alignment vertical="center"/>
      <protection locked="0"/>
    </xf>
    <xf numFmtId="37" fontId="4" fillId="34" borderId="16" xfId="77" applyNumberFormat="1" applyFont="1" applyFill="1" applyBorder="1" applyAlignment="1" applyProtection="1">
      <alignment horizontal="left" vertical="center"/>
      <protection/>
    </xf>
    <xf numFmtId="193" fontId="4" fillId="33" borderId="10" xfId="0" applyNumberFormat="1" applyFont="1" applyFill="1" applyBorder="1" applyAlignment="1" applyProtection="1">
      <alignment vertical="center"/>
      <protection locked="0"/>
    </xf>
    <xf numFmtId="37" fontId="4" fillId="34" borderId="13" xfId="74" applyNumberFormat="1" applyFont="1" applyFill="1" applyBorder="1" applyAlignment="1" applyProtection="1">
      <alignment horizontal="left" vertical="center"/>
      <protection/>
    </xf>
    <xf numFmtId="1" fontId="4" fillId="34" borderId="19"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center" vertical="center"/>
      <protection/>
    </xf>
    <xf numFmtId="0" fontId="18" fillId="34" borderId="18" xfId="0" applyFont="1" applyFill="1" applyBorder="1" applyAlignment="1" applyProtection="1">
      <alignment vertical="center"/>
      <protection/>
    </xf>
    <xf numFmtId="0" fontId="18" fillId="0" borderId="0" xfId="77" applyFont="1" applyFill="1" applyBorder="1" applyAlignment="1" applyProtection="1">
      <alignment vertical="center"/>
      <protection/>
    </xf>
    <xf numFmtId="190" fontId="19" fillId="0" borderId="0" xfId="77" applyNumberFormat="1" applyFont="1" applyFill="1" applyBorder="1" applyAlignment="1" applyProtection="1">
      <alignment horizontal="center" vertical="center"/>
      <protection/>
    </xf>
    <xf numFmtId="0" fontId="19" fillId="0" borderId="0" xfId="77" applyFont="1" applyFill="1" applyBorder="1" applyAlignment="1" applyProtection="1">
      <alignment vertical="center"/>
      <protection/>
    </xf>
    <xf numFmtId="37" fontId="18" fillId="34" borderId="10" xfId="0" applyNumberFormat="1" applyFont="1" applyFill="1" applyBorder="1" applyAlignment="1" applyProtection="1">
      <alignment horizontal="right" vertical="center"/>
      <protection/>
    </xf>
    <xf numFmtId="192" fontId="18" fillId="34" borderId="10" xfId="0" applyNumberFormat="1" applyFont="1" applyFill="1" applyBorder="1" applyAlignment="1" applyProtection="1">
      <alignment horizontal="right" vertical="center"/>
      <protection/>
    </xf>
    <xf numFmtId="183" fontId="4" fillId="34" borderId="10" xfId="0" applyNumberFormat="1" applyFont="1" applyFill="1" applyBorder="1" applyAlignment="1" applyProtection="1">
      <alignment horizontal="right" vertical="center"/>
      <protection/>
    </xf>
    <xf numFmtId="0" fontId="18" fillId="34" borderId="10" xfId="0" applyFont="1" applyFill="1" applyBorder="1" applyAlignment="1" applyProtection="1">
      <alignment horizontal="right" vertical="center"/>
      <protection/>
    </xf>
    <xf numFmtId="0" fontId="18" fillId="34" borderId="15" xfId="0" applyFont="1" applyFill="1" applyBorder="1" applyAlignment="1" applyProtection="1">
      <alignment horizontal="right" vertical="center"/>
      <protection/>
    </xf>
    <xf numFmtId="37" fontId="18" fillId="34" borderId="21" xfId="0" applyNumberFormat="1" applyFont="1" applyFill="1" applyBorder="1" applyAlignment="1" applyProtection="1">
      <alignment horizontal="right" vertical="center"/>
      <protection/>
    </xf>
    <xf numFmtId="183" fontId="18" fillId="34" borderId="21" xfId="0" applyNumberFormat="1" applyFont="1" applyFill="1" applyBorder="1" applyAlignment="1" applyProtection="1">
      <alignment horizontal="right" vertical="center"/>
      <protection/>
    </xf>
    <xf numFmtId="0" fontId="4" fillId="43" borderId="0" xfId="0" applyFont="1" applyFill="1" applyAlignment="1" applyProtection="1">
      <alignment/>
      <protection locked="0"/>
    </xf>
    <xf numFmtId="0" fontId="4" fillId="0" borderId="0" xfId="72" applyFont="1" applyAlignment="1">
      <alignment vertical="center" wrapText="1"/>
      <protection/>
    </xf>
    <xf numFmtId="0" fontId="4" fillId="0" borderId="0" xfId="122" applyFont="1" applyAlignment="1">
      <alignment vertical="center"/>
      <protection/>
    </xf>
    <xf numFmtId="37" fontId="18" fillId="34" borderId="0" xfId="0" applyNumberFormat="1" applyFont="1" applyFill="1" applyBorder="1" applyAlignment="1" applyProtection="1">
      <alignment horizontal="fill" vertical="center"/>
      <protection locked="0"/>
    </xf>
    <xf numFmtId="0" fontId="18" fillId="34" borderId="0" xfId="0" applyFont="1" applyFill="1" applyBorder="1" applyAlignment="1" applyProtection="1">
      <alignment vertical="center"/>
      <protection locked="0"/>
    </xf>
    <xf numFmtId="0" fontId="18" fillId="34" borderId="0" xfId="0" applyFont="1" applyFill="1" applyBorder="1" applyAlignment="1" applyProtection="1">
      <alignment horizontal="centerContinuous" vertical="center"/>
      <protection locked="0"/>
    </xf>
    <xf numFmtId="37" fontId="18" fillId="34" borderId="0" xfId="0" applyNumberFormat="1" applyFont="1" applyFill="1" applyBorder="1" applyAlignment="1" applyProtection="1">
      <alignment horizontal="centerContinuous" vertical="center"/>
      <protection/>
    </xf>
    <xf numFmtId="0" fontId="4" fillId="0" borderId="0" xfId="83" applyFont="1" applyAlignment="1">
      <alignment vertical="center" wrapText="1"/>
      <protection/>
    </xf>
    <xf numFmtId="0" fontId="4" fillId="0" borderId="0" xfId="112" applyFont="1" applyAlignment="1">
      <alignment vertical="center" wrapText="1"/>
      <protection/>
    </xf>
    <xf numFmtId="0" fontId="11" fillId="33" borderId="16" xfId="62" applyFill="1" applyBorder="1" applyAlignment="1" applyProtection="1">
      <alignment vertical="center"/>
      <protection locked="0"/>
    </xf>
    <xf numFmtId="0" fontId="24" fillId="0" borderId="0" xfId="0" applyFont="1" applyFill="1" applyAlignment="1">
      <alignment vertical="center"/>
    </xf>
    <xf numFmtId="37" fontId="4" fillId="0" borderId="0" xfId="0" applyNumberFormat="1" applyFont="1" applyFill="1" applyAlignment="1">
      <alignment vertical="center"/>
    </xf>
    <xf numFmtId="0" fontId="4" fillId="0" borderId="0" xfId="0" applyFont="1" applyFill="1" applyAlignment="1">
      <alignment vertical="center"/>
    </xf>
    <xf numFmtId="0" fontId="4" fillId="33" borderId="0" xfId="0" applyFont="1" applyFill="1" applyAlignment="1" applyProtection="1">
      <alignment horizontal="center" vertical="center"/>
      <protection locked="0"/>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37" fontId="4" fillId="34" borderId="0" xfId="0" applyNumberFormat="1" applyFont="1" applyFill="1" applyBorder="1" applyAlignment="1" applyProtection="1">
      <alignment horizontal="fill" vertical="center"/>
      <protection/>
    </xf>
    <xf numFmtId="1" fontId="4" fillId="34" borderId="0" xfId="0" applyNumberFormat="1" applyFont="1" applyFill="1" applyBorder="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4" fillId="34" borderId="0" xfId="0" applyNumberFormat="1" applyFont="1" applyFill="1" applyBorder="1" applyAlignment="1" applyProtection="1">
      <alignment horizontal="center" vertical="center"/>
      <protection/>
    </xf>
    <xf numFmtId="3" fontId="4" fillId="33" borderId="0" xfId="0" applyNumberFormat="1"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33" borderId="0" xfId="0" applyFont="1" applyFill="1" applyBorder="1" applyAlignment="1" applyProtection="1">
      <alignment horizontal="left" vertical="center"/>
      <protection locked="0"/>
    </xf>
    <xf numFmtId="3" fontId="24" fillId="40" borderId="0" xfId="0" applyNumberFormat="1" applyFont="1" applyFill="1" applyBorder="1" applyAlignment="1" applyProtection="1">
      <alignment horizontal="center" vertical="center"/>
      <protection/>
    </xf>
    <xf numFmtId="37" fontId="5" fillId="34" borderId="0" xfId="0" applyNumberFormat="1" applyFont="1" applyFill="1" applyBorder="1" applyAlignment="1" applyProtection="1">
      <alignment horizontal="left" vertical="center"/>
      <protection/>
    </xf>
    <xf numFmtId="3" fontId="5" fillId="35" borderId="0" xfId="0" applyNumberFormat="1" applyFont="1" applyFill="1" applyBorder="1" applyAlignment="1" applyProtection="1">
      <alignment vertical="center"/>
      <protection/>
    </xf>
    <xf numFmtId="3" fontId="4" fillId="35" borderId="0" xfId="0" applyNumberFormat="1" applyFont="1" applyFill="1" applyBorder="1" applyAlignment="1" applyProtection="1">
      <alignment vertical="center"/>
      <protection/>
    </xf>
    <xf numFmtId="0" fontId="4" fillId="34" borderId="0" xfId="0" applyFont="1" applyFill="1" applyBorder="1" applyAlignment="1" applyProtection="1">
      <alignment horizontal="right" vertical="center"/>
      <protection/>
    </xf>
    <xf numFmtId="3" fontId="4" fillId="34" borderId="0" xfId="0" applyNumberFormat="1" applyFont="1" applyFill="1" applyBorder="1" applyAlignment="1" applyProtection="1">
      <alignment horizontal="center" vertical="center"/>
      <protection/>
    </xf>
    <xf numFmtId="0" fontId="25" fillId="34" borderId="0" xfId="0" applyFont="1" applyFill="1" applyBorder="1" applyAlignment="1" applyProtection="1">
      <alignment horizontal="center" vertical="center"/>
      <protection/>
    </xf>
    <xf numFmtId="37" fontId="4" fillId="0" borderId="0" xfId="0" applyNumberFormat="1" applyFont="1" applyBorder="1" applyAlignment="1" applyProtection="1">
      <alignment horizontal="fill"/>
      <protection locked="0"/>
    </xf>
    <xf numFmtId="0" fontId="4" fillId="0" borderId="0" xfId="0" applyFont="1" applyBorder="1" applyAlignment="1" applyProtection="1">
      <alignment horizontal="centerContinuous"/>
      <protection locked="0"/>
    </xf>
    <xf numFmtId="0" fontId="4" fillId="0" borderId="0" xfId="0" applyFont="1" applyBorder="1" applyAlignment="1" applyProtection="1">
      <alignment/>
      <protection locked="0"/>
    </xf>
    <xf numFmtId="0" fontId="28" fillId="41" borderId="0" xfId="0" applyFont="1" applyFill="1" applyBorder="1" applyAlignment="1" applyProtection="1">
      <alignment horizontal="center" vertical="center"/>
      <protection/>
    </xf>
    <xf numFmtId="3" fontId="4" fillId="39" borderId="0" xfId="0" applyNumberFormat="1" applyFont="1" applyFill="1" applyBorder="1" applyAlignment="1" applyProtection="1">
      <alignment vertical="center"/>
      <protection/>
    </xf>
    <xf numFmtId="0" fontId="4" fillId="0" borderId="16" xfId="0" applyFont="1" applyBorder="1" applyAlignment="1">
      <alignment/>
    </xf>
    <xf numFmtId="0" fontId="8" fillId="0" borderId="16" xfId="0" applyFont="1" applyBorder="1" applyAlignment="1">
      <alignment/>
    </xf>
    <xf numFmtId="37" fontId="4" fillId="36" borderId="0" xfId="0" applyNumberFormat="1" applyFont="1" applyFill="1" applyAlignment="1" applyProtection="1">
      <alignment horizontal="center" vertical="center" wrapText="1"/>
      <protection/>
    </xf>
    <xf numFmtId="0" fontId="0" fillId="36" borderId="16" xfId="0" applyFill="1" applyBorder="1" applyAlignment="1">
      <alignment horizontal="center" vertical="center" wrapText="1"/>
    </xf>
    <xf numFmtId="37" fontId="25" fillId="34" borderId="0" xfId="0" applyNumberFormat="1" applyFont="1" applyFill="1" applyAlignment="1" applyProtection="1">
      <alignment horizontal="center" vertical="center"/>
      <protection/>
    </xf>
    <xf numFmtId="0" fontId="26"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4" fillId="34" borderId="0" xfId="0" applyFont="1" applyFill="1" applyBorder="1" applyAlignment="1" applyProtection="1">
      <alignment vertical="center" wrapText="1"/>
      <protection/>
    </xf>
    <xf numFmtId="0" fontId="5" fillId="36" borderId="0" xfId="0" applyFont="1" applyFill="1" applyBorder="1" applyAlignment="1">
      <alignment horizontal="center" vertical="center"/>
    </xf>
    <xf numFmtId="0" fontId="1" fillId="36" borderId="0" xfId="0" applyFont="1" applyFill="1" applyBorder="1" applyAlignment="1">
      <alignment horizontal="center" vertical="center"/>
    </xf>
    <xf numFmtId="0" fontId="4" fillId="36" borderId="15"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24" fillId="34" borderId="0" xfId="0" applyFont="1" applyFill="1" applyBorder="1" applyAlignment="1">
      <alignment vertical="center"/>
    </xf>
    <xf numFmtId="0" fontId="30" fillId="0" borderId="0" xfId="0" applyFont="1" applyAlignment="1">
      <alignment vertical="center"/>
    </xf>
    <xf numFmtId="0" fontId="4" fillId="0" borderId="0" xfId="382" applyFont="1" applyAlignment="1">
      <alignment horizontal="left" vertical="center" wrapText="1"/>
      <protection/>
    </xf>
    <xf numFmtId="0" fontId="12" fillId="0" borderId="0" xfId="382" applyFont="1" applyAlignment="1">
      <alignment horizontal="left" vertical="center" wrapText="1"/>
      <protection/>
    </xf>
    <xf numFmtId="0" fontId="23" fillId="0" borderId="0" xfId="382" applyFont="1" applyAlignment="1">
      <alignment horizontal="left" vertical="center"/>
      <protection/>
    </xf>
    <xf numFmtId="37" fontId="18" fillId="0" borderId="0" xfId="0" applyNumberFormat="1" applyFont="1" applyAlignment="1" applyProtection="1">
      <alignment horizontal="center" vertical="center"/>
      <protection locked="0"/>
    </xf>
    <xf numFmtId="37" fontId="19" fillId="34" borderId="0" xfId="0" applyNumberFormat="1" applyFont="1" applyFill="1" applyAlignment="1" applyProtection="1">
      <alignment horizontal="center" vertical="center"/>
      <protection/>
    </xf>
    <xf numFmtId="37" fontId="18" fillId="34" borderId="15" xfId="0" applyNumberFormat="1" applyFont="1" applyFill="1" applyBorder="1" applyAlignment="1" applyProtection="1">
      <alignment horizontal="center" vertical="center" wrapText="1"/>
      <protection/>
    </xf>
    <xf numFmtId="0" fontId="20" fillId="0" borderId="17" xfId="0" applyFont="1" applyBorder="1" applyAlignment="1">
      <alignment horizontal="center" vertical="center" wrapText="1"/>
    </xf>
    <xf numFmtId="37" fontId="28" fillId="34" borderId="0" xfId="0" applyNumberFormat="1" applyFont="1" applyFill="1" applyAlignment="1" applyProtection="1">
      <alignment horizontal="center" vertical="center"/>
      <protection/>
    </xf>
    <xf numFmtId="0" fontId="1" fillId="0" borderId="0" xfId="0" applyFont="1" applyAlignment="1">
      <alignment horizontal="center" vertical="center"/>
    </xf>
    <xf numFmtId="37" fontId="18"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0" xfId="0" applyAlignment="1">
      <alignment vertical="center"/>
    </xf>
    <xf numFmtId="37" fontId="18" fillId="34" borderId="12" xfId="0" applyNumberFormat="1" applyFont="1" applyFill="1" applyBorder="1" applyAlignment="1" applyProtection="1">
      <alignment horizontal="fill" vertical="center"/>
      <protection/>
    </xf>
    <xf numFmtId="0" fontId="0" fillId="0" borderId="14" xfId="0" applyBorder="1" applyAlignment="1">
      <alignment vertical="center"/>
    </xf>
    <xf numFmtId="0" fontId="18" fillId="34" borderId="0" xfId="0" applyFont="1" applyFill="1" applyAlignment="1" applyProtection="1">
      <alignment horizontal="center" vertical="center"/>
      <protection/>
    </xf>
    <xf numFmtId="0" fontId="18" fillId="36" borderId="15" xfId="0" applyFont="1" applyFill="1" applyBorder="1" applyAlignment="1" applyProtection="1">
      <alignment horizontal="center" vertical="center" wrapText="1"/>
      <protection/>
    </xf>
    <xf numFmtId="0" fontId="0" fillId="0" borderId="17" xfId="0" applyBorder="1" applyAlignment="1">
      <alignment vertical="center" wrapText="1"/>
    </xf>
    <xf numFmtId="37" fontId="4" fillId="34" borderId="15" xfId="0" applyNumberFormat="1" applyFont="1" applyFill="1" applyBorder="1" applyAlignment="1" applyProtection="1">
      <alignment horizontal="center" vertical="center" wrapText="1"/>
      <protection/>
    </xf>
    <xf numFmtId="0" fontId="7" fillId="34" borderId="0" xfId="0"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4" fillId="34" borderId="15" xfId="0" applyNumberFormat="1" applyFont="1" applyFill="1" applyBorder="1" applyAlignment="1" applyProtection="1">
      <alignment horizontal="center" wrapText="1"/>
      <protection/>
    </xf>
    <xf numFmtId="0" fontId="0" fillId="0" borderId="17" xfId="0" applyBorder="1" applyAlignment="1">
      <alignment horizontal="center" wrapText="1"/>
    </xf>
    <xf numFmtId="37" fontId="4" fillId="34" borderId="12"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0" fillId="0" borderId="14" xfId="0" applyBorder="1" applyAlignment="1">
      <alignment horizontal="center" vertical="center"/>
    </xf>
    <xf numFmtId="37" fontId="5" fillId="34" borderId="0" xfId="0" applyNumberFormat="1" applyFont="1" applyFill="1" applyAlignment="1" applyProtection="1">
      <alignment horizontal="center"/>
      <protection/>
    </xf>
    <xf numFmtId="0" fontId="4" fillId="34" borderId="27"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4" fillId="34" borderId="27"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4" fillId="34" borderId="0" xfId="0" applyFont="1" applyFill="1" applyAlignment="1" applyProtection="1">
      <alignment horizontal="center" vertical="center"/>
      <protection/>
    </xf>
    <xf numFmtId="3" fontId="4" fillId="34" borderId="22" xfId="89" applyNumberFormat="1" applyFont="1" applyFill="1" applyBorder="1" applyAlignment="1" applyProtection="1">
      <alignment horizontal="right" vertical="center"/>
      <protection/>
    </xf>
    <xf numFmtId="0" fontId="0" fillId="0" borderId="20" xfId="89" applyBorder="1" applyAlignment="1">
      <alignment horizontal="right" vertical="center"/>
      <protection/>
    </xf>
    <xf numFmtId="0" fontId="4" fillId="34" borderId="0" xfId="89" applyFont="1" applyFill="1" applyAlignment="1" applyProtection="1">
      <alignment horizontal="right" vertical="center"/>
      <protection/>
    </xf>
    <xf numFmtId="0" fontId="4" fillId="0" borderId="24" xfId="89" applyFont="1" applyBorder="1" applyAlignment="1">
      <alignment horizontal="right" vertical="center"/>
      <protection/>
    </xf>
    <xf numFmtId="0" fontId="28" fillId="34" borderId="19" xfId="77" applyFont="1" applyFill="1" applyBorder="1" applyAlignment="1" applyProtection="1">
      <alignment horizontal="center" vertical="center"/>
      <protection/>
    </xf>
    <xf numFmtId="0" fontId="44" fillId="0" borderId="22" xfId="77" applyFont="1" applyBorder="1" applyAlignment="1" applyProtection="1">
      <alignment horizontal="center" vertical="center"/>
      <protection/>
    </xf>
    <xf numFmtId="0" fontId="0" fillId="0" borderId="20" xfId="77" applyBorder="1" applyAlignment="1" applyProtection="1">
      <alignment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28" fillId="41" borderId="19" xfId="0" applyFont="1" applyFill="1" applyBorder="1" applyAlignment="1" applyProtection="1">
      <alignment horizontal="center" vertical="center"/>
      <protection/>
    </xf>
    <xf numFmtId="0" fontId="0" fillId="0" borderId="22" xfId="0" applyBorder="1" applyAlignment="1">
      <alignment vertical="center"/>
    </xf>
    <xf numFmtId="0" fontId="0" fillId="0" borderId="20" xfId="0" applyBorder="1" applyAlignment="1">
      <alignment vertical="center"/>
    </xf>
    <xf numFmtId="184" fontId="28" fillId="41" borderId="19" xfId="0" applyNumberFormat="1" applyFont="1" applyFill="1" applyBorder="1" applyAlignment="1" applyProtection="1">
      <alignment horizontal="center"/>
      <protection/>
    </xf>
    <xf numFmtId="0" fontId="26" fillId="0" borderId="22" xfId="0" applyFont="1" applyBorder="1" applyAlignment="1">
      <alignment/>
    </xf>
    <xf numFmtId="0" fontId="26" fillId="0" borderId="20" xfId="0" applyFont="1" applyBorder="1" applyAlignment="1">
      <alignment/>
    </xf>
    <xf numFmtId="37" fontId="4" fillId="34" borderId="0" xfId="0" applyNumberFormat="1" applyFont="1" applyFill="1" applyAlignment="1" applyProtection="1">
      <alignment horizontal="center" vertical="center"/>
      <protection/>
    </xf>
    <xf numFmtId="0" fontId="0" fillId="0" borderId="22" xfId="0" applyBorder="1" applyAlignment="1">
      <alignment horizontal="center" vertical="center"/>
    </xf>
    <xf numFmtId="0" fontId="0" fillId="0" borderId="20" xfId="0" applyBorder="1" applyAlignment="1">
      <alignment/>
    </xf>
    <xf numFmtId="0" fontId="20" fillId="0" borderId="22" xfId="0" applyFont="1" applyBorder="1" applyAlignment="1">
      <alignment horizontal="center" vertical="center"/>
    </xf>
    <xf numFmtId="0" fontId="28" fillId="41" borderId="22" xfId="0" applyFont="1" applyFill="1" applyBorder="1" applyAlignment="1" applyProtection="1">
      <alignment horizontal="center" vertical="center"/>
      <protection/>
    </xf>
    <xf numFmtId="0" fontId="28" fillId="41" borderId="20" xfId="0" applyFont="1" applyFill="1" applyBorder="1" applyAlignment="1" applyProtection="1">
      <alignment horizontal="center" vertical="center"/>
      <protection/>
    </xf>
    <xf numFmtId="0" fontId="4" fillId="34" borderId="12" xfId="0" applyFont="1" applyFill="1" applyBorder="1" applyAlignment="1">
      <alignment horizontal="center" vertical="center"/>
    </xf>
    <xf numFmtId="0" fontId="4" fillId="34" borderId="14" xfId="0" applyFont="1" applyFill="1" applyBorder="1" applyAlignment="1">
      <alignment horizontal="center" vertical="center"/>
    </xf>
    <xf numFmtId="37" fontId="23" fillId="34" borderId="0" xfId="0" applyNumberFormat="1"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23" fillId="41" borderId="19" xfId="86" applyFont="1" applyFill="1" applyBorder="1" applyAlignment="1" applyProtection="1">
      <alignment horizontal="center"/>
      <protection/>
    </xf>
    <xf numFmtId="0" fontId="23" fillId="41" borderId="22" xfId="86" applyFont="1" applyFill="1" applyBorder="1" applyAlignment="1" applyProtection="1">
      <alignment horizontal="center"/>
      <protection/>
    </xf>
    <xf numFmtId="0" fontId="23" fillId="41" borderId="20" xfId="86" applyFont="1" applyFill="1" applyBorder="1" applyAlignment="1" applyProtection="1">
      <alignment horizontal="center"/>
      <protection/>
    </xf>
    <xf numFmtId="0" fontId="0" fillId="0" borderId="22" xfId="86" applyBorder="1" applyAlignment="1" applyProtection="1">
      <alignment horizontal="center"/>
      <protection/>
    </xf>
    <xf numFmtId="0" fontId="0" fillId="0" borderId="20" xfId="86" applyBorder="1" applyAlignment="1" applyProtection="1">
      <alignment horizontal="center"/>
      <protection/>
    </xf>
    <xf numFmtId="37" fontId="4" fillId="34" borderId="16" xfId="0" applyNumberFormat="1" applyFont="1" applyFill="1" applyBorder="1" applyAlignment="1" applyProtection="1">
      <alignment horizontal="center" vertical="center"/>
      <protection locked="0"/>
    </xf>
    <xf numFmtId="0" fontId="0" fillId="0" borderId="22" xfId="0" applyBorder="1" applyAlignment="1">
      <alignment horizontal="center"/>
    </xf>
    <xf numFmtId="0" fontId="0" fillId="0" borderId="20" xfId="0" applyBorder="1" applyAlignment="1">
      <alignment horizontal="center"/>
    </xf>
    <xf numFmtId="0" fontId="4" fillId="34" borderId="0" xfId="0" applyFont="1" applyFill="1"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left" wrapText="1"/>
    </xf>
    <xf numFmtId="0" fontId="8" fillId="0" borderId="0" xfId="0" applyFont="1" applyAlignment="1">
      <alignment vertical="top" wrapText="1"/>
    </xf>
    <xf numFmtId="0" fontId="8" fillId="0" borderId="0" xfId="0" applyFont="1" applyAlignment="1">
      <alignment horizontal="center"/>
    </xf>
    <xf numFmtId="183" fontId="47" fillId="43" borderId="16" xfId="0" applyNumberFormat="1" applyFont="1" applyFill="1" applyBorder="1" applyAlignment="1" applyProtection="1">
      <alignment horizontal="center"/>
      <protection locked="0"/>
    </xf>
    <xf numFmtId="191" fontId="47" fillId="41" borderId="0" xfId="0" applyNumberFormat="1" applyFont="1" applyFill="1" applyBorder="1" applyAlignment="1">
      <alignment horizontal="center"/>
    </xf>
    <xf numFmtId="191" fontId="47" fillId="0" borderId="32" xfId="0" applyNumberFormat="1" applyFont="1" applyBorder="1" applyAlignment="1">
      <alignment horizontal="center"/>
    </xf>
    <xf numFmtId="5" fontId="47" fillId="41" borderId="16" xfId="0" applyNumberFormat="1" applyFont="1" applyFill="1" applyBorder="1" applyAlignment="1">
      <alignment horizontal="center"/>
    </xf>
    <xf numFmtId="190" fontId="47" fillId="41" borderId="0" xfId="0" applyNumberFormat="1" applyFont="1" applyFill="1" applyBorder="1" applyAlignment="1">
      <alignment horizontal="center"/>
    </xf>
    <xf numFmtId="0" fontId="47" fillId="41" borderId="22" xfId="0" applyFont="1" applyFill="1" applyBorder="1" applyAlignment="1">
      <alignment horizontal="center"/>
    </xf>
    <xf numFmtId="0" fontId="47" fillId="41" borderId="31" xfId="0" applyFont="1" applyFill="1" applyBorder="1" applyAlignment="1">
      <alignment vertical="top" wrapText="1"/>
    </xf>
    <xf numFmtId="0" fontId="47" fillId="0" borderId="0" xfId="0" applyFont="1" applyAlignment="1">
      <alignment vertical="top" wrapText="1"/>
    </xf>
    <xf numFmtId="0" fontId="47" fillId="0" borderId="32" xfId="0" applyFont="1" applyBorder="1" applyAlignment="1">
      <alignment vertical="top" wrapText="1"/>
    </xf>
    <xf numFmtId="0" fontId="47" fillId="0" borderId="32" xfId="0" applyFont="1" applyBorder="1" applyAlignment="1">
      <alignment horizontal="center"/>
    </xf>
    <xf numFmtId="0" fontId="93" fillId="41" borderId="0" xfId="0" applyFont="1" applyFill="1" applyBorder="1" applyAlignment="1">
      <alignment horizontal="center" wrapText="1"/>
    </xf>
    <xf numFmtId="0" fontId="93" fillId="0" borderId="0" xfId="0" applyFont="1" applyAlignment="1">
      <alignment horizontal="center" wrapText="1"/>
    </xf>
    <xf numFmtId="0" fontId="93" fillId="41" borderId="0" xfId="0" applyFont="1" applyFill="1" applyAlignment="1">
      <alignment horizontal="center" wrapText="1"/>
    </xf>
    <xf numFmtId="0" fontId="47" fillId="41" borderId="0" xfId="0" applyFont="1" applyFill="1" applyAlignment="1">
      <alignment wrapText="1"/>
    </xf>
    <xf numFmtId="190" fontId="47" fillId="43" borderId="16" xfId="0" applyNumberFormat="1" applyFont="1" applyFill="1" applyBorder="1" applyAlignment="1" applyProtection="1">
      <alignment horizontal="center"/>
      <protection locked="0"/>
    </xf>
    <xf numFmtId="0" fontId="93" fillId="41" borderId="33" xfId="0" applyFont="1" applyFill="1" applyBorder="1" applyAlignment="1">
      <alignment horizontal="center" vertical="center"/>
    </xf>
    <xf numFmtId="0" fontId="47" fillId="0" borderId="33" xfId="0" applyFont="1" applyBorder="1" applyAlignment="1">
      <alignment horizontal="center" vertical="center"/>
    </xf>
    <xf numFmtId="0" fontId="47" fillId="0" borderId="0" xfId="0" applyFont="1" applyAlignment="1">
      <alignment horizontal="center" wrapText="1"/>
    </xf>
    <xf numFmtId="0" fontId="93" fillId="41" borderId="0" xfId="0" applyFont="1" applyFill="1" applyAlignment="1">
      <alignment horizontal="center"/>
    </xf>
    <xf numFmtId="0" fontId="47" fillId="0" borderId="0" xfId="0" applyFont="1" applyAlignment="1">
      <alignment wrapText="1"/>
    </xf>
    <xf numFmtId="190" fontId="47" fillId="41" borderId="0" xfId="0" applyNumberFormat="1" applyFont="1" applyFill="1" applyAlignment="1">
      <alignment horizontal="center"/>
    </xf>
    <xf numFmtId="190" fontId="47" fillId="43" borderId="35" xfId="0" applyNumberFormat="1" applyFont="1" applyFill="1" applyBorder="1" applyAlignment="1" applyProtection="1">
      <alignment horizontal="center"/>
      <protection locked="0"/>
    </xf>
    <xf numFmtId="0" fontId="47" fillId="41" borderId="0" xfId="0" applyFont="1" applyFill="1" applyBorder="1" applyAlignment="1">
      <alignment/>
    </xf>
    <xf numFmtId="0" fontId="47" fillId="0" borderId="0" xfId="0" applyFont="1" applyBorder="1" applyAlignment="1">
      <alignment/>
    </xf>
    <xf numFmtId="0" fontId="47" fillId="41" borderId="37" xfId="0" applyFont="1" applyFill="1" applyBorder="1" applyAlignment="1">
      <alignment/>
    </xf>
    <xf numFmtId="0" fontId="47" fillId="41" borderId="38" xfId="0" applyFont="1" applyFill="1" applyBorder="1" applyAlignment="1">
      <alignment/>
    </xf>
    <xf numFmtId="0" fontId="93" fillId="41" borderId="0" xfId="0" applyFont="1" applyFill="1" applyAlignment="1">
      <alignment horizontal="center" vertical="center"/>
    </xf>
    <xf numFmtId="0" fontId="93" fillId="0" borderId="0" xfId="0" applyFont="1" applyAlignment="1">
      <alignment horizontal="center" vertical="center"/>
    </xf>
    <xf numFmtId="190" fontId="47" fillId="41" borderId="0" xfId="0" applyNumberFormat="1" applyFont="1" applyFill="1" applyAlignment="1">
      <alignment/>
    </xf>
    <xf numFmtId="0" fontId="47" fillId="41" borderId="0" xfId="0" applyFont="1" applyFill="1" applyBorder="1" applyAlignment="1">
      <alignment wrapText="1"/>
    </xf>
    <xf numFmtId="0" fontId="47" fillId="41" borderId="0" xfId="0" applyFont="1" applyFill="1" applyBorder="1" applyAlignment="1">
      <alignment horizontal="center"/>
    </xf>
  </cellXfs>
  <cellStyles count="3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4" xfId="50"/>
    <cellStyle name="Comma 5" xfId="51"/>
    <cellStyle name="Comma 6"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7" xfId="66"/>
    <cellStyle name="Hyperlink 7 2" xfId="67"/>
    <cellStyle name="Input" xfId="68"/>
    <cellStyle name="Linked Cell" xfId="69"/>
    <cellStyle name="Neutral" xfId="70"/>
    <cellStyle name="Normal 10" xfId="71"/>
    <cellStyle name="Normal 10 2" xfId="72"/>
    <cellStyle name="Normal 10 2 2" xfId="73"/>
    <cellStyle name="Normal 10 2 2 2" xfId="74"/>
    <cellStyle name="Normal 10 3" xfId="75"/>
    <cellStyle name="Normal 10 4" xfId="76"/>
    <cellStyle name="Normal 10 5" xfId="77"/>
    <cellStyle name="Normal 10 6" xfId="78"/>
    <cellStyle name="Normal 11" xfId="79"/>
    <cellStyle name="Normal 11 2" xfId="80"/>
    <cellStyle name="Normal 11 2 2" xfId="81"/>
    <cellStyle name="Normal 11 3" xfId="82"/>
    <cellStyle name="Normal 11 4" xfId="83"/>
    <cellStyle name="Normal 11 5" xfId="84"/>
    <cellStyle name="Normal 12" xfId="85"/>
    <cellStyle name="Normal 12 10" xfId="86"/>
    <cellStyle name="Normal 12 11" xfId="87"/>
    <cellStyle name="Normal 12 12" xfId="88"/>
    <cellStyle name="Normal 12 2" xfId="89"/>
    <cellStyle name="Normal 12 2 2" xfId="90"/>
    <cellStyle name="Normal 12 3" xfId="91"/>
    <cellStyle name="Normal 12 4" xfId="92"/>
    <cellStyle name="Normal 12 5" xfId="93"/>
    <cellStyle name="Normal 12 6" xfId="94"/>
    <cellStyle name="Normal 12 7" xfId="95"/>
    <cellStyle name="Normal 12 8" xfId="96"/>
    <cellStyle name="Normal 12 9" xfId="97"/>
    <cellStyle name="Normal 13" xfId="98"/>
    <cellStyle name="Normal 13 10" xfId="99"/>
    <cellStyle name="Normal 13 11" xfId="100"/>
    <cellStyle name="Normal 13 12" xfId="101"/>
    <cellStyle name="Normal 13 2" xfId="102"/>
    <cellStyle name="Normal 13 2 2" xfId="103"/>
    <cellStyle name="Normal 13 3" xfId="104"/>
    <cellStyle name="Normal 13 4" xfId="105"/>
    <cellStyle name="Normal 13 5" xfId="106"/>
    <cellStyle name="Normal 13 6" xfId="107"/>
    <cellStyle name="Normal 13 7" xfId="108"/>
    <cellStyle name="Normal 13 8" xfId="109"/>
    <cellStyle name="Normal 13 9" xfId="110"/>
    <cellStyle name="Normal 14" xfId="111"/>
    <cellStyle name="Normal 14 2" xfId="112"/>
    <cellStyle name="Normal 14 3" xfId="113"/>
    <cellStyle name="Normal 14 4" xfId="114"/>
    <cellStyle name="Normal 14 5" xfId="115"/>
    <cellStyle name="Normal 14 6" xfId="116"/>
    <cellStyle name="Normal 15" xfId="117"/>
    <cellStyle name="Normal 15 2" xfId="118"/>
    <cellStyle name="Normal 15 3" xfId="119"/>
    <cellStyle name="Normal 15 4" xfId="120"/>
    <cellStyle name="Normal 16" xfId="121"/>
    <cellStyle name="Normal 16 2" xfId="122"/>
    <cellStyle name="Normal 16 3" xfId="123"/>
    <cellStyle name="Normal 16 4" xfId="124"/>
    <cellStyle name="Normal 17" xfId="125"/>
    <cellStyle name="Normal 17 2" xfId="126"/>
    <cellStyle name="Normal 17 3" xfId="127"/>
    <cellStyle name="Normal 17 4" xfId="128"/>
    <cellStyle name="Normal 18" xfId="129"/>
    <cellStyle name="Normal 18 2" xfId="130"/>
    <cellStyle name="Normal 18 2 2" xfId="131"/>
    <cellStyle name="Normal 18 2 3" xfId="132"/>
    <cellStyle name="Normal 18 3" xfId="133"/>
    <cellStyle name="Normal 18 4" xfId="134"/>
    <cellStyle name="Normal 18 5" xfId="135"/>
    <cellStyle name="Normal 18 6" xfId="136"/>
    <cellStyle name="Normal 18 7" xfId="137"/>
    <cellStyle name="Normal 19" xfId="138"/>
    <cellStyle name="Normal 19 2" xfId="139"/>
    <cellStyle name="Normal 19 2 2" xfId="140"/>
    <cellStyle name="Normal 19 2 3" xfId="141"/>
    <cellStyle name="Normal 19 3" xfId="142"/>
    <cellStyle name="Normal 19 4" xfId="143"/>
    <cellStyle name="Normal 19 5" xfId="144"/>
    <cellStyle name="Normal 19 6" xfId="145"/>
    <cellStyle name="Normal 2" xfId="146"/>
    <cellStyle name="Normal 2 10" xfId="147"/>
    <cellStyle name="Normal 2 10 10" xfId="148"/>
    <cellStyle name="Normal 2 10 2" xfId="149"/>
    <cellStyle name="Normal 2 10 2 2" xfId="150"/>
    <cellStyle name="Normal 2 10 3" xfId="151"/>
    <cellStyle name="Normal 2 10 3 2" xfId="152"/>
    <cellStyle name="Normal 2 10 4" xfId="153"/>
    <cellStyle name="Normal 2 10 4 2" xfId="154"/>
    <cellStyle name="Normal 2 10 5" xfId="155"/>
    <cellStyle name="Normal 2 10 5 2" xfId="156"/>
    <cellStyle name="Normal 2 10 6" xfId="157"/>
    <cellStyle name="Normal 2 10 6 2" xfId="158"/>
    <cellStyle name="Normal 2 10 7" xfId="159"/>
    <cellStyle name="Normal 2 10 7 2" xfId="160"/>
    <cellStyle name="Normal 2 10 8" xfId="161"/>
    <cellStyle name="Normal 2 10 8 2" xfId="162"/>
    <cellStyle name="Normal 2 10 9" xfId="163"/>
    <cellStyle name="Normal 2 11" xfId="164"/>
    <cellStyle name="Normal 2 11 10" xfId="165"/>
    <cellStyle name="Normal 2 11 2" xfId="166"/>
    <cellStyle name="Normal 2 11 2 2" xfId="167"/>
    <cellStyle name="Normal 2 11 3" xfId="168"/>
    <cellStyle name="Normal 2 11 3 2" xfId="169"/>
    <cellStyle name="Normal 2 11 4" xfId="170"/>
    <cellStyle name="Normal 2 11 4 2" xfId="171"/>
    <cellStyle name="Normal 2 11 5" xfId="172"/>
    <cellStyle name="Normal 2 11 5 2" xfId="173"/>
    <cellStyle name="Normal 2 11 6" xfId="174"/>
    <cellStyle name="Normal 2 11 6 2" xfId="175"/>
    <cellStyle name="Normal 2 11 7" xfId="176"/>
    <cellStyle name="Normal 2 11 7 2" xfId="177"/>
    <cellStyle name="Normal 2 11 8" xfId="178"/>
    <cellStyle name="Normal 2 11 8 2" xfId="179"/>
    <cellStyle name="Normal 2 11 9" xfId="180"/>
    <cellStyle name="Normal 2 12" xfId="181"/>
    <cellStyle name="Normal 2 13" xfId="182"/>
    <cellStyle name="Normal 2 14" xfId="183"/>
    <cellStyle name="Normal 2 15" xfId="184"/>
    <cellStyle name="Normal 2 16" xfId="185"/>
    <cellStyle name="Normal 2 2" xfId="186"/>
    <cellStyle name="Normal 2 2 10" xfId="187"/>
    <cellStyle name="Normal 2 2 10 2" xfId="188"/>
    <cellStyle name="Normal 2 2 11" xfId="189"/>
    <cellStyle name="Normal 2 2 11 2" xfId="190"/>
    <cellStyle name="Normal 2 2 12" xfId="191"/>
    <cellStyle name="Normal 2 2 12 2" xfId="192"/>
    <cellStyle name="Normal 2 2 13" xfId="193"/>
    <cellStyle name="Normal 2 2 13 2" xfId="194"/>
    <cellStyle name="Normal 2 2 14" xfId="195"/>
    <cellStyle name="Normal 2 2 14 2" xfId="196"/>
    <cellStyle name="Normal 2 2 15" xfId="197"/>
    <cellStyle name="Normal 2 2 15 2" xfId="198"/>
    <cellStyle name="Normal 2 2 16" xfId="199"/>
    <cellStyle name="Normal 2 2 17" xfId="200"/>
    <cellStyle name="Normal 2 2 18" xfId="201"/>
    <cellStyle name="Normal 2 2 19" xfId="202"/>
    <cellStyle name="Normal 2 2 2" xfId="203"/>
    <cellStyle name="Normal 2 2 2 2" xfId="204"/>
    <cellStyle name="Normal 2 2 2 2 2" xfId="205"/>
    <cellStyle name="Normal 2 2 2 3" xfId="206"/>
    <cellStyle name="Normal 2 2 2 3 2" xfId="207"/>
    <cellStyle name="Normal 2 2 2 4" xfId="208"/>
    <cellStyle name="Normal 2 2 2 4 2" xfId="209"/>
    <cellStyle name="Normal 2 2 2 5" xfId="210"/>
    <cellStyle name="Normal 2 2 2 5 2" xfId="211"/>
    <cellStyle name="Normal 2 2 2 6" xfId="212"/>
    <cellStyle name="Normal 2 2 2 6 2" xfId="213"/>
    <cellStyle name="Normal 2 2 2 7" xfId="214"/>
    <cellStyle name="Normal 2 2 2 8" xfId="215"/>
    <cellStyle name="Normal 2 2 20" xfId="216"/>
    <cellStyle name="Normal 2 2 21" xfId="217"/>
    <cellStyle name="Normal 2 2 3" xfId="218"/>
    <cellStyle name="Normal 2 2 3 2" xfId="219"/>
    <cellStyle name="Normal 2 2 4" xfId="220"/>
    <cellStyle name="Normal 2 2 4 2" xfId="221"/>
    <cellStyle name="Normal 2 2 5" xfId="222"/>
    <cellStyle name="Normal 2 2 5 2" xfId="223"/>
    <cellStyle name="Normal 2 2 6" xfId="224"/>
    <cellStyle name="Normal 2 2 6 2" xfId="225"/>
    <cellStyle name="Normal 2 2 7" xfId="226"/>
    <cellStyle name="Normal 2 2 7 2" xfId="227"/>
    <cellStyle name="Normal 2 2 8" xfId="228"/>
    <cellStyle name="Normal 2 2 8 2" xfId="229"/>
    <cellStyle name="Normal 2 2 9" xfId="230"/>
    <cellStyle name="Normal 2 2 9 2" xfId="231"/>
    <cellStyle name="Normal 2 3" xfId="232"/>
    <cellStyle name="Normal 2 3 10" xfId="233"/>
    <cellStyle name="Normal 2 3 11" xfId="234"/>
    <cellStyle name="Normal 2 3 12" xfId="235"/>
    <cellStyle name="Normal 2 3 13" xfId="236"/>
    <cellStyle name="Normal 2 3 14" xfId="237"/>
    <cellStyle name="Normal 2 3 2" xfId="238"/>
    <cellStyle name="Normal 2 3 2 2" xfId="239"/>
    <cellStyle name="Normal 2 3 3" xfId="240"/>
    <cellStyle name="Normal 2 3 3 2" xfId="241"/>
    <cellStyle name="Normal 2 3 3 3" xfId="242"/>
    <cellStyle name="Normal 2 3 4" xfId="243"/>
    <cellStyle name="Normal 2 3 5" xfId="244"/>
    <cellStyle name="Normal 2 3 6" xfId="245"/>
    <cellStyle name="Normal 2 3 7" xfId="246"/>
    <cellStyle name="Normal 2 3 8" xfId="247"/>
    <cellStyle name="Normal 2 3 9" xfId="248"/>
    <cellStyle name="Normal 2 4" xfId="249"/>
    <cellStyle name="Normal 2 4 10" xfId="250"/>
    <cellStyle name="Normal 2 4 11" xfId="251"/>
    <cellStyle name="Normal 2 4 2" xfId="252"/>
    <cellStyle name="Normal 2 4 2 2" xfId="253"/>
    <cellStyle name="Normal 2 4 3" xfId="254"/>
    <cellStyle name="Normal 2 4 3 2" xfId="255"/>
    <cellStyle name="Normal 2 4 3 3" xfId="256"/>
    <cellStyle name="Normal 2 4 4" xfId="257"/>
    <cellStyle name="Normal 2 4 5" xfId="258"/>
    <cellStyle name="Normal 2 4 6" xfId="259"/>
    <cellStyle name="Normal 2 4 7" xfId="260"/>
    <cellStyle name="Normal 2 4 8" xfId="261"/>
    <cellStyle name="Normal 2 4 9" xfId="262"/>
    <cellStyle name="Normal 2 5" xfId="263"/>
    <cellStyle name="Normal 2 5 10" xfId="264"/>
    <cellStyle name="Normal 2 5 11" xfId="265"/>
    <cellStyle name="Normal 2 5 12" xfId="266"/>
    <cellStyle name="Normal 2 5 2" xfId="267"/>
    <cellStyle name="Normal 2 5 2 2" xfId="268"/>
    <cellStyle name="Normal 2 5 3" xfId="269"/>
    <cellStyle name="Normal 2 5 3 2" xfId="270"/>
    <cellStyle name="Normal 2 5 4" xfId="271"/>
    <cellStyle name="Normal 2 5 5" xfId="272"/>
    <cellStyle name="Normal 2 5 6" xfId="273"/>
    <cellStyle name="Normal 2 5 7" xfId="274"/>
    <cellStyle name="Normal 2 5 8" xfId="275"/>
    <cellStyle name="Normal 2 5 9" xfId="276"/>
    <cellStyle name="Normal 2 6" xfId="277"/>
    <cellStyle name="Normal 2 6 10" xfId="278"/>
    <cellStyle name="Normal 2 6 11" xfId="279"/>
    <cellStyle name="Normal 2 6 12" xfId="280"/>
    <cellStyle name="Normal 2 6 2" xfId="281"/>
    <cellStyle name="Normal 2 6 2 2" xfId="282"/>
    <cellStyle name="Normal 2 6 3" xfId="283"/>
    <cellStyle name="Normal 2 6 3 2" xfId="284"/>
    <cellStyle name="Normal 2 6 4" xfId="285"/>
    <cellStyle name="Normal 2 6 5" xfId="286"/>
    <cellStyle name="Normal 2 6 6" xfId="287"/>
    <cellStyle name="Normal 2 6 7" xfId="288"/>
    <cellStyle name="Normal 2 6 8" xfId="289"/>
    <cellStyle name="Normal 2 6 9" xfId="290"/>
    <cellStyle name="Normal 2 7" xfId="291"/>
    <cellStyle name="Normal 2 7 10" xfId="292"/>
    <cellStyle name="Normal 2 7 2" xfId="293"/>
    <cellStyle name="Normal 2 7 2 2" xfId="294"/>
    <cellStyle name="Normal 2 7 2 3" xfId="295"/>
    <cellStyle name="Normal 2 7 3" xfId="296"/>
    <cellStyle name="Normal 2 7 3 2" xfId="297"/>
    <cellStyle name="Normal 2 7 4" xfId="298"/>
    <cellStyle name="Normal 2 7 4 2" xfId="299"/>
    <cellStyle name="Normal 2 7 5" xfId="300"/>
    <cellStyle name="Normal 2 7 5 2" xfId="301"/>
    <cellStyle name="Normal 2 7 6" xfId="302"/>
    <cellStyle name="Normal 2 7 6 2" xfId="303"/>
    <cellStyle name="Normal 2 7 7" xfId="304"/>
    <cellStyle name="Normal 2 7 7 2" xfId="305"/>
    <cellStyle name="Normal 2 7 8" xfId="306"/>
    <cellStyle name="Normal 2 7 8 2" xfId="307"/>
    <cellStyle name="Normal 2 7 9" xfId="308"/>
    <cellStyle name="Normal 2 8" xfId="309"/>
    <cellStyle name="Normal 2 8 10" xfId="310"/>
    <cellStyle name="Normal 2 8 2" xfId="311"/>
    <cellStyle name="Normal 2 8 2 2" xfId="312"/>
    <cellStyle name="Normal 2 8 3" xfId="313"/>
    <cellStyle name="Normal 2 8 3 2" xfId="314"/>
    <cellStyle name="Normal 2 8 4" xfId="315"/>
    <cellStyle name="Normal 2 8 4 2" xfId="316"/>
    <cellStyle name="Normal 2 8 5" xfId="317"/>
    <cellStyle name="Normal 2 8 5 2" xfId="318"/>
    <cellStyle name="Normal 2 8 6" xfId="319"/>
    <cellStyle name="Normal 2 8 6 2" xfId="320"/>
    <cellStyle name="Normal 2 8 7" xfId="321"/>
    <cellStyle name="Normal 2 8 7 2" xfId="322"/>
    <cellStyle name="Normal 2 8 8" xfId="323"/>
    <cellStyle name="Normal 2 8 8 2" xfId="324"/>
    <cellStyle name="Normal 2 8 9" xfId="325"/>
    <cellStyle name="Normal 2 9" xfId="326"/>
    <cellStyle name="Normal 2 9 10" xfId="327"/>
    <cellStyle name="Normal 2 9 2" xfId="328"/>
    <cellStyle name="Normal 2 9 2 2" xfId="329"/>
    <cellStyle name="Normal 2 9 3" xfId="330"/>
    <cellStyle name="Normal 2 9 3 2" xfId="331"/>
    <cellStyle name="Normal 2 9 4" xfId="332"/>
    <cellStyle name="Normal 2 9 4 2" xfId="333"/>
    <cellStyle name="Normal 2 9 5" xfId="334"/>
    <cellStyle name="Normal 2 9 5 2" xfId="335"/>
    <cellStyle name="Normal 2 9 6" xfId="336"/>
    <cellStyle name="Normal 2 9 6 2" xfId="337"/>
    <cellStyle name="Normal 2 9 7" xfId="338"/>
    <cellStyle name="Normal 2 9 7 2" xfId="339"/>
    <cellStyle name="Normal 2 9 8" xfId="340"/>
    <cellStyle name="Normal 2 9 8 2" xfId="341"/>
    <cellStyle name="Normal 2 9 9" xfId="342"/>
    <cellStyle name="Normal 20" xfId="343"/>
    <cellStyle name="Normal 20 2" xfId="344"/>
    <cellStyle name="Normal 20 3" xfId="345"/>
    <cellStyle name="Normal 22" xfId="346"/>
    <cellStyle name="Normal 22 2" xfId="347"/>
    <cellStyle name="Normal 22 3" xfId="348"/>
    <cellStyle name="Normal 23" xfId="349"/>
    <cellStyle name="Normal 23 2" xfId="350"/>
    <cellStyle name="Normal 23 3" xfId="351"/>
    <cellStyle name="Normal 24" xfId="352"/>
    <cellStyle name="Normal 24 2" xfId="353"/>
    <cellStyle name="Normal 24 3" xfId="354"/>
    <cellStyle name="Normal 25" xfId="355"/>
    <cellStyle name="Normal 25 2" xfId="356"/>
    <cellStyle name="Normal 25 3" xfId="357"/>
    <cellStyle name="Normal 3" xfId="358"/>
    <cellStyle name="Normal 3 2" xfId="359"/>
    <cellStyle name="Normal 3 3" xfId="360"/>
    <cellStyle name="Normal 3 3 2" xfId="361"/>
    <cellStyle name="Normal 3 3 3" xfId="362"/>
    <cellStyle name="Normal 3 4" xfId="363"/>
    <cellStyle name="Normal 3 5" xfId="364"/>
    <cellStyle name="Normal 3 6" xfId="365"/>
    <cellStyle name="Normal 3 7" xfId="366"/>
    <cellStyle name="Normal 4" xfId="367"/>
    <cellStyle name="Normal 4 2" xfId="368"/>
    <cellStyle name="Normal 4 3" xfId="369"/>
    <cellStyle name="Normal 4 3 2" xfId="370"/>
    <cellStyle name="Normal 4 3 3" xfId="371"/>
    <cellStyle name="Normal 4 4" xfId="372"/>
    <cellStyle name="Normal 4 5" xfId="373"/>
    <cellStyle name="Normal 5" xfId="374"/>
    <cellStyle name="Normal 5 2" xfId="375"/>
    <cellStyle name="Normal 5 3" xfId="376"/>
    <cellStyle name="Normal 6" xfId="377"/>
    <cellStyle name="Normal 6 2" xfId="378"/>
    <cellStyle name="Normal 6 3" xfId="379"/>
    <cellStyle name="Normal 6 4" xfId="380"/>
    <cellStyle name="Normal 6 5" xfId="381"/>
    <cellStyle name="Normal 7" xfId="382"/>
    <cellStyle name="Normal 7 2" xfId="383"/>
    <cellStyle name="Normal 7 2 2" xfId="384"/>
    <cellStyle name="Normal 7 2 2 2" xfId="385"/>
    <cellStyle name="Normal 7 2 3" xfId="386"/>
    <cellStyle name="Normal 7 2 4" xfId="387"/>
    <cellStyle name="Normal 7 3" xfId="388"/>
    <cellStyle name="Normal 7 4" xfId="389"/>
    <cellStyle name="Normal 7 5" xfId="390"/>
    <cellStyle name="Normal 7 5 2" xfId="391"/>
    <cellStyle name="Normal 7 5 3" xfId="392"/>
    <cellStyle name="Normal 7 6" xfId="393"/>
    <cellStyle name="Normal 8" xfId="394"/>
    <cellStyle name="Normal 8 2" xfId="395"/>
    <cellStyle name="Normal 9" xfId="396"/>
    <cellStyle name="Normal 9 2" xfId="397"/>
    <cellStyle name="Normal 9 2 2" xfId="398"/>
    <cellStyle name="Normal 9 3" xfId="399"/>
    <cellStyle name="Normal 9 4" xfId="400"/>
    <cellStyle name="Normal 9 5" xfId="401"/>
    <cellStyle name="Normal_debt" xfId="402"/>
    <cellStyle name="Normal_lpform" xfId="403"/>
    <cellStyle name="Normal_Township 07" xfId="404"/>
    <cellStyle name="Note" xfId="405"/>
    <cellStyle name="Output" xfId="406"/>
    <cellStyle name="Percent" xfId="407"/>
    <cellStyle name="Title" xfId="408"/>
    <cellStyle name="Total" xfId="409"/>
    <cellStyle name="Warning Text" xfId="410"/>
  </cellStyles>
  <dxfs count="176">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ASERVER\SBS08-Edrive\Users\FolderRedirections\JRogers\My%20Documents\Excel%20Documents-JR\BUDGETS\BUDGETS%202013\County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ert2"/>
      <sheetName val="computation"/>
      <sheetName val="mvalloc"/>
      <sheetName val="transfers"/>
      <sheetName val="TransfersStatutes"/>
      <sheetName val="debt"/>
      <sheetName val="lpform"/>
      <sheetName val="general"/>
      <sheetName val="gen-detail"/>
      <sheetName val="DebtService"/>
      <sheetName val="road"/>
      <sheetName val="RoadDetail"/>
      <sheetName val="levy page10"/>
      <sheetName val="levy page11"/>
      <sheetName val="levy page12"/>
      <sheetName val="levy page13"/>
      <sheetName val="levy page14"/>
      <sheetName val="levy page15"/>
      <sheetName val="levy page16"/>
      <sheetName val="levy page17"/>
      <sheetName val="levy page18"/>
      <sheetName val="levy page19"/>
      <sheetName val="levy page20"/>
      <sheetName val="no levy page21"/>
      <sheetName val="no levy page22"/>
      <sheetName val="no levy page23"/>
      <sheetName val="no levy page24"/>
      <sheetName val="no levy page25"/>
      <sheetName val="no levy page26"/>
      <sheetName val="no levy page27"/>
      <sheetName val="no levy page28"/>
      <sheetName val="nonbudA"/>
      <sheetName val="nonbudB"/>
      <sheetName val="nonbudC"/>
      <sheetName val="nonbudD"/>
      <sheetName val="NonBudFunds"/>
      <sheetName val="summ"/>
      <sheetName val="summ2"/>
      <sheetName val="Nhood"/>
      <sheetName val="Resolution"/>
      <sheetName val="Tab A"/>
      <sheetName val="Tab B"/>
      <sheetName val="Tab C"/>
      <sheetName val="Tab D"/>
      <sheetName val="Tab E"/>
      <sheetName val="Mill Rate Computation"/>
      <sheetName val="Helpful Links"/>
      <sheetName val="legend"/>
    </sheetNames>
    <sheetDataSet>
      <sheetData sheetId="1">
        <row r="30">
          <cell r="H30">
            <v>0</v>
          </cell>
        </row>
      </sheetData>
      <sheetData sheetId="7">
        <row r="21">
          <cell r="E21" t="str">
            <v>  </v>
          </cell>
          <cell r="F21" t="str">
            <v>  </v>
          </cell>
          <cell r="G21" t="str">
            <v>  </v>
          </cell>
        </row>
      </sheetData>
      <sheetData sheetId="41">
        <row r="29">
          <cell r="E29" t="str">
            <v>  </v>
          </cell>
          <cell r="H29" t="str">
            <v>  </v>
          </cell>
        </row>
        <row r="30">
          <cell r="E30" t="str">
            <v>  </v>
          </cell>
          <cell r="H30" t="str">
            <v>  </v>
          </cell>
        </row>
        <row r="61">
          <cell r="E61">
            <v>0</v>
          </cell>
          <cell r="H61">
            <v>0</v>
          </cell>
        </row>
      </sheetData>
      <sheetData sheetId="43">
        <row r="20">
          <cell r="E2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delcpa@ruralte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9"/>
  <sheetViews>
    <sheetView zoomScale="75" zoomScaleNormal="75" zoomScalePageLayoutView="0" workbookViewId="0" topLeftCell="A1">
      <selection activeCell="A101" sqref="A101"/>
    </sheetView>
  </sheetViews>
  <sheetFormatPr defaultColWidth="8.796875" defaultRowHeight="15"/>
  <cols>
    <col min="1" max="1" width="88.796875" style="69" customWidth="1"/>
    <col min="2" max="16384" width="8.8984375" style="69" customWidth="1"/>
  </cols>
  <sheetData>
    <row r="1" ht="15.75">
      <c r="A1" s="68" t="s">
        <v>297</v>
      </c>
    </row>
    <row r="3" ht="34.5" customHeight="1">
      <c r="A3" s="70" t="s">
        <v>33</v>
      </c>
    </row>
    <row r="4" ht="15.75">
      <c r="A4" s="71"/>
    </row>
    <row r="5" ht="52.5" customHeight="1">
      <c r="A5" s="72" t="s">
        <v>298</v>
      </c>
    </row>
    <row r="6" ht="15.75">
      <c r="A6" s="72"/>
    </row>
    <row r="7" ht="31.5">
      <c r="A7" s="72" t="s">
        <v>92</v>
      </c>
    </row>
    <row r="8" ht="15.75">
      <c r="A8" s="72"/>
    </row>
    <row r="9" ht="54.75" customHeight="1">
      <c r="A9" s="72" t="s">
        <v>77</v>
      </c>
    </row>
    <row r="10" ht="15.75">
      <c r="A10" s="72"/>
    </row>
    <row r="11" ht="15.75">
      <c r="A11" s="72" t="s">
        <v>293</v>
      </c>
    </row>
    <row r="13" ht="118.5" customHeight="1">
      <c r="A13" s="72" t="s">
        <v>72</v>
      </c>
    </row>
    <row r="14" ht="15.75">
      <c r="A14" s="72"/>
    </row>
    <row r="15" ht="106.5" customHeight="1">
      <c r="A15" s="72" t="s">
        <v>73</v>
      </c>
    </row>
    <row r="17" ht="15.75">
      <c r="A17" s="68" t="s">
        <v>607</v>
      </c>
    </row>
    <row r="18" ht="15.75">
      <c r="A18" s="68"/>
    </row>
    <row r="19" ht="15.75">
      <c r="A19" s="71" t="s">
        <v>75</v>
      </c>
    </row>
    <row r="20" ht="15.75">
      <c r="A20" s="71"/>
    </row>
    <row r="21" ht="15.75">
      <c r="A21" s="69" t="s">
        <v>325</v>
      </c>
    </row>
    <row r="23" ht="72" customHeight="1">
      <c r="A23" s="73" t="s">
        <v>76</v>
      </c>
    </row>
    <row r="24" ht="13.5" customHeight="1">
      <c r="A24" s="73"/>
    </row>
    <row r="27" ht="15.75">
      <c r="A27" s="68" t="s">
        <v>119</v>
      </c>
    </row>
    <row r="29" ht="34.5" customHeight="1">
      <c r="A29" s="72" t="s">
        <v>71</v>
      </c>
    </row>
    <row r="30" ht="9.75" customHeight="1">
      <c r="A30" s="72"/>
    </row>
    <row r="31" ht="15.75">
      <c r="A31" s="74" t="s">
        <v>34</v>
      </c>
    </row>
    <row r="32" ht="15.75">
      <c r="A32" s="72"/>
    </row>
    <row r="33" ht="17.25" customHeight="1">
      <c r="A33" s="75" t="s">
        <v>265</v>
      </c>
    </row>
    <row r="34" ht="17.25" customHeight="1">
      <c r="A34" s="76"/>
    </row>
    <row r="35" ht="87.75" customHeight="1">
      <c r="A35" s="77" t="s">
        <v>60</v>
      </c>
    </row>
    <row r="37" ht="15.75">
      <c r="A37" s="78" t="s">
        <v>35</v>
      </c>
    </row>
    <row r="39" ht="15.75">
      <c r="A39" s="79" t="s">
        <v>74</v>
      </c>
    </row>
    <row r="41" ht="15.75">
      <c r="A41" s="72" t="s">
        <v>120</v>
      </c>
    </row>
    <row r="43" ht="15.75">
      <c r="A43" s="68" t="s">
        <v>121</v>
      </c>
    </row>
    <row r="45" ht="70.5" customHeight="1">
      <c r="A45" s="72" t="s">
        <v>766</v>
      </c>
    </row>
    <row r="46" ht="52.5" customHeight="1">
      <c r="A46" s="80" t="s">
        <v>50</v>
      </c>
    </row>
    <row r="47" ht="9" customHeight="1">
      <c r="A47" s="72"/>
    </row>
    <row r="48" ht="69.75" customHeight="1">
      <c r="A48" s="72" t="s">
        <v>767</v>
      </c>
    </row>
    <row r="49" ht="53.25" customHeight="1">
      <c r="A49" s="72" t="s">
        <v>51</v>
      </c>
    </row>
    <row r="50" ht="102.75" customHeight="1">
      <c r="A50" s="72" t="s">
        <v>112</v>
      </c>
    </row>
    <row r="51" ht="73.5" customHeight="1">
      <c r="A51" s="425" t="s">
        <v>608</v>
      </c>
    </row>
    <row r="52" ht="69.75" customHeight="1">
      <c r="A52" s="426" t="s">
        <v>609</v>
      </c>
    </row>
    <row r="53" ht="69.75" customHeight="1">
      <c r="A53" s="680" t="s">
        <v>818</v>
      </c>
    </row>
    <row r="54" ht="12" customHeight="1">
      <c r="A54" s="72"/>
    </row>
    <row r="55" ht="68.25" customHeight="1">
      <c r="A55" s="72" t="s">
        <v>610</v>
      </c>
    </row>
    <row r="56" ht="68.25" customHeight="1">
      <c r="A56" s="72" t="s">
        <v>611</v>
      </c>
    </row>
    <row r="57" ht="31.5">
      <c r="A57" s="72" t="s">
        <v>612</v>
      </c>
    </row>
    <row r="58" ht="31.5">
      <c r="A58" s="72" t="s">
        <v>613</v>
      </c>
    </row>
    <row r="59" ht="12" customHeight="1"/>
    <row r="60" ht="68.25" customHeight="1">
      <c r="A60" s="72" t="s">
        <v>614</v>
      </c>
    </row>
    <row r="61" ht="128.25" customHeight="1">
      <c r="A61" s="72" t="s">
        <v>615</v>
      </c>
    </row>
    <row r="62" ht="35.25" customHeight="1">
      <c r="A62" s="72" t="s">
        <v>616</v>
      </c>
    </row>
    <row r="63" ht="10.5" customHeight="1">
      <c r="A63" s="72"/>
    </row>
    <row r="64" ht="68.25" customHeight="1">
      <c r="A64" s="72" t="s">
        <v>819</v>
      </c>
    </row>
    <row r="65" ht="10.5" customHeight="1">
      <c r="A65" s="72"/>
    </row>
    <row r="66" ht="72.75" customHeight="1">
      <c r="A66" s="72" t="s">
        <v>617</v>
      </c>
    </row>
    <row r="67" ht="31.5" customHeight="1">
      <c r="A67" s="72" t="s">
        <v>631</v>
      </c>
    </row>
    <row r="68" ht="82.5" customHeight="1">
      <c r="A68" s="72" t="s">
        <v>632</v>
      </c>
    </row>
    <row r="69" ht="37.5" customHeight="1">
      <c r="A69" s="400" t="s">
        <v>630</v>
      </c>
    </row>
    <row r="70" ht="12" customHeight="1">
      <c r="A70" s="72"/>
    </row>
    <row r="71" ht="54" customHeight="1">
      <c r="A71" s="72" t="s">
        <v>618</v>
      </c>
    </row>
    <row r="72" ht="12" customHeight="1"/>
    <row r="73" s="72" customFormat="1" ht="69" customHeight="1">
      <c r="A73" s="72" t="s">
        <v>619</v>
      </c>
    </row>
    <row r="74" ht="12" customHeight="1"/>
    <row r="75" ht="87" customHeight="1">
      <c r="A75" s="72" t="s">
        <v>620</v>
      </c>
    </row>
    <row r="76" ht="87" customHeight="1">
      <c r="A76" s="518" t="s">
        <v>820</v>
      </c>
    </row>
    <row r="77" ht="87" customHeight="1">
      <c r="A77" s="518" t="s">
        <v>821</v>
      </c>
    </row>
    <row r="78" ht="87" customHeight="1">
      <c r="A78" s="518" t="s">
        <v>822</v>
      </c>
    </row>
    <row r="79" ht="72" customHeight="1">
      <c r="A79" s="72" t="s">
        <v>823</v>
      </c>
    </row>
    <row r="80" ht="116.25" customHeight="1">
      <c r="A80" s="72" t="s">
        <v>824</v>
      </c>
    </row>
    <row r="81" ht="132.75" customHeight="1">
      <c r="A81" s="72" t="s">
        <v>825</v>
      </c>
    </row>
    <row r="82" ht="84" customHeight="1">
      <c r="A82" s="518" t="s">
        <v>826</v>
      </c>
    </row>
    <row r="83" ht="124.5" customHeight="1">
      <c r="A83" s="72" t="s">
        <v>827</v>
      </c>
    </row>
    <row r="84" ht="38.25" customHeight="1">
      <c r="A84" s="72" t="s">
        <v>828</v>
      </c>
    </row>
    <row r="85" ht="85.5" customHeight="1">
      <c r="A85" s="72" t="s">
        <v>829</v>
      </c>
    </row>
    <row r="86" ht="40.5" customHeight="1">
      <c r="A86" s="72" t="s">
        <v>830</v>
      </c>
    </row>
    <row r="87" ht="140.25" customHeight="1">
      <c r="A87" s="397" t="s">
        <v>831</v>
      </c>
    </row>
    <row r="88" ht="119.25" customHeight="1">
      <c r="A88" s="398" t="s">
        <v>832</v>
      </c>
    </row>
    <row r="89" ht="59.25" customHeight="1">
      <c r="A89" s="399" t="s">
        <v>833</v>
      </c>
    </row>
    <row r="91" ht="154.5" customHeight="1">
      <c r="A91" s="72" t="s">
        <v>621</v>
      </c>
    </row>
    <row r="92" ht="132" customHeight="1">
      <c r="A92" s="72" t="s">
        <v>622</v>
      </c>
    </row>
    <row r="93" ht="54" customHeight="1">
      <c r="A93" s="72" t="s">
        <v>623</v>
      </c>
    </row>
    <row r="94" ht="21.75" customHeight="1">
      <c r="A94" s="72" t="s">
        <v>624</v>
      </c>
    </row>
    <row r="96" ht="52.5" customHeight="1">
      <c r="A96" s="72" t="s">
        <v>625</v>
      </c>
    </row>
    <row r="97" ht="22.5" customHeight="1">
      <c r="A97" s="686" t="s">
        <v>863</v>
      </c>
    </row>
    <row r="98" ht="31.5" customHeight="1">
      <c r="A98" s="518" t="s">
        <v>864</v>
      </c>
    </row>
    <row r="99" ht="109.5" customHeight="1">
      <c r="A99" s="518" t="s">
        <v>865</v>
      </c>
    </row>
    <row r="100" ht="126" customHeight="1">
      <c r="A100" s="518" t="s">
        <v>866</v>
      </c>
    </row>
    <row r="101" ht="71.25" customHeight="1">
      <c r="A101" s="687" t="s">
        <v>867</v>
      </c>
    </row>
    <row r="102" ht="57.75" customHeight="1">
      <c r="A102" s="72" t="s">
        <v>868</v>
      </c>
    </row>
    <row r="103" ht="57.75" customHeight="1">
      <c r="A103" s="72" t="s">
        <v>869</v>
      </c>
    </row>
    <row r="104" ht="10.5" customHeight="1"/>
    <row r="105" ht="57" customHeight="1">
      <c r="A105" s="72" t="s">
        <v>626</v>
      </c>
    </row>
    <row r="106" ht="15.75" customHeight="1"/>
    <row r="107" ht="54" customHeight="1">
      <c r="A107" s="518" t="s">
        <v>768</v>
      </c>
    </row>
    <row r="108" ht="93" customHeight="1">
      <c r="A108" s="518" t="s">
        <v>769</v>
      </c>
    </row>
    <row r="109" ht="104.25" customHeight="1">
      <c r="A109" s="518" t="s">
        <v>770</v>
      </c>
    </row>
  </sheetData>
  <sheetProtection sheet="1"/>
  <printOptions/>
  <pageMargins left="0.5" right="0.5" top="0.5" bottom="0.5" header="0.5" footer="0.5"/>
  <pageSetup blackAndWhite="1" fitToHeight="2" horizontalDpi="300" verticalDpi="300" orientation="portrait" scale="90" r:id="rId1"/>
  <rowBreaks count="1" manualBreakCount="1">
    <brk id="26" max="0" man="1"/>
  </rowBreaks>
</worksheet>
</file>

<file path=xl/worksheets/sheet10.xml><?xml version="1.0" encoding="utf-8"?>
<worksheet xmlns="http://schemas.openxmlformats.org/spreadsheetml/2006/main" xmlns:r="http://schemas.openxmlformats.org/officeDocument/2006/relationships">
  <dimension ref="A1:G48"/>
  <sheetViews>
    <sheetView zoomScalePageLayoutView="0" workbookViewId="0" topLeftCell="A28">
      <selection activeCell="F29" sqref="F29"/>
    </sheetView>
  </sheetViews>
  <sheetFormatPr defaultColWidth="8.796875" defaultRowHeight="15"/>
  <cols>
    <col min="1" max="1" width="70.3984375" style="161" customWidth="1"/>
    <col min="2" max="16384" width="8.8984375" style="161" customWidth="1"/>
  </cols>
  <sheetData>
    <row r="1" spans="1:7" ht="30" customHeight="1">
      <c r="A1" s="462" t="s">
        <v>328</v>
      </c>
      <c r="B1" s="461"/>
      <c r="C1" s="461"/>
      <c r="D1" s="461"/>
      <c r="E1" s="461"/>
      <c r="F1" s="461"/>
      <c r="G1" s="461"/>
    </row>
    <row r="2" ht="15.75" customHeight="1">
      <c r="A2" s="2"/>
    </row>
    <row r="3" ht="54" customHeight="1">
      <c r="A3" s="460" t="s">
        <v>650</v>
      </c>
    </row>
    <row r="4" ht="15.75" customHeight="1">
      <c r="A4" s="2"/>
    </row>
    <row r="5" ht="52.5" customHeight="1">
      <c r="A5" s="460" t="s">
        <v>651</v>
      </c>
    </row>
    <row r="6" ht="15.75" customHeight="1">
      <c r="A6" s="2"/>
    </row>
    <row r="7" s="458" customFormat="1" ht="45.75" customHeight="1">
      <c r="A7" s="459" t="s">
        <v>368</v>
      </c>
    </row>
    <row r="8" ht="15.75" customHeight="1">
      <c r="A8" s="2"/>
    </row>
    <row r="9" ht="46.5" customHeight="1">
      <c r="A9" s="459" t="s">
        <v>369</v>
      </c>
    </row>
    <row r="10" ht="15.75" customHeight="1"/>
    <row r="11" ht="45.75" customHeight="1">
      <c r="A11" s="459" t="s">
        <v>370</v>
      </c>
    </row>
    <row r="12" ht="15.75" customHeight="1">
      <c r="A12" s="2"/>
    </row>
    <row r="13" ht="62.25" customHeight="1">
      <c r="A13" s="459" t="s">
        <v>371</v>
      </c>
    </row>
    <row r="14" ht="15.75" customHeight="1">
      <c r="A14" s="2"/>
    </row>
    <row r="15" ht="32.25" customHeight="1">
      <c r="A15" s="459" t="s">
        <v>372</v>
      </c>
    </row>
    <row r="16" ht="15.75" customHeight="1"/>
    <row r="17" ht="67.5" customHeight="1">
      <c r="A17" s="457" t="s">
        <v>652</v>
      </c>
    </row>
    <row r="18" ht="15.75" customHeight="1"/>
    <row r="19" ht="81" customHeight="1">
      <c r="A19" s="457" t="s">
        <v>373</v>
      </c>
    </row>
    <row r="20" ht="15.75" customHeight="1">
      <c r="A20" s="2"/>
    </row>
    <row r="21" ht="78" customHeight="1">
      <c r="A21" s="459" t="s">
        <v>374</v>
      </c>
    </row>
    <row r="22" ht="15.75" customHeight="1">
      <c r="A22" s="2"/>
    </row>
    <row r="23" ht="44.25" customHeight="1">
      <c r="A23" s="459" t="s">
        <v>375</v>
      </c>
    </row>
    <row r="24" ht="15.75" customHeight="1"/>
    <row r="25" ht="53.25" customHeight="1">
      <c r="A25" s="457" t="s">
        <v>376</v>
      </c>
    </row>
    <row r="26" ht="16.5" customHeight="1">
      <c r="A26" s="2"/>
    </row>
    <row r="27" ht="40.5" customHeight="1">
      <c r="A27" s="460" t="s">
        <v>653</v>
      </c>
    </row>
    <row r="28" ht="16.5" customHeight="1">
      <c r="A28" s="2"/>
    </row>
    <row r="29" ht="69.75" customHeight="1">
      <c r="A29" s="459" t="s">
        <v>377</v>
      </c>
    </row>
    <row r="30" ht="15.75" customHeight="1">
      <c r="A30" s="2"/>
    </row>
    <row r="31" ht="79.5" customHeight="1">
      <c r="A31" s="459" t="s">
        <v>782</v>
      </c>
    </row>
    <row r="32" ht="15.75" customHeight="1">
      <c r="A32" s="2"/>
    </row>
    <row r="33" ht="58.5" customHeight="1">
      <c r="A33" s="459" t="s">
        <v>378</v>
      </c>
    </row>
    <row r="35" ht="60.75" customHeight="1">
      <c r="A35" s="459" t="s">
        <v>379</v>
      </c>
    </row>
    <row r="36" ht="15.75">
      <c r="A36" s="2"/>
    </row>
    <row r="37" ht="82.5" customHeight="1">
      <c r="A37" s="459" t="s">
        <v>380</v>
      </c>
    </row>
    <row r="38" ht="15.75">
      <c r="A38" s="456"/>
    </row>
    <row r="39" ht="15.75">
      <c r="A39" s="456"/>
    </row>
    <row r="41" ht="15.75">
      <c r="A41" s="456"/>
    </row>
    <row r="42" ht="15.75">
      <c r="A42" s="456"/>
    </row>
    <row r="44" ht="15.75">
      <c r="A44" s="2"/>
    </row>
    <row r="45" ht="15.75">
      <c r="A45" s="456"/>
    </row>
    <row r="47" ht="15.75">
      <c r="A47" s="456"/>
    </row>
    <row r="48" ht="15.75">
      <c r="A48" s="456"/>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AC42"/>
  <sheetViews>
    <sheetView zoomScale="75" zoomScaleNormal="75" zoomScalePageLayoutView="0" workbookViewId="0" topLeftCell="A1">
      <selection activeCell="A29" sqref="A29:H37"/>
    </sheetView>
  </sheetViews>
  <sheetFormatPr defaultColWidth="8.796875" defaultRowHeight="15"/>
  <cols>
    <col min="1" max="1" width="5.3984375" style="140" customWidth="1"/>
    <col min="2" max="2" width="20.796875" style="140" customWidth="1"/>
    <col min="3" max="3" width="9.3984375" style="140" customWidth="1"/>
    <col min="4" max="4" width="9.796875" style="140" customWidth="1"/>
    <col min="5" max="5" width="8.796875" style="140" customWidth="1"/>
    <col min="6" max="6" width="12.796875" style="140" customWidth="1"/>
    <col min="7" max="7" width="14" style="140" customWidth="1"/>
    <col min="8" max="13" width="9.796875" style="140" customWidth="1"/>
    <col min="14" max="16384" width="8.8984375" style="140" customWidth="1"/>
  </cols>
  <sheetData>
    <row r="1" spans="2:13" ht="15.75">
      <c r="B1" s="224" t="str">
        <f>inputPrYr!$C$2</f>
        <v>Sheridan County</v>
      </c>
      <c r="C1" s="82"/>
      <c r="D1" s="82"/>
      <c r="E1" s="82"/>
      <c r="F1" s="82"/>
      <c r="G1" s="82"/>
      <c r="H1" s="82"/>
      <c r="I1" s="82"/>
      <c r="J1" s="82"/>
      <c r="K1" s="82"/>
      <c r="L1" s="82"/>
      <c r="M1" s="251">
        <f>inputPrYr!$C$4</f>
        <v>2013</v>
      </c>
    </row>
    <row r="2" spans="2:13" ht="15.75">
      <c r="B2" s="224"/>
      <c r="C2" s="82"/>
      <c r="D2" s="82"/>
      <c r="E2" s="82"/>
      <c r="F2" s="82"/>
      <c r="G2" s="82"/>
      <c r="H2" s="82"/>
      <c r="I2" s="82"/>
      <c r="J2" s="82"/>
      <c r="K2" s="82"/>
      <c r="L2" s="82"/>
      <c r="M2" s="236"/>
    </row>
    <row r="3" spans="2:13" ht="15.75">
      <c r="B3" s="252" t="s">
        <v>224</v>
      </c>
      <c r="C3" s="90"/>
      <c r="D3" s="90"/>
      <c r="E3" s="90"/>
      <c r="F3" s="90"/>
      <c r="G3" s="90"/>
      <c r="H3" s="90"/>
      <c r="I3" s="90"/>
      <c r="J3" s="90"/>
      <c r="K3" s="90"/>
      <c r="L3" s="90"/>
      <c r="M3" s="90"/>
    </row>
    <row r="4" spans="2:13" ht="15.75">
      <c r="B4" s="82"/>
      <c r="C4" s="253"/>
      <c r="D4" s="253"/>
      <c r="E4" s="253"/>
      <c r="F4" s="253"/>
      <c r="G4" s="253"/>
      <c r="H4" s="253"/>
      <c r="I4" s="253"/>
      <c r="J4" s="253"/>
      <c r="K4" s="253"/>
      <c r="L4" s="253"/>
      <c r="M4" s="253"/>
    </row>
    <row r="5" spans="2:13" ht="15.75">
      <c r="B5" s="254" t="s">
        <v>783</v>
      </c>
      <c r="C5" s="254" t="s">
        <v>194</v>
      </c>
      <c r="D5" s="254" t="s">
        <v>194</v>
      </c>
      <c r="E5" s="254" t="s">
        <v>208</v>
      </c>
      <c r="F5" s="254"/>
      <c r="G5" s="254" t="s">
        <v>318</v>
      </c>
      <c r="H5" s="82"/>
      <c r="I5" s="82"/>
      <c r="J5" s="255" t="s">
        <v>195</v>
      </c>
      <c r="K5" s="256"/>
      <c r="L5" s="255" t="s">
        <v>195</v>
      </c>
      <c r="M5" s="256"/>
    </row>
    <row r="6" spans="2:13" ht="15.75">
      <c r="B6" s="257" t="s">
        <v>196</v>
      </c>
      <c r="C6" s="257" t="s">
        <v>196</v>
      </c>
      <c r="D6" s="257" t="s">
        <v>319</v>
      </c>
      <c r="E6" s="257" t="s">
        <v>197</v>
      </c>
      <c r="F6" s="257" t="s">
        <v>144</v>
      </c>
      <c r="G6" s="257" t="s">
        <v>268</v>
      </c>
      <c r="H6" s="756" t="s">
        <v>198</v>
      </c>
      <c r="I6" s="757"/>
      <c r="J6" s="758">
        <f>M1-1</f>
        <v>2012</v>
      </c>
      <c r="K6" s="759"/>
      <c r="L6" s="758">
        <f>M1</f>
        <v>2013</v>
      </c>
      <c r="M6" s="759"/>
    </row>
    <row r="7" spans="2:13" ht="15.75">
      <c r="B7" s="260" t="s">
        <v>784</v>
      </c>
      <c r="C7" s="260" t="s">
        <v>199</v>
      </c>
      <c r="D7" s="260" t="s">
        <v>320</v>
      </c>
      <c r="E7" s="260" t="s">
        <v>160</v>
      </c>
      <c r="F7" s="260" t="s">
        <v>200</v>
      </c>
      <c r="G7" s="258" t="str">
        <f>CONCATENATE("Jan 1,",M1-1,"")</f>
        <v>Jan 1,2012</v>
      </c>
      <c r="H7" s="249" t="s">
        <v>208</v>
      </c>
      <c r="I7" s="249" t="s">
        <v>209</v>
      </c>
      <c r="J7" s="249" t="s">
        <v>208</v>
      </c>
      <c r="K7" s="249" t="s">
        <v>209</v>
      </c>
      <c r="L7" s="249" t="s">
        <v>208</v>
      </c>
      <c r="M7" s="249" t="s">
        <v>209</v>
      </c>
    </row>
    <row r="8" spans="2:13" ht="15.75">
      <c r="B8" s="259" t="s">
        <v>201</v>
      </c>
      <c r="C8" s="105"/>
      <c r="D8" s="105"/>
      <c r="E8" s="261"/>
      <c r="F8" s="262"/>
      <c r="G8" s="262"/>
      <c r="H8" s="105"/>
      <c r="I8" s="105"/>
      <c r="J8" s="262"/>
      <c r="K8" s="262"/>
      <c r="L8" s="262"/>
      <c r="M8" s="262"/>
    </row>
    <row r="9" spans="2:13" ht="15.75">
      <c r="B9" s="263" t="s">
        <v>1048</v>
      </c>
      <c r="C9" s="433"/>
      <c r="D9" s="433"/>
      <c r="E9" s="264"/>
      <c r="F9" s="265"/>
      <c r="G9" s="266"/>
      <c r="H9" s="267"/>
      <c r="I9" s="267"/>
      <c r="J9" s="266"/>
      <c r="K9" s="266"/>
      <c r="L9" s="266"/>
      <c r="M9" s="266"/>
    </row>
    <row r="10" spans="2:13" ht="15.75">
      <c r="B10" s="263"/>
      <c r="C10" s="433"/>
      <c r="D10" s="433"/>
      <c r="E10" s="264"/>
      <c r="F10" s="265"/>
      <c r="G10" s="266"/>
      <c r="H10" s="267"/>
      <c r="I10" s="267"/>
      <c r="J10" s="266"/>
      <c r="K10" s="266"/>
      <c r="L10" s="266"/>
      <c r="M10" s="266"/>
    </row>
    <row r="11" spans="2:13" ht="15.75">
      <c r="B11" s="263"/>
      <c r="C11" s="433"/>
      <c r="D11" s="433"/>
      <c r="E11" s="264"/>
      <c r="F11" s="265"/>
      <c r="G11" s="266"/>
      <c r="H11" s="267"/>
      <c r="I11" s="267"/>
      <c r="J11" s="266"/>
      <c r="K11" s="266"/>
      <c r="L11" s="266"/>
      <c r="M11" s="266"/>
    </row>
    <row r="12" spans="2:13" ht="15.75">
      <c r="B12" s="263"/>
      <c r="C12" s="433"/>
      <c r="D12" s="433"/>
      <c r="E12" s="264"/>
      <c r="F12" s="265"/>
      <c r="G12" s="266"/>
      <c r="H12" s="267"/>
      <c r="I12" s="267"/>
      <c r="J12" s="266"/>
      <c r="K12" s="266"/>
      <c r="L12" s="266"/>
      <c r="M12" s="266"/>
    </row>
    <row r="13" spans="2:13" ht="15.75">
      <c r="B13" s="263"/>
      <c r="C13" s="433"/>
      <c r="D13" s="433"/>
      <c r="E13" s="264"/>
      <c r="F13" s="265"/>
      <c r="G13" s="266"/>
      <c r="H13" s="267"/>
      <c r="I13" s="267"/>
      <c r="J13" s="266"/>
      <c r="K13" s="266"/>
      <c r="L13" s="266"/>
      <c r="M13" s="266"/>
    </row>
    <row r="14" spans="2:13" ht="15.75">
      <c r="B14" s="263"/>
      <c r="C14" s="433"/>
      <c r="D14" s="433"/>
      <c r="E14" s="264"/>
      <c r="F14" s="265"/>
      <c r="G14" s="266"/>
      <c r="H14" s="267"/>
      <c r="I14" s="267"/>
      <c r="J14" s="266"/>
      <c r="K14" s="266"/>
      <c r="L14" s="266"/>
      <c r="M14" s="266"/>
    </row>
    <row r="15" spans="2:13" ht="15.75">
      <c r="B15" s="263"/>
      <c r="C15" s="433"/>
      <c r="D15" s="433"/>
      <c r="E15" s="264"/>
      <c r="F15" s="265"/>
      <c r="G15" s="266"/>
      <c r="H15" s="267"/>
      <c r="I15" s="267"/>
      <c r="J15" s="266"/>
      <c r="K15" s="266"/>
      <c r="L15" s="266"/>
      <c r="M15" s="266"/>
    </row>
    <row r="16" spans="2:13" ht="15.75">
      <c r="B16" s="263"/>
      <c r="C16" s="433"/>
      <c r="D16" s="433"/>
      <c r="E16" s="264"/>
      <c r="F16" s="265"/>
      <c r="G16" s="266"/>
      <c r="H16" s="267"/>
      <c r="I16" s="267"/>
      <c r="J16" s="266"/>
      <c r="K16" s="266"/>
      <c r="L16" s="266"/>
      <c r="M16" s="266"/>
    </row>
    <row r="17" spans="2:13" ht="15.75">
      <c r="B17" s="263"/>
      <c r="C17" s="433"/>
      <c r="D17" s="433"/>
      <c r="E17" s="264"/>
      <c r="F17" s="265"/>
      <c r="G17" s="266"/>
      <c r="H17" s="267"/>
      <c r="I17" s="267"/>
      <c r="J17" s="266"/>
      <c r="K17" s="266"/>
      <c r="L17" s="266"/>
      <c r="M17" s="266"/>
    </row>
    <row r="18" spans="2:13" ht="15.75">
      <c r="B18" s="263"/>
      <c r="C18" s="433"/>
      <c r="D18" s="433"/>
      <c r="E18" s="264"/>
      <c r="F18" s="265"/>
      <c r="G18" s="266"/>
      <c r="H18" s="267"/>
      <c r="I18" s="267"/>
      <c r="J18" s="266"/>
      <c r="K18" s="266"/>
      <c r="L18" s="266"/>
      <c r="M18" s="266"/>
    </row>
    <row r="19" spans="2:13" ht="15.75">
      <c r="B19" s="268" t="s">
        <v>202</v>
      </c>
      <c r="C19" s="269"/>
      <c r="D19" s="269"/>
      <c r="E19" s="270"/>
      <c r="F19" s="271"/>
      <c r="G19" s="272">
        <f>SUM(G9:G18)</f>
        <v>0</v>
      </c>
      <c r="H19" s="273"/>
      <c r="I19" s="273"/>
      <c r="J19" s="272">
        <f>SUM(J9:J18)</f>
        <v>0</v>
      </c>
      <c r="K19" s="272">
        <f>SUM(K9:K18)</f>
        <v>0</v>
      </c>
      <c r="L19" s="272">
        <f>SUM(L9:L18)</f>
        <v>0</v>
      </c>
      <c r="M19" s="272">
        <f>SUM(M9:M18)</f>
        <v>0</v>
      </c>
    </row>
    <row r="20" spans="2:13" ht="15.75">
      <c r="B20" s="249" t="s">
        <v>203</v>
      </c>
      <c r="C20" s="274"/>
      <c r="D20" s="274"/>
      <c r="E20" s="275"/>
      <c r="F20" s="276"/>
      <c r="G20" s="276"/>
      <c r="H20" s="277"/>
      <c r="I20" s="277"/>
      <c r="J20" s="276"/>
      <c r="K20" s="276"/>
      <c r="L20" s="276"/>
      <c r="M20" s="276"/>
    </row>
    <row r="21" spans="2:13" ht="15.75">
      <c r="B21" s="263" t="s">
        <v>1048</v>
      </c>
      <c r="C21" s="433"/>
      <c r="D21" s="433"/>
      <c r="E21" s="264"/>
      <c r="F21" s="265"/>
      <c r="G21" s="266"/>
      <c r="H21" s="267"/>
      <c r="I21" s="267"/>
      <c r="J21" s="266"/>
      <c r="K21" s="266"/>
      <c r="L21" s="266"/>
      <c r="M21" s="266"/>
    </row>
    <row r="22" spans="2:13" ht="15.75">
      <c r="B22" s="263"/>
      <c r="C22" s="433"/>
      <c r="D22" s="433"/>
      <c r="E22" s="264"/>
      <c r="F22" s="265"/>
      <c r="G22" s="266"/>
      <c r="H22" s="267"/>
      <c r="I22" s="267"/>
      <c r="J22" s="266"/>
      <c r="K22" s="266"/>
      <c r="L22" s="266"/>
      <c r="M22" s="266"/>
    </row>
    <row r="23" spans="2:13" ht="15.75">
      <c r="B23" s="263"/>
      <c r="C23" s="433"/>
      <c r="D23" s="433"/>
      <c r="E23" s="264"/>
      <c r="F23" s="265"/>
      <c r="G23" s="266"/>
      <c r="H23" s="267"/>
      <c r="I23" s="267"/>
      <c r="J23" s="266"/>
      <c r="K23" s="266"/>
      <c r="L23" s="266"/>
      <c r="M23" s="266"/>
    </row>
    <row r="24" spans="2:13" ht="15.75">
      <c r="B24" s="263"/>
      <c r="C24" s="433"/>
      <c r="D24" s="433"/>
      <c r="E24" s="264"/>
      <c r="F24" s="265"/>
      <c r="G24" s="266"/>
      <c r="H24" s="267"/>
      <c r="I24" s="267"/>
      <c r="J24" s="266"/>
      <c r="K24" s="266"/>
      <c r="L24" s="266"/>
      <c r="M24" s="266"/>
    </row>
    <row r="25" spans="2:13" ht="15.75">
      <c r="B25" s="263"/>
      <c r="C25" s="433"/>
      <c r="D25" s="433"/>
      <c r="E25" s="264"/>
      <c r="F25" s="265"/>
      <c r="G25" s="266"/>
      <c r="H25" s="267"/>
      <c r="I25" s="267"/>
      <c r="J25" s="266"/>
      <c r="K25" s="266"/>
      <c r="L25" s="266"/>
      <c r="M25" s="266"/>
    </row>
    <row r="26" spans="2:13" ht="15.75">
      <c r="B26" s="263"/>
      <c r="C26" s="433"/>
      <c r="D26" s="433"/>
      <c r="E26" s="264"/>
      <c r="F26" s="265"/>
      <c r="G26" s="266"/>
      <c r="H26" s="267"/>
      <c r="I26" s="267"/>
      <c r="J26" s="266"/>
      <c r="K26" s="266"/>
      <c r="L26" s="266"/>
      <c r="M26" s="266"/>
    </row>
    <row r="27" spans="2:13" ht="15.75">
      <c r="B27" s="268" t="s">
        <v>204</v>
      </c>
      <c r="C27" s="269"/>
      <c r="D27" s="269"/>
      <c r="E27" s="278"/>
      <c r="F27" s="271"/>
      <c r="G27" s="279">
        <f>SUM(G21:G26)</f>
        <v>0</v>
      </c>
      <c r="H27" s="273"/>
      <c r="I27" s="273"/>
      <c r="J27" s="279">
        <f>SUM(J21:J26)</f>
        <v>0</v>
      </c>
      <c r="K27" s="279">
        <f>SUM(K21:K26)</f>
        <v>0</v>
      </c>
      <c r="L27" s="272">
        <f>SUM(L21:L26)</f>
        <v>0</v>
      </c>
      <c r="M27" s="279">
        <f>SUM(M21:M26)</f>
        <v>0</v>
      </c>
    </row>
    <row r="28" spans="2:13" ht="15.75">
      <c r="B28" s="249" t="s">
        <v>205</v>
      </c>
      <c r="C28" s="274"/>
      <c r="D28" s="274"/>
      <c r="E28" s="275"/>
      <c r="F28" s="276"/>
      <c r="G28" s="280"/>
      <c r="H28" s="277"/>
      <c r="I28" s="277"/>
      <c r="J28" s="276"/>
      <c r="K28" s="276"/>
      <c r="L28" s="276"/>
      <c r="M28" s="276"/>
    </row>
    <row r="29" spans="2:13" ht="15.75">
      <c r="B29" s="263" t="s">
        <v>1048</v>
      </c>
      <c r="C29" s="433"/>
      <c r="D29" s="433"/>
      <c r="E29" s="264"/>
      <c r="F29" s="265"/>
      <c r="G29" s="266"/>
      <c r="H29" s="267"/>
      <c r="I29" s="267"/>
      <c r="J29" s="266"/>
      <c r="K29" s="266"/>
      <c r="L29" s="266"/>
      <c r="M29" s="266"/>
    </row>
    <row r="30" spans="2:13" ht="15.75">
      <c r="B30" s="263"/>
      <c r="C30" s="433"/>
      <c r="D30" s="433"/>
      <c r="E30" s="264"/>
      <c r="F30" s="265"/>
      <c r="G30" s="266"/>
      <c r="H30" s="267"/>
      <c r="I30" s="267"/>
      <c r="J30" s="266"/>
      <c r="K30" s="266"/>
      <c r="L30" s="266"/>
      <c r="M30" s="266"/>
    </row>
    <row r="31" spans="2:13" ht="15.75">
      <c r="B31" s="263"/>
      <c r="C31" s="433"/>
      <c r="D31" s="433"/>
      <c r="E31" s="264"/>
      <c r="F31" s="265"/>
      <c r="G31" s="266"/>
      <c r="H31" s="267"/>
      <c r="I31" s="267"/>
      <c r="J31" s="266"/>
      <c r="K31" s="266"/>
      <c r="L31" s="266"/>
      <c r="M31" s="266"/>
    </row>
    <row r="32" spans="2:13" ht="15.75">
      <c r="B32" s="263"/>
      <c r="C32" s="433"/>
      <c r="D32" s="433"/>
      <c r="E32" s="264"/>
      <c r="F32" s="265"/>
      <c r="G32" s="266"/>
      <c r="H32" s="267"/>
      <c r="I32" s="267"/>
      <c r="J32" s="266"/>
      <c r="K32" s="266"/>
      <c r="L32" s="266"/>
      <c r="M32" s="266"/>
    </row>
    <row r="33" spans="2:13" ht="15.75">
      <c r="B33" s="263"/>
      <c r="C33" s="433"/>
      <c r="D33" s="433"/>
      <c r="E33" s="264"/>
      <c r="F33" s="265"/>
      <c r="G33" s="266"/>
      <c r="H33" s="267"/>
      <c r="I33" s="267"/>
      <c r="J33" s="266"/>
      <c r="K33" s="266"/>
      <c r="L33" s="266"/>
      <c r="M33" s="266"/>
    </row>
    <row r="34" spans="2:13" ht="15.75">
      <c r="B34" s="263"/>
      <c r="C34" s="433"/>
      <c r="D34" s="433"/>
      <c r="E34" s="264"/>
      <c r="F34" s="265"/>
      <c r="G34" s="266"/>
      <c r="H34" s="267"/>
      <c r="I34" s="267"/>
      <c r="J34" s="266"/>
      <c r="K34" s="266"/>
      <c r="L34" s="266"/>
      <c r="M34" s="266"/>
    </row>
    <row r="35" spans="2:29" ht="15.75">
      <c r="B35" s="263"/>
      <c r="C35" s="433"/>
      <c r="D35" s="433"/>
      <c r="E35" s="264"/>
      <c r="F35" s="265"/>
      <c r="G35" s="266"/>
      <c r="H35" s="267"/>
      <c r="I35" s="267"/>
      <c r="J35" s="266"/>
      <c r="K35" s="266"/>
      <c r="L35" s="266"/>
      <c r="M35" s="266"/>
      <c r="N35" s="69"/>
      <c r="O35" s="69"/>
      <c r="P35" s="69"/>
      <c r="Q35" s="69"/>
      <c r="R35" s="69"/>
      <c r="S35" s="69"/>
      <c r="T35" s="69"/>
      <c r="U35" s="69"/>
      <c r="V35" s="69"/>
      <c r="W35" s="69"/>
      <c r="X35" s="69"/>
      <c r="Y35" s="69"/>
      <c r="Z35" s="69"/>
      <c r="AA35" s="69"/>
      <c r="AB35" s="69"/>
      <c r="AC35" s="69"/>
    </row>
    <row r="36" spans="2:13" ht="15.75">
      <c r="B36" s="268" t="s">
        <v>321</v>
      </c>
      <c r="C36" s="268"/>
      <c r="D36" s="268"/>
      <c r="E36" s="278"/>
      <c r="F36" s="271"/>
      <c r="G36" s="279">
        <f>SUM(G29:G35)</f>
        <v>0</v>
      </c>
      <c r="H36" s="271"/>
      <c r="I36" s="271"/>
      <c r="J36" s="279">
        <f>SUM(J29:J35)</f>
        <v>0</v>
      </c>
      <c r="K36" s="279">
        <f>SUM(K29:K35)</f>
        <v>0</v>
      </c>
      <c r="L36" s="279">
        <f>SUM(L29:L35)</f>
        <v>0</v>
      </c>
      <c r="M36" s="279">
        <f>SUM(M29:M35)</f>
        <v>0</v>
      </c>
    </row>
    <row r="37" spans="2:13" ht="15.75">
      <c r="B37" s="268" t="s">
        <v>206</v>
      </c>
      <c r="C37" s="268"/>
      <c r="D37" s="268"/>
      <c r="E37" s="268"/>
      <c r="F37" s="271"/>
      <c r="G37" s="279">
        <f>SUM(G19+G27+G36)</f>
        <v>0</v>
      </c>
      <c r="H37" s="271"/>
      <c r="I37" s="271"/>
      <c r="J37" s="279">
        <f>SUM(J19+J27+J36)</f>
        <v>0</v>
      </c>
      <c r="K37" s="279">
        <f>SUM(K19+K27+K36)</f>
        <v>0</v>
      </c>
      <c r="L37" s="279">
        <f>SUM(L19+L27+L36)</f>
        <v>0</v>
      </c>
      <c r="M37" s="279">
        <f>SUM(M19+M27+M36)</f>
        <v>0</v>
      </c>
    </row>
    <row r="38" spans="2:13" ht="15.75">
      <c r="B38" s="69"/>
      <c r="C38" s="69"/>
      <c r="D38" s="69"/>
      <c r="E38" s="69"/>
      <c r="F38" s="69"/>
      <c r="G38" s="69"/>
      <c r="H38" s="69"/>
      <c r="I38" s="69"/>
      <c r="J38" s="69"/>
      <c r="K38" s="69"/>
      <c r="L38" s="69"/>
      <c r="M38" s="69"/>
    </row>
    <row r="39" spans="6:13" ht="15.75">
      <c r="F39" s="281"/>
      <c r="G39" s="281"/>
      <c r="J39" s="281"/>
      <c r="K39" s="281"/>
      <c r="L39" s="281"/>
      <c r="M39" s="281"/>
    </row>
    <row r="40" spans="6:14" ht="15.75">
      <c r="F40" s="69"/>
      <c r="H40" s="282"/>
      <c r="N40" s="69"/>
    </row>
    <row r="41" spans="2:13" ht="15.75">
      <c r="B41" s="69"/>
      <c r="C41" s="69"/>
      <c r="D41" s="69"/>
      <c r="E41" s="69"/>
      <c r="F41" s="69"/>
      <c r="G41" s="69"/>
      <c r="H41" s="69"/>
      <c r="I41" s="69"/>
      <c r="J41" s="69"/>
      <c r="K41" s="69"/>
      <c r="L41" s="69"/>
      <c r="M41" s="69"/>
    </row>
    <row r="42" spans="2:13" ht="15.75">
      <c r="B42" s="69"/>
      <c r="C42" s="69"/>
      <c r="D42" s="69"/>
      <c r="E42" s="69"/>
      <c r="F42" s="69"/>
      <c r="G42" s="69"/>
      <c r="H42" s="69"/>
      <c r="I42" s="69"/>
      <c r="J42" s="69"/>
      <c r="K42" s="69"/>
      <c r="L42" s="69"/>
      <c r="M42" s="69"/>
    </row>
  </sheetData>
  <sheetProtection sheet="1"/>
  <mergeCells count="3">
    <mergeCell ref="H6:I6"/>
    <mergeCell ref="J6:K6"/>
    <mergeCell ref="L6:M6"/>
  </mergeCells>
  <printOptions/>
  <pageMargins left="0.38" right="0.5" top="0.78" bottom="0.4" header="0.5" footer="0"/>
  <pageSetup blackAndWhite="1" fitToHeight="1" fitToWidth="1" horizontalDpi="120" verticalDpi="120" orientation="landscape" scale="77" r:id="rId1"/>
  <headerFooter alignWithMargins="0">
    <oddHeader>&amp;RState of Kansas
County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48"/>
  <sheetViews>
    <sheetView zoomScale="75" zoomScaleNormal="75" zoomScalePageLayoutView="0" workbookViewId="0" topLeftCell="A1">
      <selection activeCell="A29" sqref="A29:H37"/>
    </sheetView>
  </sheetViews>
  <sheetFormatPr defaultColWidth="8.796875" defaultRowHeight="15"/>
  <cols>
    <col min="1" max="1" width="4.796875" style="69" customWidth="1"/>
    <col min="2" max="2" width="25.796875" style="69" customWidth="1"/>
    <col min="3" max="5" width="9.796875" style="69" customWidth="1"/>
    <col min="6" max="6" width="17.09765625" style="69" customWidth="1"/>
    <col min="7" max="9" width="15.796875" style="69" customWidth="1"/>
    <col min="10" max="16384" width="8.8984375" style="69" customWidth="1"/>
  </cols>
  <sheetData>
    <row r="1" spans="2:9" ht="15.75">
      <c r="B1" s="224" t="str">
        <f>inputPrYr!$C$2</f>
        <v>Sheridan County</v>
      </c>
      <c r="C1" s="82"/>
      <c r="D1" s="82"/>
      <c r="E1" s="82"/>
      <c r="F1" s="82"/>
      <c r="G1" s="82"/>
      <c r="H1" s="82"/>
      <c r="I1" s="283">
        <f>inputPrYr!C4</f>
        <v>2013</v>
      </c>
    </row>
    <row r="2" spans="2:9" ht="15.75">
      <c r="B2" s="82"/>
      <c r="C2" s="82"/>
      <c r="D2" s="82"/>
      <c r="E2" s="82"/>
      <c r="F2" s="82"/>
      <c r="G2" s="82"/>
      <c r="H2" s="82"/>
      <c r="I2" s="236"/>
    </row>
    <row r="3" spans="2:9" ht="15.75">
      <c r="B3" s="82"/>
      <c r="C3" s="90"/>
      <c r="D3" s="90"/>
      <c r="E3" s="90"/>
      <c r="F3" s="90"/>
      <c r="G3" s="90"/>
      <c r="H3" s="90"/>
      <c r="I3" s="284"/>
    </row>
    <row r="4" spans="2:9" ht="15.75">
      <c r="B4" s="252" t="s">
        <v>217</v>
      </c>
      <c r="C4" s="90"/>
      <c r="D4" s="90"/>
      <c r="E4" s="90"/>
      <c r="F4" s="90"/>
      <c r="G4" s="90"/>
      <c r="H4" s="90"/>
      <c r="I4" s="90"/>
    </row>
    <row r="5" spans="2:9" ht="15.75">
      <c r="B5" s="111"/>
      <c r="C5" s="253"/>
      <c r="D5" s="253"/>
      <c r="E5" s="253"/>
      <c r="F5" s="253"/>
      <c r="G5" s="253"/>
      <c r="H5" s="253"/>
      <c r="I5" s="253"/>
    </row>
    <row r="6" spans="2:9" ht="15.75">
      <c r="B6" s="285"/>
      <c r="C6" s="286"/>
      <c r="D6" s="286"/>
      <c r="E6" s="286"/>
      <c r="F6" s="254" t="s">
        <v>124</v>
      </c>
      <c r="G6" s="286"/>
      <c r="H6" s="286"/>
      <c r="I6" s="286"/>
    </row>
    <row r="7" spans="2:9" ht="15.75">
      <c r="B7" s="285"/>
      <c r="C7" s="257"/>
      <c r="D7" s="257" t="s">
        <v>207</v>
      </c>
      <c r="E7" s="257" t="s">
        <v>208</v>
      </c>
      <c r="F7" s="257" t="s">
        <v>144</v>
      </c>
      <c r="G7" s="257" t="s">
        <v>209</v>
      </c>
      <c r="H7" s="257" t="s">
        <v>210</v>
      </c>
      <c r="I7" s="257" t="s">
        <v>210</v>
      </c>
    </row>
    <row r="8" spans="2:9" ht="15.75">
      <c r="B8" s="602" t="s">
        <v>786</v>
      </c>
      <c r="C8" s="257" t="s">
        <v>211</v>
      </c>
      <c r="D8" s="257" t="s">
        <v>212</v>
      </c>
      <c r="E8" s="257" t="s">
        <v>197</v>
      </c>
      <c r="F8" s="257" t="s">
        <v>213</v>
      </c>
      <c r="G8" s="257" t="s">
        <v>249</v>
      </c>
      <c r="H8" s="257" t="s">
        <v>214</v>
      </c>
      <c r="I8" s="257" t="s">
        <v>214</v>
      </c>
    </row>
    <row r="9" spans="2:9" ht="15.75">
      <c r="B9" s="591" t="s">
        <v>785</v>
      </c>
      <c r="C9" s="260" t="s">
        <v>194</v>
      </c>
      <c r="D9" s="288" t="s">
        <v>215</v>
      </c>
      <c r="E9" s="260" t="s">
        <v>160</v>
      </c>
      <c r="F9" s="288" t="s">
        <v>269</v>
      </c>
      <c r="G9" s="289" t="str">
        <f>CONCATENATE("Jan 1,",I1-1,"")</f>
        <v>Jan 1,2012</v>
      </c>
      <c r="H9" s="260">
        <f>I1-1</f>
        <v>2012</v>
      </c>
      <c r="I9" s="260">
        <f>I1</f>
        <v>2013</v>
      </c>
    </row>
    <row r="10" spans="2:9" ht="15.75">
      <c r="B10" s="290" t="s">
        <v>1048</v>
      </c>
      <c r="C10" s="290"/>
      <c r="D10" s="291"/>
      <c r="E10" s="292"/>
      <c r="F10" s="109"/>
      <c r="G10" s="109"/>
      <c r="H10" s="109"/>
      <c r="I10" s="109"/>
    </row>
    <row r="11" spans="2:9" ht="15.75">
      <c r="B11" s="290"/>
      <c r="C11" s="290"/>
      <c r="D11" s="291"/>
      <c r="E11" s="292"/>
      <c r="F11" s="109"/>
      <c r="G11" s="109"/>
      <c r="H11" s="109"/>
      <c r="I11" s="109"/>
    </row>
    <row r="12" spans="2:9" ht="15.75">
      <c r="B12" s="290"/>
      <c r="C12" s="432"/>
      <c r="D12" s="291"/>
      <c r="E12" s="292"/>
      <c r="F12" s="109"/>
      <c r="G12" s="109"/>
      <c r="H12" s="109"/>
      <c r="I12" s="109"/>
    </row>
    <row r="13" spans="2:9" ht="15.75">
      <c r="B13" s="290"/>
      <c r="C13" s="290"/>
      <c r="D13" s="291"/>
      <c r="E13" s="292"/>
      <c r="F13" s="109"/>
      <c r="G13" s="109"/>
      <c r="H13" s="109"/>
      <c r="I13" s="109"/>
    </row>
    <row r="14" spans="2:9" ht="15.75">
      <c r="B14" s="290"/>
      <c r="C14" s="290"/>
      <c r="D14" s="291"/>
      <c r="E14" s="292"/>
      <c r="F14" s="109"/>
      <c r="G14" s="109"/>
      <c r="H14" s="109"/>
      <c r="I14" s="109"/>
    </row>
    <row r="15" spans="2:9" ht="15.75">
      <c r="B15" s="290"/>
      <c r="C15" s="290"/>
      <c r="D15" s="291"/>
      <c r="E15" s="292"/>
      <c r="F15" s="109"/>
      <c r="G15" s="109"/>
      <c r="H15" s="109"/>
      <c r="I15" s="109"/>
    </row>
    <row r="16" spans="2:9" ht="15.75">
      <c r="B16" s="290"/>
      <c r="C16" s="290"/>
      <c r="D16" s="291"/>
      <c r="E16" s="292"/>
      <c r="F16" s="109"/>
      <c r="G16" s="109"/>
      <c r="H16" s="109"/>
      <c r="I16" s="109"/>
    </row>
    <row r="17" spans="2:9" ht="15.75">
      <c r="B17" s="290"/>
      <c r="C17" s="290"/>
      <c r="D17" s="291"/>
      <c r="E17" s="292"/>
      <c r="F17" s="109"/>
      <c r="G17" s="109"/>
      <c r="H17" s="109"/>
      <c r="I17" s="109"/>
    </row>
    <row r="18" spans="2:9" ht="15.75">
      <c r="B18" s="290"/>
      <c r="C18" s="290"/>
      <c r="D18" s="291"/>
      <c r="E18" s="292"/>
      <c r="F18" s="109"/>
      <c r="G18" s="109"/>
      <c r="H18" s="109"/>
      <c r="I18" s="109"/>
    </row>
    <row r="19" spans="2:9" ht="15.75">
      <c r="B19" s="290"/>
      <c r="C19" s="290"/>
      <c r="D19" s="291"/>
      <c r="E19" s="292"/>
      <c r="F19" s="109"/>
      <c r="G19" s="109"/>
      <c r="H19" s="109"/>
      <c r="I19" s="109"/>
    </row>
    <row r="20" spans="2:9" ht="15.75">
      <c r="B20" s="290"/>
      <c r="C20" s="290"/>
      <c r="D20" s="291"/>
      <c r="E20" s="292"/>
      <c r="F20" s="109"/>
      <c r="G20" s="109"/>
      <c r="H20" s="109"/>
      <c r="I20" s="109"/>
    </row>
    <row r="21" spans="2:9" ht="15.75">
      <c r="B21" s="290"/>
      <c r="C21" s="290"/>
      <c r="D21" s="291"/>
      <c r="E21" s="292"/>
      <c r="F21" s="109"/>
      <c r="G21" s="109"/>
      <c r="H21" s="109"/>
      <c r="I21" s="109"/>
    </row>
    <row r="22" spans="2:9" ht="15.75">
      <c r="B22" s="290"/>
      <c r="C22" s="290"/>
      <c r="D22" s="291"/>
      <c r="E22" s="292"/>
      <c r="F22" s="109"/>
      <c r="G22" s="109"/>
      <c r="H22" s="109"/>
      <c r="I22" s="109"/>
    </row>
    <row r="23" spans="2:9" ht="15.75">
      <c r="B23" s="290"/>
      <c r="C23" s="290"/>
      <c r="D23" s="291"/>
      <c r="E23" s="292"/>
      <c r="F23" s="109"/>
      <c r="G23" s="109"/>
      <c r="H23" s="109"/>
      <c r="I23" s="109"/>
    </row>
    <row r="24" spans="2:9" ht="15.75">
      <c r="B24" s="290"/>
      <c r="C24" s="290"/>
      <c r="D24" s="291"/>
      <c r="E24" s="292"/>
      <c r="F24" s="109"/>
      <c r="G24" s="109"/>
      <c r="H24" s="109"/>
      <c r="I24" s="109"/>
    </row>
    <row r="25" spans="2:9" ht="15.75">
      <c r="B25" s="290"/>
      <c r="C25" s="290"/>
      <c r="D25" s="291"/>
      <c r="E25" s="292"/>
      <c r="F25" s="109"/>
      <c r="G25" s="109"/>
      <c r="H25" s="109"/>
      <c r="I25" s="109"/>
    </row>
    <row r="26" spans="2:9" ht="15.75">
      <c r="B26" s="290"/>
      <c r="C26" s="290"/>
      <c r="D26" s="291"/>
      <c r="E26" s="292"/>
      <c r="F26" s="109"/>
      <c r="G26" s="109"/>
      <c r="H26" s="109"/>
      <c r="I26" s="109"/>
    </row>
    <row r="27" spans="2:9" ht="15.75">
      <c r="B27" s="290"/>
      <c r="C27" s="290"/>
      <c r="D27" s="291"/>
      <c r="E27" s="292"/>
      <c r="F27" s="109"/>
      <c r="G27" s="109"/>
      <c r="H27" s="109"/>
      <c r="I27" s="109"/>
    </row>
    <row r="28" spans="2:9" ht="15.75">
      <c r="B28" s="290"/>
      <c r="C28" s="290"/>
      <c r="D28" s="291"/>
      <c r="E28" s="292"/>
      <c r="F28" s="109"/>
      <c r="G28" s="109"/>
      <c r="H28" s="109"/>
      <c r="I28" s="109"/>
    </row>
    <row r="29" spans="2:9" ht="15.75">
      <c r="B29" s="290"/>
      <c r="C29" s="290"/>
      <c r="D29" s="291"/>
      <c r="E29" s="292"/>
      <c r="F29" s="109"/>
      <c r="G29" s="109"/>
      <c r="H29" s="109"/>
      <c r="I29" s="109"/>
    </row>
    <row r="30" spans="2:9" ht="15.75">
      <c r="B30" s="290"/>
      <c r="C30" s="290"/>
      <c r="D30" s="291"/>
      <c r="E30" s="292"/>
      <c r="F30" s="109"/>
      <c r="G30" s="109"/>
      <c r="H30" s="109"/>
      <c r="I30" s="109"/>
    </row>
    <row r="31" spans="2:9" ht="15.75">
      <c r="B31" s="290"/>
      <c r="C31" s="290"/>
      <c r="D31" s="291"/>
      <c r="E31" s="292"/>
      <c r="F31" s="109"/>
      <c r="G31" s="109"/>
      <c r="H31" s="109"/>
      <c r="I31" s="109"/>
    </row>
    <row r="32" spans="2:9" ht="15.75">
      <c r="B32" s="290"/>
      <c r="C32" s="290"/>
      <c r="D32" s="291"/>
      <c r="E32" s="292"/>
      <c r="F32" s="109"/>
      <c r="G32" s="109"/>
      <c r="H32" s="109"/>
      <c r="I32" s="109"/>
    </row>
    <row r="33" spans="2:9" ht="15.75">
      <c r="B33" s="290"/>
      <c r="C33" s="290"/>
      <c r="D33" s="291"/>
      <c r="E33" s="292"/>
      <c r="F33" s="109"/>
      <c r="G33" s="109"/>
      <c r="H33" s="109"/>
      <c r="I33" s="109"/>
    </row>
    <row r="34" spans="2:9" ht="15.75">
      <c r="B34" s="290"/>
      <c r="C34" s="290"/>
      <c r="D34" s="291"/>
      <c r="E34" s="292"/>
      <c r="F34" s="109"/>
      <c r="G34" s="109"/>
      <c r="H34" s="109"/>
      <c r="I34" s="109"/>
    </row>
    <row r="35" spans="2:9" ht="15.75">
      <c r="B35" s="290"/>
      <c r="C35" s="290"/>
      <c r="D35" s="291"/>
      <c r="E35" s="292"/>
      <c r="F35" s="109"/>
      <c r="G35" s="109"/>
      <c r="H35" s="109"/>
      <c r="I35" s="109"/>
    </row>
    <row r="36" spans="2:9" ht="15.75">
      <c r="B36" s="290"/>
      <c r="C36" s="290"/>
      <c r="D36" s="291"/>
      <c r="E36" s="292"/>
      <c r="F36" s="109"/>
      <c r="G36" s="109"/>
      <c r="H36" s="109"/>
      <c r="I36" s="109"/>
    </row>
    <row r="37" spans="2:10" ht="16.5" thickBot="1">
      <c r="B37" s="603"/>
      <c r="C37" s="82"/>
      <c r="D37" s="82"/>
      <c r="E37" s="82"/>
      <c r="F37" s="268" t="s">
        <v>151</v>
      </c>
      <c r="G37" s="293">
        <f>SUM(G10:G36)</f>
        <v>0</v>
      </c>
      <c r="H37" s="293">
        <f>SUM(H10:H36)</f>
        <v>0</v>
      </c>
      <c r="I37" s="293">
        <f>SUM(I10:I36)</f>
        <v>0</v>
      </c>
      <c r="J37" s="294"/>
    </row>
    <row r="38" spans="2:9" ht="16.5" thickTop="1">
      <c r="B38" s="82"/>
      <c r="C38" s="82"/>
      <c r="D38" s="82"/>
      <c r="E38" s="82"/>
      <c r="F38" s="82"/>
      <c r="G38" s="82"/>
      <c r="H38" s="224"/>
      <c r="I38" s="224"/>
    </row>
    <row r="39" spans="2:9" ht="15.75">
      <c r="B39" s="295" t="s">
        <v>81</v>
      </c>
      <c r="C39" s="296"/>
      <c r="D39" s="296"/>
      <c r="E39" s="296"/>
      <c r="F39" s="296"/>
      <c r="G39" s="296"/>
      <c r="H39" s="224"/>
      <c r="I39" s="224"/>
    </row>
    <row r="40" spans="2:9" ht="15.75">
      <c r="B40" s="140"/>
      <c r="C40" s="140"/>
      <c r="D40" s="282"/>
      <c r="E40" s="140"/>
      <c r="F40" s="140"/>
      <c r="G40" s="140"/>
      <c r="H40" s="281"/>
      <c r="I40" s="281"/>
    </row>
    <row r="41" spans="2:9" ht="15.75">
      <c r="B41" s="140"/>
      <c r="C41" s="140"/>
      <c r="D41" s="140"/>
      <c r="E41" s="140"/>
      <c r="F41" s="140"/>
      <c r="G41" s="140"/>
      <c r="H41" s="140"/>
      <c r="I41" s="140"/>
    </row>
    <row r="42" spans="2:9" ht="15.75">
      <c r="B42" s="140"/>
      <c r="C42" s="140"/>
      <c r="D42" s="140"/>
      <c r="E42" s="140"/>
      <c r="F42" s="140"/>
      <c r="G42" s="140"/>
      <c r="H42" s="140"/>
      <c r="I42" s="140"/>
    </row>
    <row r="43" spans="2:9" ht="15.75">
      <c r="B43" s="140"/>
      <c r="C43" s="140"/>
      <c r="D43" s="140"/>
      <c r="E43" s="140"/>
      <c r="F43" s="140"/>
      <c r="G43" s="140"/>
      <c r="H43" s="140"/>
      <c r="I43" s="140"/>
    </row>
    <row r="44" spans="2:9" ht="15.75">
      <c r="B44" s="140"/>
      <c r="C44" s="140"/>
      <c r="D44" s="140"/>
      <c r="E44" s="140"/>
      <c r="F44" s="140"/>
      <c r="G44" s="140"/>
      <c r="H44" s="140"/>
      <c r="I44" s="140"/>
    </row>
    <row r="45" spans="2:9" ht="15.75">
      <c r="B45" s="140"/>
      <c r="C45" s="140"/>
      <c r="D45" s="140"/>
      <c r="E45" s="140"/>
      <c r="F45" s="140"/>
      <c r="G45" s="140"/>
      <c r="H45" s="140"/>
      <c r="I45" s="140"/>
    </row>
    <row r="46" spans="2:9" ht="15.75">
      <c r="B46" s="140"/>
      <c r="C46" s="140"/>
      <c r="D46" s="140"/>
      <c r="E46" s="140"/>
      <c r="F46" s="140"/>
      <c r="G46" s="140"/>
      <c r="H46" s="140"/>
      <c r="I46" s="140"/>
    </row>
    <row r="47" spans="2:9" ht="15.75">
      <c r="B47" s="140"/>
      <c r="C47" s="140"/>
      <c r="D47" s="140"/>
      <c r="E47" s="140"/>
      <c r="F47" s="140"/>
      <c r="G47" s="140"/>
      <c r="H47" s="140"/>
      <c r="I47" s="140"/>
    </row>
    <row r="48" spans="2:9" ht="15.75">
      <c r="B48" s="140"/>
      <c r="C48" s="140"/>
      <c r="D48" s="140"/>
      <c r="E48" s="140"/>
      <c r="F48" s="140"/>
      <c r="G48" s="140"/>
      <c r="H48" s="140"/>
      <c r="I48" s="140"/>
    </row>
  </sheetData>
  <sheetProtection sheet="1"/>
  <printOptions/>
  <pageMargins left="0.17" right="0.5" top="0.78" bottom="0.4" header="0.5" footer="0"/>
  <pageSetup blackAndWhite="1" fitToHeight="1" fitToWidth="1" horizontalDpi="120" verticalDpi="120" orientation="landscape" scale="87" r:id="rId1"/>
  <headerFooter alignWithMargins="0">
    <oddHeader>&amp;RState of Kansas
County
</oddHeader>
    <oddFooter>&amp;CPage No. 6</oddFooter>
  </headerFooter>
</worksheet>
</file>

<file path=xl/worksheets/sheet13.xml><?xml version="1.0" encoding="utf-8"?>
<worksheet xmlns="http://schemas.openxmlformats.org/spreadsheetml/2006/main" xmlns:r="http://schemas.openxmlformats.org/officeDocument/2006/relationships">
  <dimension ref="B1:K114"/>
  <sheetViews>
    <sheetView zoomScalePageLayoutView="0" workbookViewId="0" topLeftCell="A87">
      <selection activeCell="C56" sqref="C56"/>
    </sheetView>
  </sheetViews>
  <sheetFormatPr defaultColWidth="8.796875" defaultRowHeight="15"/>
  <cols>
    <col min="1" max="1" width="2.3984375" style="69" customWidth="1"/>
    <col min="2" max="2" width="31.09765625" style="69" customWidth="1"/>
    <col min="3" max="4" width="15.796875" style="69" customWidth="1"/>
    <col min="5" max="5" width="16.1992187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5" ht="15.75">
      <c r="B1" s="224" t="str">
        <f>inputPrYr!C2</f>
        <v>Sheridan County</v>
      </c>
      <c r="C1" s="82"/>
      <c r="D1" s="82"/>
      <c r="E1" s="283">
        <f>inputPrYr!C4</f>
        <v>2013</v>
      </c>
    </row>
    <row r="2" spans="2:5" ht="15.75">
      <c r="B2" s="82"/>
      <c r="C2" s="82"/>
      <c r="D2" s="82"/>
      <c r="E2" s="236"/>
    </row>
    <row r="3" spans="2:5" ht="15.75">
      <c r="B3" s="149" t="s">
        <v>222</v>
      </c>
      <c r="C3" s="82"/>
      <c r="D3" s="82"/>
      <c r="E3" s="297"/>
    </row>
    <row r="4" spans="2:5" ht="15.75">
      <c r="B4" s="298" t="s">
        <v>153</v>
      </c>
      <c r="C4" s="666" t="s">
        <v>814</v>
      </c>
      <c r="D4" s="667" t="s">
        <v>815</v>
      </c>
      <c r="E4" s="211" t="s">
        <v>816</v>
      </c>
    </row>
    <row r="5" spans="2:5" ht="15.75">
      <c r="B5" s="454" t="str">
        <f>inputPrYr!B16</f>
        <v>General</v>
      </c>
      <c r="C5" s="437" t="str">
        <f>CONCATENATE("Actual for ",E1-2,"")</f>
        <v>Actual for 2011</v>
      </c>
      <c r="D5" s="437" t="str">
        <f>CONCATENATE("Estimate for ",E1-1,"")</f>
        <v>Estimate for 2012</v>
      </c>
      <c r="E5" s="299" t="str">
        <f>CONCATENATE("Year for ",E1,"")</f>
        <v>Year for 2013</v>
      </c>
    </row>
    <row r="6" spans="2:5" ht="15.75">
      <c r="B6" s="300" t="s">
        <v>262</v>
      </c>
      <c r="C6" s="434">
        <v>513900</v>
      </c>
      <c r="D6" s="438">
        <f>C95</f>
        <v>748326</v>
      </c>
      <c r="E6" s="262">
        <f>D95</f>
        <v>614334</v>
      </c>
    </row>
    <row r="7" spans="2:5" ht="15.75">
      <c r="B7" s="287" t="s">
        <v>264</v>
      </c>
      <c r="C7" s="302"/>
      <c r="D7" s="302"/>
      <c r="E7" s="124"/>
    </row>
    <row r="8" spans="2:5" ht="15.75">
      <c r="B8" s="300" t="s">
        <v>917</v>
      </c>
      <c r="C8" s="434">
        <v>1732442</v>
      </c>
      <c r="D8" s="438">
        <f>IF(inputPrYr!H16&gt;0,inputPrYr!H16,inputPrYr!E16)</f>
        <v>1510151</v>
      </c>
      <c r="E8" s="217" t="s">
        <v>140</v>
      </c>
    </row>
    <row r="9" spans="2:5" ht="15.75">
      <c r="B9" s="300" t="s">
        <v>918</v>
      </c>
      <c r="C9" s="434">
        <v>6911</v>
      </c>
      <c r="D9" s="434">
        <v>8882</v>
      </c>
      <c r="E9" s="303">
        <v>9800</v>
      </c>
    </row>
    <row r="10" spans="2:5" ht="15.75">
      <c r="B10" s="300" t="s">
        <v>919</v>
      </c>
      <c r="C10" s="434">
        <v>136790</v>
      </c>
      <c r="D10" s="434">
        <v>154000</v>
      </c>
      <c r="E10" s="262">
        <f>mvalloc!E7</f>
        <v>134222</v>
      </c>
    </row>
    <row r="11" spans="2:5" ht="15.75">
      <c r="B11" s="300" t="s">
        <v>920</v>
      </c>
      <c r="C11" s="434">
        <v>2415</v>
      </c>
      <c r="D11" s="434">
        <v>2700</v>
      </c>
      <c r="E11" s="262">
        <f>mvalloc!F7</f>
        <v>2454</v>
      </c>
    </row>
    <row r="12" spans="2:5" ht="15.75">
      <c r="B12" s="302" t="s">
        <v>921</v>
      </c>
      <c r="C12" s="434">
        <v>22301</v>
      </c>
      <c r="D12" s="434">
        <v>18000</v>
      </c>
      <c r="E12" s="262">
        <f>mvalloc!G7</f>
        <v>19167</v>
      </c>
    </row>
    <row r="13" spans="2:5" ht="15.75">
      <c r="B13" s="300" t="s">
        <v>924</v>
      </c>
      <c r="C13" s="434">
        <v>29812</v>
      </c>
      <c r="D13" s="434">
        <v>25000</v>
      </c>
      <c r="E13" s="262">
        <v>25000</v>
      </c>
    </row>
    <row r="14" spans="2:5" ht="15.75">
      <c r="B14" s="300" t="s">
        <v>922</v>
      </c>
      <c r="C14" s="434">
        <v>779</v>
      </c>
      <c r="D14" s="434">
        <v>1400</v>
      </c>
      <c r="E14" s="262">
        <f>inputOth!E18</f>
        <v>0</v>
      </c>
    </row>
    <row r="15" spans="2:5" ht="15.75">
      <c r="B15" s="300" t="s">
        <v>925</v>
      </c>
      <c r="C15" s="434">
        <v>244176</v>
      </c>
      <c r="D15" s="434">
        <v>255000</v>
      </c>
      <c r="E15" s="262">
        <v>275000</v>
      </c>
    </row>
    <row r="16" spans="2:5" ht="15.75">
      <c r="B16" s="304" t="s">
        <v>926</v>
      </c>
      <c r="C16" s="434">
        <f>4556+4064+657</f>
        <v>9277</v>
      </c>
      <c r="D16" s="434">
        <v>7500</v>
      </c>
      <c r="E16" s="303">
        <v>9500</v>
      </c>
    </row>
    <row r="17" spans="2:5" ht="15.75">
      <c r="B17" s="304" t="s">
        <v>927</v>
      </c>
      <c r="C17" s="434">
        <v>58978</v>
      </c>
      <c r="D17" s="434">
        <v>60000</v>
      </c>
      <c r="E17" s="303">
        <v>90000</v>
      </c>
    </row>
    <row r="18" spans="2:5" ht="15.75">
      <c r="B18" s="304" t="s">
        <v>928</v>
      </c>
      <c r="C18" s="434">
        <v>2010</v>
      </c>
      <c r="D18" s="434">
        <v>2100</v>
      </c>
      <c r="E18" s="303">
        <v>2200</v>
      </c>
    </row>
    <row r="19" spans="2:5" ht="15.75">
      <c r="B19" s="305" t="s">
        <v>929</v>
      </c>
      <c r="C19" s="434">
        <v>241</v>
      </c>
      <c r="D19" s="434">
        <v>260</v>
      </c>
      <c r="E19" s="303">
        <v>300</v>
      </c>
    </row>
    <row r="20" spans="2:5" ht="15.75">
      <c r="B20" s="305" t="s">
        <v>930</v>
      </c>
      <c r="C20" s="434">
        <v>15908</v>
      </c>
      <c r="D20" s="434">
        <v>25000</v>
      </c>
      <c r="E20" s="303">
        <v>25000</v>
      </c>
    </row>
    <row r="21" spans="2:5" ht="15.75">
      <c r="B21" s="305" t="s">
        <v>931</v>
      </c>
      <c r="C21" s="434">
        <f>32470+2396</f>
        <v>34866</v>
      </c>
      <c r="D21" s="434">
        <v>26000</v>
      </c>
      <c r="E21" s="303">
        <v>28000</v>
      </c>
    </row>
    <row r="22" spans="2:5" ht="15.75">
      <c r="B22" s="304" t="s">
        <v>932</v>
      </c>
      <c r="C22" s="434">
        <v>100</v>
      </c>
      <c r="D22" s="434">
        <v>60</v>
      </c>
      <c r="E22" s="303">
        <v>100</v>
      </c>
    </row>
    <row r="23" spans="2:5" ht="15.75">
      <c r="B23" s="304" t="s">
        <v>933</v>
      </c>
      <c r="C23" s="434">
        <v>800</v>
      </c>
      <c r="D23" s="434"/>
      <c r="E23" s="303">
        <v>4800</v>
      </c>
    </row>
    <row r="24" spans="2:5" ht="15.75">
      <c r="B24" s="304" t="s">
        <v>934</v>
      </c>
      <c r="C24" s="434">
        <v>60</v>
      </c>
      <c r="D24" s="434">
        <v>387</v>
      </c>
      <c r="E24" s="303">
        <v>100</v>
      </c>
    </row>
    <row r="25" spans="2:5" ht="15.75">
      <c r="B25" s="304" t="s">
        <v>1044</v>
      </c>
      <c r="C25" s="434">
        <v>301</v>
      </c>
      <c r="D25" s="434">
        <v>300</v>
      </c>
      <c r="E25" s="303">
        <v>300</v>
      </c>
    </row>
    <row r="26" spans="2:5" ht="15.75">
      <c r="B26" s="304" t="s">
        <v>935</v>
      </c>
      <c r="C26" s="434">
        <v>2560</v>
      </c>
      <c r="D26" s="434">
        <v>2800</v>
      </c>
      <c r="E26" s="303">
        <v>3500</v>
      </c>
    </row>
    <row r="27" spans="2:5" ht="15.75">
      <c r="B27" s="304" t="s">
        <v>936</v>
      </c>
      <c r="C27" s="434">
        <v>12175</v>
      </c>
      <c r="D27" s="434">
        <v>6200</v>
      </c>
      <c r="E27" s="303">
        <v>7500</v>
      </c>
    </row>
    <row r="28" spans="2:5" ht="15.75">
      <c r="B28" s="304" t="s">
        <v>937</v>
      </c>
      <c r="C28" s="434">
        <v>270</v>
      </c>
      <c r="D28" s="434"/>
      <c r="E28" s="303"/>
    </row>
    <row r="29" spans="2:5" ht="15.75">
      <c r="B29" s="304" t="s">
        <v>938</v>
      </c>
      <c r="C29" s="434">
        <v>95</v>
      </c>
      <c r="D29" s="434">
        <v>45</v>
      </c>
      <c r="E29" s="303">
        <v>100</v>
      </c>
    </row>
    <row r="30" spans="2:5" ht="15.75">
      <c r="B30" s="304" t="s">
        <v>939</v>
      </c>
      <c r="C30" s="434">
        <v>6178</v>
      </c>
      <c r="D30" s="434">
        <v>3000</v>
      </c>
      <c r="E30" s="303">
        <v>6500</v>
      </c>
    </row>
    <row r="31" spans="2:5" ht="15.75">
      <c r="B31" s="304" t="s">
        <v>940</v>
      </c>
      <c r="C31" s="434">
        <v>225</v>
      </c>
      <c r="D31" s="434"/>
      <c r="E31" s="303"/>
    </row>
    <row r="32" spans="2:5" ht="15.75">
      <c r="B32" s="304" t="s">
        <v>941</v>
      </c>
      <c r="C32" s="434"/>
      <c r="D32" s="434"/>
      <c r="E32" s="303"/>
    </row>
    <row r="33" spans="2:5" ht="15.75">
      <c r="B33" s="304" t="s">
        <v>942</v>
      </c>
      <c r="C33" s="434"/>
      <c r="D33" s="434"/>
      <c r="E33" s="303"/>
    </row>
    <row r="34" spans="2:5" ht="15.75">
      <c r="B34" s="304" t="s">
        <v>943</v>
      </c>
      <c r="C34" s="434"/>
      <c r="D34" s="434"/>
      <c r="E34" s="303"/>
    </row>
    <row r="35" spans="2:5" ht="15.75">
      <c r="B35" s="304" t="s">
        <v>944</v>
      </c>
      <c r="C35" s="434">
        <f>28980+42</f>
        <v>29022</v>
      </c>
      <c r="D35" s="434">
        <v>28203</v>
      </c>
      <c r="E35" s="303">
        <v>5000</v>
      </c>
    </row>
    <row r="36" spans="2:5" ht="15.75">
      <c r="B36" s="304"/>
      <c r="C36" s="434"/>
      <c r="D36" s="434"/>
      <c r="E36" s="303"/>
    </row>
    <row r="37" spans="2:5" ht="15.75">
      <c r="B37" s="304" t="s">
        <v>945</v>
      </c>
      <c r="C37" s="434"/>
      <c r="D37" s="434"/>
      <c r="E37" s="303"/>
    </row>
    <row r="38" spans="2:5" ht="15.75">
      <c r="B38" s="304" t="s">
        <v>946</v>
      </c>
      <c r="C38" s="434">
        <v>10344</v>
      </c>
      <c r="D38" s="434">
        <v>12500</v>
      </c>
      <c r="E38" s="303">
        <v>16500</v>
      </c>
    </row>
    <row r="39" spans="2:5" ht="15.75">
      <c r="B39" s="304"/>
      <c r="C39" s="434"/>
      <c r="D39" s="434"/>
      <c r="E39" s="303"/>
    </row>
    <row r="40" spans="2:5" ht="15.75">
      <c r="B40" s="304"/>
      <c r="C40" s="434"/>
      <c r="D40" s="434"/>
      <c r="E40" s="303"/>
    </row>
    <row r="41" spans="2:5" ht="15.75">
      <c r="B41" s="304"/>
      <c r="C41" s="434"/>
      <c r="D41" s="434"/>
      <c r="E41" s="303"/>
    </row>
    <row r="42" spans="2:5" ht="15.75">
      <c r="B42" s="304"/>
      <c r="C42" s="434"/>
      <c r="D42" s="434"/>
      <c r="E42" s="303"/>
    </row>
    <row r="43" spans="2:5" ht="15.75">
      <c r="B43" s="304"/>
      <c r="C43" s="434"/>
      <c r="D43" s="434"/>
      <c r="E43" s="303"/>
    </row>
    <row r="44" spans="2:5" ht="15.75">
      <c r="B44" s="306" t="s">
        <v>655</v>
      </c>
      <c r="C44" s="435">
        <f>IF(C45*0.1&lt;C35,"Exceed 10% Rule","")</f>
      </c>
      <c r="D44" s="435">
        <f>IF(D45*0.1&lt;D35,"Exceed 10% Rule","")</f>
      </c>
      <c r="E44" s="333">
        <f>IF(E45*0.1+E101&lt;E35,"Exceed 10% Rule","")</f>
      </c>
    </row>
    <row r="45" spans="2:5" ht="15.75">
      <c r="B45" s="308" t="s">
        <v>154</v>
      </c>
      <c r="C45" s="436">
        <f>SUM(C8:C43)</f>
        <v>2359036</v>
      </c>
      <c r="D45" s="436">
        <f>SUM(D8:D43)</f>
        <v>2149488</v>
      </c>
      <c r="E45" s="338">
        <f>SUM(E9:E43)</f>
        <v>665043</v>
      </c>
    </row>
    <row r="46" spans="2:5" ht="15.75">
      <c r="B46" s="308" t="s">
        <v>155</v>
      </c>
      <c r="C46" s="436">
        <f>C6+C45</f>
        <v>2872936</v>
      </c>
      <c r="D46" s="436">
        <f>D6+D45</f>
        <v>2897814</v>
      </c>
      <c r="E46" s="338">
        <f>E6+E45</f>
        <v>1279377</v>
      </c>
    </row>
    <row r="47" spans="2:5" ht="15.75">
      <c r="B47" s="82"/>
      <c r="C47" s="224"/>
      <c r="D47" s="224"/>
      <c r="E47" s="224"/>
    </row>
    <row r="48" spans="2:5" ht="15.75">
      <c r="B48" s="82"/>
      <c r="C48" s="224"/>
      <c r="D48" s="224"/>
      <c r="E48" s="224"/>
    </row>
    <row r="49" spans="2:5" ht="15.75">
      <c r="B49" s="82"/>
      <c r="C49" s="224"/>
      <c r="D49" s="224"/>
      <c r="E49" s="224"/>
    </row>
    <row r="50" spans="2:5" ht="15.75">
      <c r="B50" s="82"/>
      <c r="C50" s="224"/>
      <c r="D50" s="224"/>
      <c r="E50" s="224"/>
    </row>
    <row r="51" spans="2:5" ht="15.75">
      <c r="B51" s="760" t="s">
        <v>272</v>
      </c>
      <c r="C51" s="760"/>
      <c r="D51" s="760"/>
      <c r="E51" s="760"/>
    </row>
    <row r="52" spans="2:5" ht="15.75">
      <c r="B52" s="224" t="str">
        <f>inputPrYr!C2</f>
        <v>Sheridan County</v>
      </c>
      <c r="C52" s="224"/>
      <c r="D52" s="224"/>
      <c r="E52" s="283">
        <f>inputPrYr!C4</f>
        <v>2013</v>
      </c>
    </row>
    <row r="53" spans="2:5" ht="15.75">
      <c r="B53" s="82"/>
      <c r="C53" s="224"/>
      <c r="D53" s="224"/>
      <c r="E53" s="236"/>
    </row>
    <row r="54" spans="2:5" ht="15.75">
      <c r="B54" s="310" t="s">
        <v>220</v>
      </c>
      <c r="C54" s="311"/>
      <c r="D54" s="311"/>
      <c r="E54" s="311"/>
    </row>
    <row r="55" spans="2:5" ht="15.75">
      <c r="B55" s="82" t="s">
        <v>153</v>
      </c>
      <c r="C55" s="666" t="s">
        <v>814</v>
      </c>
      <c r="D55" s="667" t="s">
        <v>815</v>
      </c>
      <c r="E55" s="211" t="s">
        <v>816</v>
      </c>
    </row>
    <row r="56" spans="2:5" ht="15.75">
      <c r="B56" s="111" t="s">
        <v>156</v>
      </c>
      <c r="C56" s="437" t="str">
        <f>CONCATENATE("Actual for ",E52-2,"")</f>
        <v>Actual for 2011</v>
      </c>
      <c r="D56" s="437" t="str">
        <f>CONCATENATE("Estimate for ",E52-1,"")</f>
        <v>Estimate for 2012</v>
      </c>
      <c r="E56" s="299" t="str">
        <f>CONCATENATE("Year for ",E52,"")</f>
        <v>Year for 2013</v>
      </c>
    </row>
    <row r="57" spans="2:5" ht="15.75">
      <c r="B57" s="308" t="s">
        <v>155</v>
      </c>
      <c r="C57" s="438">
        <f>C46</f>
        <v>2872936</v>
      </c>
      <c r="D57" s="438">
        <f>D46</f>
        <v>2897814</v>
      </c>
      <c r="E57" s="262">
        <f>E46</f>
        <v>1279377</v>
      </c>
    </row>
    <row r="58" spans="2:5" ht="15.75">
      <c r="B58" s="300" t="s">
        <v>157</v>
      </c>
      <c r="C58" s="438"/>
      <c r="D58" s="438"/>
      <c r="E58" s="262"/>
    </row>
    <row r="59" spans="2:5" ht="15.75">
      <c r="B59" s="302" t="str">
        <f>'gen-detail'!A7</f>
        <v>General Administration</v>
      </c>
      <c r="C59" s="438">
        <f>'gen-detail'!B17</f>
        <v>326430</v>
      </c>
      <c r="D59" s="438">
        <f>'gen-detail'!C17</f>
        <v>347750</v>
      </c>
      <c r="E59" s="262">
        <f>'gen-detail'!D17</f>
        <v>763598</v>
      </c>
    </row>
    <row r="60" spans="2:5" ht="15.75">
      <c r="B60" s="302" t="str">
        <f>'gen-detail'!A18</f>
        <v>Apportionments</v>
      </c>
      <c r="C60" s="438">
        <f>'gen-detail'!B25</f>
        <v>161669</v>
      </c>
      <c r="D60" s="438">
        <f>'gen-detail'!C25</f>
        <v>93511</v>
      </c>
      <c r="E60" s="262">
        <f>'gen-detail'!D25</f>
        <v>103098</v>
      </c>
    </row>
    <row r="61" spans="2:5" ht="15.75">
      <c r="B61" s="302" t="str">
        <f>'gen-detail'!A26</f>
        <v>Ambulance</v>
      </c>
      <c r="C61" s="438">
        <f>'gen-detail'!B33</f>
        <v>165591</v>
      </c>
      <c r="D61" s="438">
        <f>'gen-detail'!C33</f>
        <v>193082</v>
      </c>
      <c r="E61" s="262">
        <f>'gen-detail'!D33</f>
        <v>287600</v>
      </c>
    </row>
    <row r="62" spans="2:5" ht="15.75">
      <c r="B62" s="302" t="str">
        <f>'gen-detail'!A34</f>
        <v>Appraiser</v>
      </c>
      <c r="C62" s="438">
        <f>'gen-detail'!B37</f>
        <v>95074</v>
      </c>
      <c r="D62" s="438">
        <f>'gen-detail'!C37</f>
        <v>98000</v>
      </c>
      <c r="E62" s="262">
        <f>'gen-detail'!D37</f>
        <v>116300</v>
      </c>
    </row>
    <row r="63" spans="2:5" ht="15.75">
      <c r="B63" s="302" t="str">
        <f>'gen-detail'!A38</f>
        <v>County Attorney  </v>
      </c>
      <c r="C63" s="438">
        <f>'gen-detail'!B41</f>
        <v>39693</v>
      </c>
      <c r="D63" s="438">
        <f>'gen-detail'!C41</f>
        <v>49700</v>
      </c>
      <c r="E63" s="262">
        <f>'gen-detail'!D41</f>
        <v>50000</v>
      </c>
    </row>
    <row r="64" spans="2:5" ht="15.75">
      <c r="B64" s="302" t="str">
        <f>'gen-detail'!A42</f>
        <v>County Clerk</v>
      </c>
      <c r="C64" s="438">
        <f>'gen-detail'!B45</f>
        <v>63516</v>
      </c>
      <c r="D64" s="438">
        <f>'gen-detail'!C45</f>
        <v>78500</v>
      </c>
      <c r="E64" s="262">
        <f>'gen-detail'!D45</f>
        <v>114000</v>
      </c>
    </row>
    <row r="65" spans="2:5" ht="15.75">
      <c r="B65" s="302" t="str">
        <f>'gen-detail'!A46</f>
        <v>County Commissioners</v>
      </c>
      <c r="C65" s="438">
        <f>'gen-detail'!B49</f>
        <v>36210</v>
      </c>
      <c r="D65" s="438">
        <f>'gen-detail'!C49</f>
        <v>60100</v>
      </c>
      <c r="E65" s="262">
        <f>'gen-detail'!D49</f>
        <v>62600</v>
      </c>
    </row>
    <row r="66" spans="2:5" ht="15.75">
      <c r="B66" s="302" t="str">
        <f>'gen-detail'!A63</f>
        <v>County Register of Deeds</v>
      </c>
      <c r="C66" s="438">
        <f>'gen-detail'!B66</f>
        <v>44789</v>
      </c>
      <c r="D66" s="438">
        <f>'gen-detail'!C66</f>
        <v>58000</v>
      </c>
      <c r="E66" s="262">
        <f>'gen-detail'!D66</f>
        <v>68000</v>
      </c>
    </row>
    <row r="67" spans="2:5" ht="15.75">
      <c r="B67" s="302" t="str">
        <f>'gen-detail'!A67</f>
        <v>County Sheriff</v>
      </c>
      <c r="C67" s="438">
        <f>'gen-detail'!B70</f>
        <v>126258</v>
      </c>
      <c r="D67" s="438">
        <f>'gen-detail'!C70</f>
        <v>143000</v>
      </c>
      <c r="E67" s="262">
        <f>'gen-detail'!D70</f>
        <v>147400</v>
      </c>
    </row>
    <row r="68" spans="2:5" ht="15.75">
      <c r="B68" s="302" t="str">
        <f>'gen-detail'!A71</f>
        <v>County Treasurer</v>
      </c>
      <c r="C68" s="438">
        <f>'gen-detail'!B74</f>
        <v>75049</v>
      </c>
      <c r="D68" s="438">
        <f>'gen-detail'!C74</f>
        <v>89936</v>
      </c>
      <c r="E68" s="262">
        <f>'gen-detail'!D74</f>
        <v>93000</v>
      </c>
    </row>
    <row r="69" spans="2:5" ht="15.75">
      <c r="B69" s="302" t="str">
        <f>'gen-detail'!A75</f>
        <v>County Health Officer</v>
      </c>
      <c r="C69" s="438">
        <f>'gen-detail'!B77</f>
        <v>2000</v>
      </c>
      <c r="D69" s="438">
        <f>'gen-detail'!C77</f>
        <v>2000</v>
      </c>
      <c r="E69" s="262">
        <f>'gen-detail'!D77</f>
        <v>2000</v>
      </c>
    </row>
    <row r="70" spans="2:5" ht="15.75">
      <c r="B70" s="302" t="str">
        <f>'gen-detail'!A78</f>
        <v>District Court</v>
      </c>
      <c r="C70" s="438">
        <f>'gen-detail'!B80</f>
        <v>18401</v>
      </c>
      <c r="D70" s="438">
        <f>'gen-detail'!C80</f>
        <v>20000</v>
      </c>
      <c r="E70" s="262">
        <f>'gen-detail'!D80</f>
        <v>30302</v>
      </c>
    </row>
    <row r="71" spans="2:5" ht="15.75">
      <c r="B71" s="302" t="str">
        <f>'gen-detail'!A81</f>
        <v>Election</v>
      </c>
      <c r="C71" s="438">
        <f>'gen-detail'!B84</f>
        <v>6505</v>
      </c>
      <c r="D71" s="438">
        <f>'gen-detail'!C84</f>
        <v>18500</v>
      </c>
      <c r="E71" s="262">
        <f>'gen-detail'!D84</f>
        <v>9000</v>
      </c>
    </row>
    <row r="72" spans="2:5" ht="15.75">
      <c r="B72" s="302" t="str">
        <f>'gen-detail'!A85</f>
        <v>Custodian</v>
      </c>
      <c r="C72" s="438">
        <f>'gen-detail'!B87</f>
        <v>20159</v>
      </c>
      <c r="D72" s="438">
        <f>'gen-detail'!C87</f>
        <v>20000</v>
      </c>
      <c r="E72" s="262">
        <f>'gen-detail'!D87</f>
        <v>22000</v>
      </c>
    </row>
    <row r="73" spans="2:5" ht="15.75">
      <c r="B73" s="302" t="str">
        <f>'gen-detail'!A88</f>
        <v>Dispatch</v>
      </c>
      <c r="C73" s="438">
        <f>'gen-detail'!B90</f>
        <v>102210</v>
      </c>
      <c r="D73" s="438">
        <f>'gen-detail'!C90</f>
        <v>106280</v>
      </c>
      <c r="E73" s="262">
        <f>'gen-detail'!D90</f>
        <v>108000</v>
      </c>
    </row>
    <row r="74" spans="2:5" ht="15.75">
      <c r="B74" s="302" t="str">
        <f>'gen-detail'!A91</f>
        <v>Emergency Preparedness</v>
      </c>
      <c r="C74" s="438">
        <f>'gen-detail'!B93</f>
        <v>16041</v>
      </c>
      <c r="D74" s="438">
        <f>'gen-detail'!C93</f>
        <v>17600</v>
      </c>
      <c r="E74" s="262">
        <f>'gen-detail'!D93</f>
        <v>26000</v>
      </c>
    </row>
    <row r="75" spans="2:5" ht="15.75">
      <c r="B75" s="302" t="str">
        <f>'gen-detail'!A94</f>
        <v>Employee Benefits</v>
      </c>
      <c r="C75" s="438">
        <f>'gen-detail'!B100</f>
        <v>740237</v>
      </c>
      <c r="D75" s="438">
        <f>'gen-detail'!C100</f>
        <v>775500</v>
      </c>
      <c r="E75" s="262">
        <f>'gen-detail'!D100</f>
        <v>862500</v>
      </c>
    </row>
    <row r="76" spans="2:5" ht="15.75">
      <c r="B76" s="302" t="str">
        <f>'gen-detail'!A101</f>
        <v>District Coroner</v>
      </c>
      <c r="C76" s="438">
        <f>'gen-detail'!B103</f>
        <v>2312</v>
      </c>
      <c r="D76" s="438">
        <f>'gen-detail'!C103</f>
        <v>2500</v>
      </c>
      <c r="E76" s="262">
        <f>'gen-detail'!D103</f>
        <v>3500</v>
      </c>
    </row>
    <row r="77" spans="2:5" ht="15.75">
      <c r="B77" s="302" t="str">
        <f>'gen-detail'!A104</f>
        <v>Prisoner Care</v>
      </c>
      <c r="C77" s="438">
        <f>'gen-detail'!B106</f>
        <v>4968</v>
      </c>
      <c r="D77" s="438">
        <f>'gen-detail'!C106</f>
        <v>7500</v>
      </c>
      <c r="E77" s="262">
        <f>'gen-detail'!D106</f>
        <v>10000</v>
      </c>
    </row>
    <row r="78" spans="2:10" ht="15.75">
      <c r="B78" s="302" t="str">
        <f>'gen-detail'!A117</f>
        <v>Area Council on Aging</v>
      </c>
      <c r="C78" s="438">
        <f>'gen-detail'!B119</f>
        <v>7500</v>
      </c>
      <c r="D78" s="438">
        <f>'gen-detail'!C119</f>
        <v>4000</v>
      </c>
      <c r="E78" s="262">
        <f>'gen-detail'!D119</f>
        <v>4000</v>
      </c>
      <c r="G78" s="770" t="str">
        <f>CONCATENATE("Desired Carryover Into ",E1+1,"")</f>
        <v>Desired Carryover Into 2014</v>
      </c>
      <c r="H78" s="771"/>
      <c r="I78" s="771"/>
      <c r="J78" s="772"/>
    </row>
    <row r="79" spans="2:10" ht="15.75">
      <c r="B79" s="302" t="str">
        <f>'gen-detail'!A120</f>
        <v>Solid Waste</v>
      </c>
      <c r="C79" s="438">
        <f>'gen-detail'!B122</f>
        <v>0</v>
      </c>
      <c r="D79" s="438">
        <f>'gen-detail'!C122</f>
        <v>0</v>
      </c>
      <c r="E79" s="262">
        <f>'gen-detail'!D122</f>
        <v>65000</v>
      </c>
      <c r="G79" s="618"/>
      <c r="H79" s="619"/>
      <c r="I79" s="620"/>
      <c r="J79" s="621"/>
    </row>
    <row r="80" spans="2:10" ht="15.75">
      <c r="B80" s="302" t="str">
        <f>'gen-detail'!A123</f>
        <v>Vehicle Replacement</v>
      </c>
      <c r="C80" s="438">
        <f>'gen-detail'!B125</f>
        <v>0</v>
      </c>
      <c r="D80" s="438">
        <f>'gen-detail'!C125</f>
        <v>0</v>
      </c>
      <c r="E80" s="262">
        <f>'gen-detail'!D125</f>
        <v>0</v>
      </c>
      <c r="G80" s="622" t="s">
        <v>660</v>
      </c>
      <c r="H80" s="620"/>
      <c r="I80" s="620"/>
      <c r="J80" s="623">
        <v>0</v>
      </c>
    </row>
    <row r="81" spans="2:10" ht="15.75">
      <c r="B81" s="302" t="str">
        <f>'gen-detail'!A126</f>
        <v>Juvenile Justice Authority</v>
      </c>
      <c r="C81" s="438">
        <f>'gen-detail'!B128</f>
        <v>0</v>
      </c>
      <c r="D81" s="438">
        <f>'gen-detail'!C128</f>
        <v>0</v>
      </c>
      <c r="E81" s="262">
        <f>'gen-detail'!D128</f>
        <v>1000</v>
      </c>
      <c r="G81" s="618" t="s">
        <v>661</v>
      </c>
      <c r="H81" s="619"/>
      <c r="I81" s="619"/>
      <c r="J81" s="624">
        <f>IF(J80=0,"",ROUND((J80+E101-G93)/inputOth!E6*1000,3)-G98)</f>
      </c>
    </row>
    <row r="82" spans="2:10" ht="15.75">
      <c r="B82" s="302" t="str">
        <f>'gen-detail'!A129</f>
        <v>Information Technology</v>
      </c>
      <c r="C82" s="438">
        <f>'gen-detail'!B131</f>
        <v>9598</v>
      </c>
      <c r="D82" s="438">
        <f>'gen-detail'!C131</f>
        <v>20175</v>
      </c>
      <c r="E82" s="262">
        <f>'gen-detail'!D131</f>
        <v>23000</v>
      </c>
      <c r="G82" s="625" t="str">
        <f>CONCATENATE("",E1," Tot Exp/Non-Appr Must Be:")</f>
        <v>2013 Tot Exp/Non-Appr Must Be:</v>
      </c>
      <c r="H82" s="626"/>
      <c r="I82" s="627"/>
      <c r="J82" s="628">
        <f>IF(J80&gt;0,IF(E98&lt;E46,IF(J80=G93,E98,((J80-G93)*(1-D100))+E46),E98+(J80-G93)),0)</f>
        <v>0</v>
      </c>
    </row>
    <row r="83" spans="2:10" ht="15.75">
      <c r="B83" s="302" t="str">
        <f>'gen-detail'!A132</f>
        <v>Vehicle  </v>
      </c>
      <c r="C83" s="438">
        <f>'gen-detail'!B134</f>
        <v>25400</v>
      </c>
      <c r="D83" s="438">
        <f>'gen-detail'!C134</f>
        <v>26846</v>
      </c>
      <c r="E83" s="262">
        <f>'gen-detail'!D134</f>
        <v>32500</v>
      </c>
      <c r="G83" s="629" t="s">
        <v>812</v>
      </c>
      <c r="H83" s="630"/>
      <c r="I83" s="630"/>
      <c r="J83" s="631">
        <f>IF(J80&gt;0,J82-E98,0)</f>
        <v>0</v>
      </c>
    </row>
    <row r="84" spans="2:5" ht="15.75">
      <c r="B84" s="302" t="str">
        <f>'gen-detail'!A135</f>
        <v>Child Advocacy Group</v>
      </c>
      <c r="C84" s="438">
        <f>'gen-detail'!B137</f>
        <v>0</v>
      </c>
      <c r="D84" s="438">
        <f>'gen-detail'!C137</f>
        <v>1000</v>
      </c>
      <c r="E84" s="262">
        <f>'gen-detail'!D137</f>
        <v>1000</v>
      </c>
    </row>
    <row r="85" spans="2:10" ht="15.75">
      <c r="B85" s="302" t="str">
        <f>'gen-detail'!A138</f>
        <v>Public Health</v>
      </c>
      <c r="C85" s="438">
        <f>'gen-detail'!B140</f>
        <v>0</v>
      </c>
      <c r="D85" s="438">
        <f>'gen-detail'!C140</f>
        <v>0</v>
      </c>
      <c r="E85" s="262">
        <f>'gen-detail'!D140</f>
        <v>20000</v>
      </c>
      <c r="G85" s="765" t="str">
        <f>CONCATENATE("Projected Carryover Into ",E1+1,"")</f>
        <v>Projected Carryover Into 2014</v>
      </c>
      <c r="H85" s="766"/>
      <c r="I85" s="766"/>
      <c r="J85" s="767"/>
    </row>
    <row r="86" spans="2:10" ht="15.75">
      <c r="B86" s="302" t="str">
        <f>'gen-detail'!A141</f>
        <v>Transfer to:</v>
      </c>
      <c r="C86" s="438"/>
      <c r="D86" s="438"/>
      <c r="E86" s="262"/>
      <c r="G86" s="487"/>
      <c r="H86" s="486"/>
      <c r="I86" s="486"/>
      <c r="J86" s="488"/>
    </row>
    <row r="87" spans="2:10" ht="15.75">
      <c r="B87" s="302" t="str">
        <f>'gen-detail'!A142</f>
        <v>  Special Ambulance</v>
      </c>
      <c r="C87" s="438">
        <f>'gen-detail'!B143</f>
        <v>35000</v>
      </c>
      <c r="D87" s="438">
        <f>'gen-detail'!C143</f>
        <v>50000</v>
      </c>
      <c r="E87" s="262">
        <f>'gen-detail'!D143</f>
        <v>50000</v>
      </c>
      <c r="G87" s="473">
        <f>D95</f>
        <v>614334</v>
      </c>
      <c r="H87" s="471" t="str">
        <f>CONCATENATE("",E1-1," Ending Cash Balance (est.)")</f>
        <v>2012 Ending Cash Balance (est.)</v>
      </c>
      <c r="I87" s="470"/>
      <c r="J87" s="488"/>
    </row>
    <row r="88" spans="2:10" ht="15.75">
      <c r="B88" s="302"/>
      <c r="C88" s="438"/>
      <c r="D88" s="438"/>
      <c r="E88" s="262"/>
      <c r="G88" s="473">
        <f>E45</f>
        <v>665043</v>
      </c>
      <c r="H88" s="469" t="str">
        <f>CONCATENATE("",E1," Non-AV Receipts (est.)")</f>
        <v>2013 Non-AV Receipts (est.)</v>
      </c>
      <c r="I88" s="470"/>
      <c r="J88" s="488"/>
    </row>
    <row r="89" spans="2:10" ht="15.75">
      <c r="B89" s="313" t="s">
        <v>26</v>
      </c>
      <c r="C89" s="455">
        <f>SUM(C59:C88)</f>
        <v>2124610</v>
      </c>
      <c r="D89" s="455">
        <f>SUM(D59:D88)</f>
        <v>2283480</v>
      </c>
      <c r="E89" s="334">
        <f>SUM(E59:E88)</f>
        <v>3075398</v>
      </c>
      <c r="G89" s="468">
        <f>IF(E100&gt;0,E99,E101)</f>
        <v>1806006</v>
      </c>
      <c r="H89" s="469" t="str">
        <f>CONCATENATE("",E1," Ad Valorem Tax (est.)")</f>
        <v>2013 Ad Valorem Tax (est.)</v>
      </c>
      <c r="I89" s="470"/>
      <c r="J89" s="488"/>
    </row>
    <row r="90" spans="2:10" ht="15.75">
      <c r="B90" s="314"/>
      <c r="C90" s="434"/>
      <c r="D90" s="434"/>
      <c r="E90" s="109"/>
      <c r="G90" s="473">
        <f>SUM(G87:G89)</f>
        <v>3085383</v>
      </c>
      <c r="H90" s="469" t="str">
        <f>CONCATENATE("Total ",E1," Resources Available")</f>
        <v>Total 2013 Resources Available</v>
      </c>
      <c r="I90" s="470"/>
      <c r="J90" s="488"/>
    </row>
    <row r="91" spans="2:10" ht="15.75">
      <c r="B91" s="306" t="s">
        <v>70</v>
      </c>
      <c r="C91" s="434"/>
      <c r="D91" s="434"/>
      <c r="E91" s="117">
        <f>Nhood!$E6</f>
        <v>9985</v>
      </c>
      <c r="G91" s="467"/>
      <c r="H91" s="469"/>
      <c r="I91" s="469"/>
      <c r="J91" s="488"/>
    </row>
    <row r="92" spans="2:10" ht="15.75">
      <c r="B92" s="306" t="s">
        <v>69</v>
      </c>
      <c r="C92" s="434"/>
      <c r="D92" s="434"/>
      <c r="E92" s="109"/>
      <c r="G92" s="468">
        <f>C94*0.05+C94</f>
        <v>2230840.5</v>
      </c>
      <c r="H92" s="469" t="str">
        <f>CONCATENATE("Less ",E1-2," Expenditures + 5%")</f>
        <v>Less 2011 Expenditures + 5%</v>
      </c>
      <c r="I92" s="470"/>
      <c r="J92" s="488"/>
    </row>
    <row r="93" spans="2:10" ht="15.75">
      <c r="B93" s="306" t="s">
        <v>654</v>
      </c>
      <c r="C93" s="435">
        <f>IF(C94*0.1&lt;C92,"Exceed 10% Rule","")</f>
      </c>
      <c r="D93" s="435">
        <f>IF(D94*0.1&lt;D92,"Exceed 10% Rule","")</f>
      </c>
      <c r="E93" s="333">
        <f>IF(E94*0.1&lt;E92,"Exceed 10% Rule","")</f>
      </c>
      <c r="G93" s="466">
        <f>G90-G92</f>
        <v>854542.5</v>
      </c>
      <c r="H93" s="465" t="str">
        <f>CONCATENATE("Projected ",E1," Carryover (est.)")</f>
        <v>Projected 2013 Carryover (est.)</v>
      </c>
      <c r="I93" s="446"/>
      <c r="J93" s="445"/>
    </row>
    <row r="94" spans="2:10" ht="15.75">
      <c r="B94" s="308" t="s">
        <v>158</v>
      </c>
      <c r="C94" s="436">
        <f>SUM(C89:C92)</f>
        <v>2124610</v>
      </c>
      <c r="D94" s="436">
        <f>SUM(D89:D92)</f>
        <v>2283480</v>
      </c>
      <c r="E94" s="338">
        <f>SUM(E89:E92)</f>
        <v>3085383</v>
      </c>
      <c r="G94" s="483"/>
      <c r="H94" s="483"/>
      <c r="I94" s="483"/>
      <c r="J94" s="483"/>
    </row>
    <row r="95" spans="2:10" ht="15.75">
      <c r="B95" s="145" t="s">
        <v>263</v>
      </c>
      <c r="C95" s="439">
        <f>C46-C94</f>
        <v>748326</v>
      </c>
      <c r="D95" s="439">
        <f>D46-D94</f>
        <v>614334</v>
      </c>
      <c r="E95" s="217" t="s">
        <v>140</v>
      </c>
      <c r="G95" s="773" t="s">
        <v>813</v>
      </c>
      <c r="H95" s="774"/>
      <c r="I95" s="774"/>
      <c r="J95" s="775"/>
    </row>
    <row r="96" spans="2:10" ht="15.75">
      <c r="B96" s="284" t="str">
        <f>CONCATENATE("",E$1-2,"/",E$1-1," Budget Authority Amount:")</f>
        <v>2011/2012 Budget Authority Amount:</v>
      </c>
      <c r="C96" s="276">
        <f>inputOth!$B30</f>
        <v>2664981</v>
      </c>
      <c r="D96" s="276">
        <f>inputPrYr!$D16</f>
        <v>2650960</v>
      </c>
      <c r="E96" s="217" t="s">
        <v>140</v>
      </c>
      <c r="G96" s="633"/>
      <c r="H96" s="634"/>
      <c r="I96" s="635"/>
      <c r="J96" s="636"/>
    </row>
    <row r="97" spans="2:10" ht="15.75">
      <c r="B97" s="284"/>
      <c r="C97" s="761" t="s">
        <v>657</v>
      </c>
      <c r="D97" s="762"/>
      <c r="E97" s="109"/>
      <c r="G97" s="637">
        <f>summ!H16</f>
        <v>42.228</v>
      </c>
      <c r="H97" s="634" t="str">
        <f>CONCATENATE("",E1," Fund Mill Rate")</f>
        <v>2013 Fund Mill Rate</v>
      </c>
      <c r="I97" s="635"/>
      <c r="J97" s="636"/>
    </row>
    <row r="98" spans="2:10" ht="15.75">
      <c r="B98" s="476" t="str">
        <f>CONCATENATE(C113,"     ",D113)</f>
        <v>     </v>
      </c>
      <c r="C98" s="763" t="s">
        <v>658</v>
      </c>
      <c r="D98" s="764"/>
      <c r="E98" s="262">
        <f>E94+E97</f>
        <v>3085383</v>
      </c>
      <c r="G98" s="638">
        <f>summ!E16</f>
        <v>34.262</v>
      </c>
      <c r="H98" s="634" t="str">
        <f>CONCATENATE("",E1-1," Fund Mill Rate")</f>
        <v>2012 Fund Mill Rate</v>
      </c>
      <c r="I98" s="635"/>
      <c r="J98" s="636"/>
    </row>
    <row r="99" spans="2:10" ht="15.75">
      <c r="B99" s="476" t="str">
        <f>CONCATENATE(C114,"     ",D114)</f>
        <v>     </v>
      </c>
      <c r="C99" s="317"/>
      <c r="D99" s="236" t="s">
        <v>159</v>
      </c>
      <c r="E99" s="117">
        <f>IF(E98-E46&gt;0,E98-E46,0)</f>
        <v>1806006</v>
      </c>
      <c r="G99" s="639">
        <f>summ!H39</f>
        <v>94.09</v>
      </c>
      <c r="H99" s="634" t="str">
        <f>CONCATENATE("Total ",E1," Mill Rate")</f>
        <v>Total 2013 Mill Rate</v>
      </c>
      <c r="I99" s="635"/>
      <c r="J99" s="636"/>
    </row>
    <row r="100" spans="2:10" ht="15.75">
      <c r="B100" s="284"/>
      <c r="C100" s="474" t="s">
        <v>659</v>
      </c>
      <c r="D100" s="617">
        <f>inputOth!$E$23</f>
        <v>0.01</v>
      </c>
      <c r="E100" s="262">
        <f>IF(D100&gt;0,(E99*D100),0)</f>
        <v>18060.06</v>
      </c>
      <c r="F100" s="316"/>
      <c r="G100" s="638">
        <f>summ!E39</f>
        <v>83.04799999999999</v>
      </c>
      <c r="H100" s="640" t="str">
        <f>CONCATENATE("Total ",E1-1," Mill Rate")</f>
        <v>Total 2012 Mill Rate</v>
      </c>
      <c r="I100" s="641"/>
      <c r="J100" s="642"/>
    </row>
    <row r="101" spans="2:11" ht="15.75">
      <c r="B101" s="82"/>
      <c r="C101" s="768" t="str">
        <f>CONCATENATE("Amount of  ",$E$1-1," Ad Valorem Tax")</f>
        <v>Amount of  2012 Ad Valorem Tax</v>
      </c>
      <c r="D101" s="769"/>
      <c r="E101" s="334">
        <f>E99+E100</f>
        <v>1824066.06</v>
      </c>
      <c r="F101" s="472">
        <f>IF(E94/0.95-E94&lt;E97,"Exceeds 5%","")</f>
      </c>
      <c r="G101" s="671"/>
      <c r="H101" s="489"/>
      <c r="I101" s="669"/>
      <c r="J101" s="670"/>
      <c r="K101" s="632" t="str">
        <f>IF(G89=E101,"","Note: Does not include Delinquent Taxes")</f>
        <v>Note: Does not include Delinquent Taxes</v>
      </c>
    </row>
    <row r="102" spans="2:11" ht="9.75" customHeight="1">
      <c r="B102" s="82"/>
      <c r="C102" s="82"/>
      <c r="D102" s="82"/>
      <c r="E102" s="82"/>
      <c r="F102" s="472"/>
      <c r="G102" s="671"/>
      <c r="H102" s="489"/>
      <c r="I102" s="669"/>
      <c r="J102" s="670"/>
      <c r="K102" s="632"/>
    </row>
    <row r="103" spans="2:5" ht="15.75">
      <c r="B103" s="760" t="s">
        <v>273</v>
      </c>
      <c r="C103" s="760"/>
      <c r="D103" s="760"/>
      <c r="E103" s="760"/>
    </row>
    <row r="113" spans="3:4" ht="15.75">
      <c r="C113" s="69">
        <f>IF(C94&gt;C96,"See Tab A","")</f>
      </c>
      <c r="D113" s="69">
        <f>IF(D94&gt;D96,"See Tab C","")</f>
      </c>
    </row>
    <row r="114" spans="3:4" ht="15.75">
      <c r="C114" s="69">
        <f>IF(C95&lt;0,"See Tab B","")</f>
      </c>
      <c r="D114" s="69">
        <f>IF(D95&lt;0,"See Tab D","")</f>
      </c>
    </row>
    <row r="117" ht="15.75" hidden="1"/>
    <row r="118" ht="15.75" hidden="1"/>
  </sheetData>
  <sheetProtection/>
  <mergeCells count="8">
    <mergeCell ref="B103:E103"/>
    <mergeCell ref="C97:D97"/>
    <mergeCell ref="C98:D98"/>
    <mergeCell ref="G85:J85"/>
    <mergeCell ref="B51:E51"/>
    <mergeCell ref="C101:D101"/>
    <mergeCell ref="G78:J78"/>
    <mergeCell ref="G95:J95"/>
  </mergeCells>
  <conditionalFormatting sqref="E92">
    <cfRule type="cellIs" priority="2" dxfId="175" operator="greaterThan" stopIfTrue="1">
      <formula>$E$94*0.1</formula>
    </cfRule>
  </conditionalFormatting>
  <conditionalFormatting sqref="E97">
    <cfRule type="cellIs" priority="3" dxfId="175" operator="greaterThan" stopIfTrue="1">
      <formula>$E$94/0.95-$E$94</formula>
    </cfRule>
  </conditionalFormatting>
  <conditionalFormatting sqref="D92">
    <cfRule type="cellIs" priority="4" dxfId="1" operator="greaterThan" stopIfTrue="1">
      <formula>$D$94*0.1</formula>
    </cfRule>
  </conditionalFormatting>
  <conditionalFormatting sqref="C92">
    <cfRule type="cellIs" priority="5" dxfId="1" operator="greaterThan" stopIfTrue="1">
      <formula>$C$94*0.1</formula>
    </cfRule>
  </conditionalFormatting>
  <conditionalFormatting sqref="C95">
    <cfRule type="cellIs" priority="6" dxfId="1" operator="lessThan" stopIfTrue="1">
      <formula>0</formula>
    </cfRule>
  </conditionalFormatting>
  <conditionalFormatting sqref="D94">
    <cfRule type="cellIs" priority="7" dxfId="1" operator="greaterThan" stopIfTrue="1">
      <formula>$D$96</formula>
    </cfRule>
  </conditionalFormatting>
  <conditionalFormatting sqref="C94">
    <cfRule type="cellIs" priority="8" dxfId="1" operator="greaterThan" stopIfTrue="1">
      <formula>$C$96</formula>
    </cfRule>
  </conditionalFormatting>
  <conditionalFormatting sqref="D95">
    <cfRule type="cellIs" priority="1" dxfId="0" operator="lessThan" stopIfTrue="1">
      <formula>0</formula>
    </cfRule>
  </conditionalFormatting>
  <printOptions/>
  <pageMargins left="0.72" right="0.5" top="0.81" bottom="0.36" header="0.5" footer="0"/>
  <pageSetup blackAndWhite="1" fitToHeight="2" horizontalDpi="120" verticalDpi="120" orientation="portrait" scale="88" r:id="rId1"/>
  <headerFooter alignWithMargins="0">
    <oddHeader>&amp;RState of Kansas
County
</oddHeader>
  </headerFooter>
  <rowBreaks count="1" manualBreakCount="1">
    <brk id="51" max="255" man="1"/>
  </rowBreaks>
  <colBreaks count="1" manualBreakCount="1">
    <brk id="5" max="65535" man="1"/>
  </colBreaks>
</worksheet>
</file>

<file path=xl/worksheets/sheet14.xml><?xml version="1.0" encoding="utf-8"?>
<worksheet xmlns="http://schemas.openxmlformats.org/spreadsheetml/2006/main" xmlns:r="http://schemas.openxmlformats.org/officeDocument/2006/relationships">
  <dimension ref="A1:D268"/>
  <sheetViews>
    <sheetView zoomScalePageLayoutView="0" workbookViewId="0" topLeftCell="A1">
      <selection activeCell="B159" sqref="B159"/>
    </sheetView>
  </sheetViews>
  <sheetFormatPr defaultColWidth="8.796875" defaultRowHeight="15"/>
  <cols>
    <col min="1" max="1" width="30.8984375" style="69" customWidth="1"/>
    <col min="2" max="3" width="15.796875" style="69" customWidth="1"/>
    <col min="4" max="4" width="16.09765625" style="69" customWidth="1"/>
    <col min="5" max="16384" width="8.8984375" style="69" customWidth="1"/>
  </cols>
  <sheetData>
    <row r="1" spans="1:4" ht="15.75">
      <c r="A1" s="224" t="str">
        <f>inputPrYr!C2</f>
        <v>Sheridan County</v>
      </c>
      <c r="B1" s="82"/>
      <c r="C1" s="298"/>
      <c r="D1" s="82">
        <f>inputPrYr!C4</f>
        <v>2013</v>
      </c>
    </row>
    <row r="2" spans="1:4" ht="15.75">
      <c r="A2" s="82"/>
      <c r="B2" s="82"/>
      <c r="C2" s="82"/>
      <c r="D2" s="298"/>
    </row>
    <row r="3" spans="1:4" ht="15.75">
      <c r="A3" s="149" t="s">
        <v>221</v>
      </c>
      <c r="B3" s="311"/>
      <c r="C3" s="311"/>
      <c r="D3" s="311"/>
    </row>
    <row r="4" spans="1:4" ht="15.75">
      <c r="A4" s="298" t="s">
        <v>153</v>
      </c>
      <c r="B4" s="666" t="s">
        <v>814</v>
      </c>
      <c r="C4" s="667" t="s">
        <v>815</v>
      </c>
      <c r="D4" s="211" t="s">
        <v>816</v>
      </c>
    </row>
    <row r="5" spans="1:4" ht="15.75">
      <c r="A5" s="452" t="s">
        <v>656</v>
      </c>
      <c r="B5" s="437" t="str">
        <f>CONCATENATE("Actual for ",D1-2,"")</f>
        <v>Actual for 2011</v>
      </c>
      <c r="C5" s="437" t="str">
        <f>CONCATENATE("Estimate for ",D1-1,"")</f>
        <v>Estimate for 2012</v>
      </c>
      <c r="D5" s="299" t="str">
        <f>CONCATENATE("Year for ",D1,"")</f>
        <v>Year for 2013</v>
      </c>
    </row>
    <row r="6" spans="1:4" ht="15.75">
      <c r="A6" s="259" t="s">
        <v>157</v>
      </c>
      <c r="B6" s="124"/>
      <c r="C6" s="124"/>
      <c r="D6" s="124"/>
    </row>
    <row r="7" spans="1:4" ht="15.75">
      <c r="A7" s="320" t="s">
        <v>162</v>
      </c>
      <c r="B7" s="124"/>
      <c r="C7" s="124"/>
      <c r="D7" s="124"/>
    </row>
    <row r="8" spans="1:4" ht="15.75">
      <c r="A8" s="107" t="s">
        <v>947</v>
      </c>
      <c r="B8" s="303">
        <v>37220</v>
      </c>
      <c r="C8" s="303">
        <v>40000</v>
      </c>
      <c r="D8" s="303">
        <v>50000</v>
      </c>
    </row>
    <row r="9" spans="1:4" ht="15.75">
      <c r="A9" s="107" t="s">
        <v>948</v>
      </c>
      <c r="B9" s="303">
        <v>60855</v>
      </c>
      <c r="C9" s="303">
        <v>65500</v>
      </c>
      <c r="D9" s="303">
        <v>69000</v>
      </c>
    </row>
    <row r="10" spans="1:4" ht="15.75">
      <c r="A10" s="107" t="s">
        <v>949</v>
      </c>
      <c r="B10" s="303">
        <v>6367</v>
      </c>
      <c r="C10" s="303">
        <v>8500</v>
      </c>
      <c r="D10" s="303">
        <v>12000</v>
      </c>
    </row>
    <row r="11" spans="1:4" ht="15.75">
      <c r="A11" s="107" t="s">
        <v>950</v>
      </c>
      <c r="B11" s="303">
        <v>47590</v>
      </c>
      <c r="C11" s="303">
        <v>40000</v>
      </c>
      <c r="D11" s="303">
        <v>52500</v>
      </c>
    </row>
    <row r="12" spans="1:4" ht="15.75">
      <c r="A12" s="107" t="s">
        <v>951</v>
      </c>
      <c r="B12" s="303"/>
      <c r="C12" s="303"/>
      <c r="D12" s="303"/>
    </row>
    <row r="13" spans="1:4" ht="15.75">
      <c r="A13" s="107" t="s">
        <v>952</v>
      </c>
      <c r="B13" s="303">
        <v>16300</v>
      </c>
      <c r="C13" s="303">
        <v>16750</v>
      </c>
      <c r="D13" s="303">
        <v>16750</v>
      </c>
    </row>
    <row r="14" spans="1:4" ht="15.75">
      <c r="A14" s="107" t="s">
        <v>953</v>
      </c>
      <c r="B14" s="303">
        <v>62247</v>
      </c>
      <c r="C14" s="303">
        <v>40000</v>
      </c>
      <c r="D14" s="303">
        <v>75000</v>
      </c>
    </row>
    <row r="15" spans="1:4" ht="15.75">
      <c r="A15" s="107" t="s">
        <v>1045</v>
      </c>
      <c r="B15" s="303">
        <v>89743</v>
      </c>
      <c r="C15" s="303">
        <v>125000</v>
      </c>
      <c r="D15" s="303">
        <v>470848</v>
      </c>
    </row>
    <row r="16" spans="1:4" ht="15.75">
      <c r="A16" s="107" t="s">
        <v>954</v>
      </c>
      <c r="B16" s="303">
        <v>6108</v>
      </c>
      <c r="C16" s="303">
        <v>12000</v>
      </c>
      <c r="D16" s="303">
        <v>17500</v>
      </c>
    </row>
    <row r="17" spans="1:4" ht="15.75">
      <c r="A17" s="298" t="s">
        <v>124</v>
      </c>
      <c r="B17" s="321">
        <f>SUM(B8:B16)</f>
        <v>326430</v>
      </c>
      <c r="C17" s="321">
        <f>SUM(C8:C16)</f>
        <v>347750</v>
      </c>
      <c r="D17" s="321">
        <f>SUM(D8:D16)</f>
        <v>763598</v>
      </c>
    </row>
    <row r="18" spans="1:4" ht="15.75">
      <c r="A18" s="320" t="s">
        <v>955</v>
      </c>
      <c r="B18" s="124"/>
      <c r="C18" s="124"/>
      <c r="D18" s="124"/>
    </row>
    <row r="19" spans="1:4" ht="15.75">
      <c r="A19" s="107" t="s">
        <v>956</v>
      </c>
      <c r="B19" s="303">
        <v>18669</v>
      </c>
      <c r="C19" s="303">
        <v>22011</v>
      </c>
      <c r="D19" s="303">
        <v>21598</v>
      </c>
    </row>
    <row r="20" spans="1:4" ht="15.75">
      <c r="A20" s="107" t="s">
        <v>957</v>
      </c>
      <c r="B20" s="303"/>
      <c r="C20" s="303"/>
      <c r="D20" s="303">
        <v>10000</v>
      </c>
    </row>
    <row r="21" spans="1:4" ht="15.75">
      <c r="A21" s="107" t="s">
        <v>958</v>
      </c>
      <c r="B21" s="303">
        <v>72500</v>
      </c>
      <c r="C21" s="303"/>
      <c r="D21" s="303"/>
    </row>
    <row r="22" spans="1:4" ht="15.75">
      <c r="A22" s="107" t="s">
        <v>959</v>
      </c>
      <c r="B22" s="303">
        <v>36500</v>
      </c>
      <c r="C22" s="303">
        <v>36500</v>
      </c>
      <c r="D22" s="303">
        <v>36500</v>
      </c>
    </row>
    <row r="23" spans="1:4" ht="15.75">
      <c r="A23" s="107" t="s">
        <v>960</v>
      </c>
      <c r="B23" s="303">
        <v>19000</v>
      </c>
      <c r="C23" s="303">
        <v>20000</v>
      </c>
      <c r="D23" s="303">
        <v>20000</v>
      </c>
    </row>
    <row r="24" spans="1:4" ht="15.75">
      <c r="A24" s="107" t="s">
        <v>961</v>
      </c>
      <c r="B24" s="303">
        <v>15000</v>
      </c>
      <c r="C24" s="303">
        <v>15000</v>
      </c>
      <c r="D24" s="303">
        <v>15000</v>
      </c>
    </row>
    <row r="25" spans="1:4" ht="15.75">
      <c r="A25" s="298" t="s">
        <v>124</v>
      </c>
      <c r="B25" s="321">
        <f>SUM(B19:B24)</f>
        <v>161669</v>
      </c>
      <c r="C25" s="321">
        <f>SUM(C19:C24)</f>
        <v>93511</v>
      </c>
      <c r="D25" s="321">
        <f>SUM(D19:D24)</f>
        <v>103098</v>
      </c>
    </row>
    <row r="26" spans="1:4" ht="15.75">
      <c r="A26" s="320" t="s">
        <v>164</v>
      </c>
      <c r="B26" s="124"/>
      <c r="C26" s="124"/>
      <c r="D26" s="124"/>
    </row>
    <row r="27" spans="1:4" ht="15.75">
      <c r="A27" s="107" t="s">
        <v>962</v>
      </c>
      <c r="B27" s="303">
        <v>133740</v>
      </c>
      <c r="C27" s="303">
        <v>152900</v>
      </c>
      <c r="D27" s="303">
        <v>200000</v>
      </c>
    </row>
    <row r="28" spans="1:4" ht="15.75">
      <c r="A28" s="107" t="s">
        <v>963</v>
      </c>
      <c r="B28" s="303">
        <v>1532</v>
      </c>
      <c r="C28" s="303">
        <v>6500</v>
      </c>
      <c r="D28" s="303">
        <v>6500</v>
      </c>
    </row>
    <row r="29" spans="1:4" ht="15.75">
      <c r="A29" s="107" t="s">
        <v>964</v>
      </c>
      <c r="B29" s="303">
        <v>4268</v>
      </c>
      <c r="C29" s="303">
        <v>2500</v>
      </c>
      <c r="D29" s="303">
        <v>3500</v>
      </c>
    </row>
    <row r="30" spans="1:4" ht="15.75">
      <c r="A30" s="107" t="s">
        <v>965</v>
      </c>
      <c r="B30" s="303"/>
      <c r="C30" s="303"/>
      <c r="D30" s="303">
        <v>22000</v>
      </c>
    </row>
    <row r="31" spans="1:4" ht="15.75">
      <c r="A31" s="107" t="s">
        <v>966</v>
      </c>
      <c r="B31" s="303">
        <v>26051</v>
      </c>
      <c r="C31" s="303">
        <v>31182</v>
      </c>
      <c r="D31" s="303">
        <v>33000</v>
      </c>
    </row>
    <row r="32" spans="1:4" ht="15.75">
      <c r="A32" s="107" t="s">
        <v>163</v>
      </c>
      <c r="B32" s="303"/>
      <c r="C32" s="303"/>
      <c r="D32" s="303">
        <v>22600</v>
      </c>
    </row>
    <row r="33" spans="1:4" ht="15.75">
      <c r="A33" s="298" t="s">
        <v>124</v>
      </c>
      <c r="B33" s="321">
        <f>SUM(B27:B32)</f>
        <v>165591</v>
      </c>
      <c r="C33" s="321">
        <f>SUM(C27:C32)</f>
        <v>193082</v>
      </c>
      <c r="D33" s="321">
        <f>SUM(D27:D32)</f>
        <v>287600</v>
      </c>
    </row>
    <row r="34" spans="1:4" ht="15.75">
      <c r="A34" s="320" t="s">
        <v>967</v>
      </c>
      <c r="B34" s="124"/>
      <c r="C34" s="124"/>
      <c r="D34" s="124"/>
    </row>
    <row r="35" spans="1:4" ht="15.75">
      <c r="A35" s="107" t="s">
        <v>962</v>
      </c>
      <c r="B35" s="303">
        <v>85724</v>
      </c>
      <c r="C35" s="303">
        <v>88000</v>
      </c>
      <c r="D35" s="303">
        <v>98000</v>
      </c>
    </row>
    <row r="36" spans="1:4" ht="15.75">
      <c r="A36" s="107" t="s">
        <v>966</v>
      </c>
      <c r="B36" s="303">
        <v>9350</v>
      </c>
      <c r="C36" s="303">
        <v>10000</v>
      </c>
      <c r="D36" s="303">
        <v>18300</v>
      </c>
    </row>
    <row r="37" spans="1:4" ht="15.75">
      <c r="A37" s="298" t="s">
        <v>124</v>
      </c>
      <c r="B37" s="321">
        <f>SUM(B35:B36)</f>
        <v>95074</v>
      </c>
      <c r="C37" s="321">
        <f>SUM(C35:C36)</f>
        <v>98000</v>
      </c>
      <c r="D37" s="321">
        <f>SUM(D35:D36)</f>
        <v>116300</v>
      </c>
    </row>
    <row r="38" spans="1:4" ht="15.75">
      <c r="A38" s="320" t="s">
        <v>968</v>
      </c>
      <c r="B38" s="124"/>
      <c r="C38" s="124"/>
      <c r="D38" s="124"/>
    </row>
    <row r="39" spans="1:4" ht="15.75">
      <c r="A39" s="107" t="s">
        <v>962</v>
      </c>
      <c r="B39" s="303">
        <v>36483</v>
      </c>
      <c r="C39" s="303">
        <v>45000</v>
      </c>
      <c r="D39" s="303">
        <v>45000</v>
      </c>
    </row>
    <row r="40" spans="1:4" ht="15.75">
      <c r="A40" s="107" t="s">
        <v>966</v>
      </c>
      <c r="B40" s="303">
        <v>3210</v>
      </c>
      <c r="C40" s="303">
        <v>4700</v>
      </c>
      <c r="D40" s="303">
        <v>5000</v>
      </c>
    </row>
    <row r="41" spans="1:4" ht="15.75">
      <c r="A41" s="298" t="s">
        <v>124</v>
      </c>
      <c r="B41" s="321">
        <f>SUM(B39:B40)</f>
        <v>39693</v>
      </c>
      <c r="C41" s="321">
        <f>SUM(C39:C40)</f>
        <v>49700</v>
      </c>
      <c r="D41" s="321">
        <f>SUM(D39:D40)</f>
        <v>50000</v>
      </c>
    </row>
    <row r="42" spans="1:4" ht="15.75">
      <c r="A42" s="320" t="s">
        <v>143</v>
      </c>
      <c r="B42" s="124"/>
      <c r="C42" s="124"/>
      <c r="D42" s="124"/>
    </row>
    <row r="43" spans="1:4" ht="15.75">
      <c r="A43" s="107" t="s">
        <v>962</v>
      </c>
      <c r="B43" s="303">
        <v>61798</v>
      </c>
      <c r="C43" s="303">
        <v>75000</v>
      </c>
      <c r="D43" s="303">
        <v>109000</v>
      </c>
    </row>
    <row r="44" spans="1:4" ht="15.75">
      <c r="A44" s="107" t="s">
        <v>966</v>
      </c>
      <c r="B44" s="303">
        <v>1718</v>
      </c>
      <c r="C44" s="303">
        <v>3500</v>
      </c>
      <c r="D44" s="303">
        <v>5000</v>
      </c>
    </row>
    <row r="45" spans="1:4" ht="15.75">
      <c r="A45" s="298" t="s">
        <v>124</v>
      </c>
      <c r="B45" s="321">
        <f>SUM(B43:B44)</f>
        <v>63516</v>
      </c>
      <c r="C45" s="321">
        <f>SUM(C43:C44)</f>
        <v>78500</v>
      </c>
      <c r="D45" s="321">
        <f>SUM(D43:D44)</f>
        <v>114000</v>
      </c>
    </row>
    <row r="46" spans="1:4" ht="15.75">
      <c r="A46" s="320" t="s">
        <v>969</v>
      </c>
      <c r="B46" s="124"/>
      <c r="C46" s="124"/>
      <c r="D46" s="124"/>
    </row>
    <row r="47" spans="1:4" ht="15.75">
      <c r="A47" s="107" t="s">
        <v>962</v>
      </c>
      <c r="B47" s="303">
        <v>34046</v>
      </c>
      <c r="C47" s="303">
        <v>57600</v>
      </c>
      <c r="D47" s="303">
        <v>57600</v>
      </c>
    </row>
    <row r="48" spans="1:4" ht="15.75">
      <c r="A48" s="107" t="s">
        <v>966</v>
      </c>
      <c r="B48" s="303">
        <v>2164</v>
      </c>
      <c r="C48" s="303">
        <v>2500</v>
      </c>
      <c r="D48" s="303">
        <v>5000</v>
      </c>
    </row>
    <row r="49" spans="1:4" ht="15.75">
      <c r="A49" s="298" t="s">
        <v>124</v>
      </c>
      <c r="B49" s="321">
        <f>SUM(B47:B48)</f>
        <v>36210</v>
      </c>
      <c r="C49" s="321">
        <f>SUM(C47:C48)</f>
        <v>60100</v>
      </c>
      <c r="D49" s="321">
        <f>SUM(D47:D48)</f>
        <v>62600</v>
      </c>
    </row>
    <row r="50" spans="1:4" ht="15.75">
      <c r="A50" s="82"/>
      <c r="B50" s="124"/>
      <c r="C50" s="124"/>
      <c r="D50" s="124"/>
    </row>
    <row r="51" spans="1:4" ht="15.75">
      <c r="A51" s="298" t="s">
        <v>288</v>
      </c>
      <c r="B51" s="309">
        <f>B17+B25+B33+B37+B41+B45+B49</f>
        <v>888183</v>
      </c>
      <c r="C51" s="309">
        <f>C17+C25+C33+C37+C41+C45+C49</f>
        <v>920643</v>
      </c>
      <c r="D51" s="309">
        <f>D17+D25+D33+D37+D41+D45+D49</f>
        <v>1497196</v>
      </c>
    </row>
    <row r="52" spans="1:4" ht="15.75">
      <c r="A52" s="82"/>
      <c r="B52" s="224"/>
      <c r="C52" s="224"/>
      <c r="D52" s="224"/>
    </row>
    <row r="53" spans="1:4" ht="15.75">
      <c r="A53" s="82"/>
      <c r="B53" s="224"/>
      <c r="C53" s="224"/>
      <c r="D53" s="224"/>
    </row>
    <row r="54" spans="1:4" ht="15.75">
      <c r="A54" s="82"/>
      <c r="B54" s="224"/>
      <c r="C54" s="224"/>
      <c r="D54" s="224"/>
    </row>
    <row r="55" spans="1:4" ht="15.75">
      <c r="A55" s="776" t="s">
        <v>274</v>
      </c>
      <c r="B55" s="776"/>
      <c r="C55" s="776"/>
      <c r="D55" s="776"/>
    </row>
    <row r="56" spans="1:4" ht="15.75">
      <c r="A56" s="82"/>
      <c r="B56" s="224"/>
      <c r="C56" s="224"/>
      <c r="D56" s="224"/>
    </row>
    <row r="57" spans="1:4" ht="15.75">
      <c r="A57" s="224" t="str">
        <f>inputPrYr!C2</f>
        <v>Sheridan County</v>
      </c>
      <c r="B57" s="224"/>
      <c r="C57" s="81"/>
      <c r="D57" s="322">
        <f>D1</f>
        <v>2013</v>
      </c>
    </row>
    <row r="58" spans="1:4" ht="15.75">
      <c r="A58" s="82"/>
      <c r="B58" s="224"/>
      <c r="C58" s="224"/>
      <c r="D58" s="81"/>
    </row>
    <row r="59" spans="1:4" ht="15.75">
      <c r="A59" s="310" t="s">
        <v>220</v>
      </c>
      <c r="B59" s="323"/>
      <c r="C59" s="323"/>
      <c r="D59" s="323"/>
    </row>
    <row r="60" spans="1:4" ht="15.75">
      <c r="A60" s="82" t="s">
        <v>153</v>
      </c>
      <c r="B60" s="319" t="str">
        <f aca="true" t="shared" si="0" ref="B60:D61">B4</f>
        <v>Prior Year </v>
      </c>
      <c r="C60" s="211" t="str">
        <f t="shared" si="0"/>
        <v>Current Year </v>
      </c>
      <c r="D60" s="211" t="str">
        <f t="shared" si="0"/>
        <v>Proposed Budget </v>
      </c>
    </row>
    <row r="61" spans="1:4" ht="15.75">
      <c r="A61" s="111" t="s">
        <v>161</v>
      </c>
      <c r="B61" s="312" t="str">
        <f t="shared" si="0"/>
        <v>Actual for 2011</v>
      </c>
      <c r="C61" s="312" t="str">
        <f t="shared" si="0"/>
        <v>Estimate for 2012</v>
      </c>
      <c r="D61" s="312" t="str">
        <f t="shared" si="0"/>
        <v>Year for 2013</v>
      </c>
    </row>
    <row r="62" spans="1:4" ht="15.75">
      <c r="A62" s="298" t="s">
        <v>157</v>
      </c>
      <c r="B62" s="124"/>
      <c r="C62" s="124"/>
      <c r="D62" s="124"/>
    </row>
    <row r="63" spans="1:4" ht="15.75">
      <c r="A63" s="320" t="s">
        <v>970</v>
      </c>
      <c r="B63" s="124"/>
      <c r="C63" s="124"/>
      <c r="D63" s="124"/>
    </row>
    <row r="64" spans="1:4" ht="15.75">
      <c r="A64" s="107" t="s">
        <v>962</v>
      </c>
      <c r="B64" s="303">
        <v>41719</v>
      </c>
      <c r="C64" s="303">
        <v>55000</v>
      </c>
      <c r="D64" s="303">
        <v>60000</v>
      </c>
    </row>
    <row r="65" spans="1:4" ht="15.75">
      <c r="A65" s="107" t="s">
        <v>966</v>
      </c>
      <c r="B65" s="303">
        <v>3070</v>
      </c>
      <c r="C65" s="303">
        <v>3000</v>
      </c>
      <c r="D65" s="303">
        <v>8000</v>
      </c>
    </row>
    <row r="66" spans="1:4" ht="15.75">
      <c r="A66" s="324" t="s">
        <v>124</v>
      </c>
      <c r="B66" s="321">
        <f>SUM(B64:B65)</f>
        <v>44789</v>
      </c>
      <c r="C66" s="321">
        <f>SUM(C64:C65)</f>
        <v>58000</v>
      </c>
      <c r="D66" s="321">
        <f>SUM(D64:D65)</f>
        <v>68000</v>
      </c>
    </row>
    <row r="67" spans="1:4" ht="15.75">
      <c r="A67" s="320" t="s">
        <v>971</v>
      </c>
      <c r="B67" s="124"/>
      <c r="C67" s="124"/>
      <c r="D67" s="124"/>
    </row>
    <row r="68" spans="1:4" ht="15.75">
      <c r="A68" s="107" t="s">
        <v>962</v>
      </c>
      <c r="B68" s="303">
        <v>95016</v>
      </c>
      <c r="C68" s="303">
        <v>108000</v>
      </c>
      <c r="D68" s="303">
        <v>108000</v>
      </c>
    </row>
    <row r="69" spans="1:4" ht="15.75">
      <c r="A69" s="107" t="s">
        <v>966</v>
      </c>
      <c r="B69" s="303">
        <v>31242</v>
      </c>
      <c r="C69" s="303">
        <v>35000</v>
      </c>
      <c r="D69" s="303">
        <v>39400</v>
      </c>
    </row>
    <row r="70" spans="1:4" ht="15.75">
      <c r="A70" s="298" t="s">
        <v>124</v>
      </c>
      <c r="B70" s="315">
        <f>SUM(B68:B69)</f>
        <v>126258</v>
      </c>
      <c r="C70" s="315">
        <f>SUM(C68:C69)</f>
        <v>143000</v>
      </c>
      <c r="D70" s="315">
        <f>SUM(D68:D69)</f>
        <v>147400</v>
      </c>
    </row>
    <row r="71" spans="1:4" ht="15.75">
      <c r="A71" s="320" t="s">
        <v>165</v>
      </c>
      <c r="B71" s="124"/>
      <c r="C71" s="124"/>
      <c r="D71" s="124"/>
    </row>
    <row r="72" spans="1:4" ht="15.75">
      <c r="A72" s="107" t="s">
        <v>962</v>
      </c>
      <c r="B72" s="303">
        <v>73703</v>
      </c>
      <c r="C72" s="303">
        <v>87436</v>
      </c>
      <c r="D72" s="303">
        <v>88000</v>
      </c>
    </row>
    <row r="73" spans="1:4" ht="15.75">
      <c r="A73" s="107" t="s">
        <v>966</v>
      </c>
      <c r="B73" s="303">
        <v>1346</v>
      </c>
      <c r="C73" s="303">
        <v>2500</v>
      </c>
      <c r="D73" s="303">
        <v>5000</v>
      </c>
    </row>
    <row r="74" spans="1:4" ht="15.75">
      <c r="A74" s="298" t="s">
        <v>124</v>
      </c>
      <c r="B74" s="315">
        <f>SUM(B72:B73)</f>
        <v>75049</v>
      </c>
      <c r="C74" s="315">
        <f>SUM(C72:C73)</f>
        <v>89936</v>
      </c>
      <c r="D74" s="315">
        <f>SUM(D72:D73)</f>
        <v>93000</v>
      </c>
    </row>
    <row r="75" spans="1:4" ht="15.75">
      <c r="A75" s="320" t="s">
        <v>972</v>
      </c>
      <c r="B75" s="124"/>
      <c r="C75" s="124"/>
      <c r="D75" s="124"/>
    </row>
    <row r="76" spans="1:4" ht="15.75">
      <c r="A76" s="107" t="s">
        <v>966</v>
      </c>
      <c r="B76" s="303">
        <v>2000</v>
      </c>
      <c r="C76" s="303">
        <v>2000</v>
      </c>
      <c r="D76" s="303">
        <v>2000</v>
      </c>
    </row>
    <row r="77" spans="1:4" ht="15.75">
      <c r="A77" s="298" t="s">
        <v>124</v>
      </c>
      <c r="B77" s="315">
        <f>SUM(B76:B76)</f>
        <v>2000</v>
      </c>
      <c r="C77" s="315">
        <f>SUM(C76:C76)</f>
        <v>2000</v>
      </c>
      <c r="D77" s="315">
        <f>SUM(D76:D76)</f>
        <v>2000</v>
      </c>
    </row>
    <row r="78" spans="1:4" ht="15.75">
      <c r="A78" s="320" t="s">
        <v>152</v>
      </c>
      <c r="B78" s="124"/>
      <c r="C78" s="124"/>
      <c r="D78" s="124"/>
    </row>
    <row r="79" spans="1:4" ht="15.75">
      <c r="A79" s="107" t="s">
        <v>966</v>
      </c>
      <c r="B79" s="303">
        <v>18401</v>
      </c>
      <c r="C79" s="303">
        <v>20000</v>
      </c>
      <c r="D79" s="303">
        <v>30302</v>
      </c>
    </row>
    <row r="80" spans="1:4" ht="15.75">
      <c r="A80" s="298" t="s">
        <v>124</v>
      </c>
      <c r="B80" s="315">
        <f>SUM(B79:B79)</f>
        <v>18401</v>
      </c>
      <c r="C80" s="315">
        <f>SUM(C79:C79)</f>
        <v>20000</v>
      </c>
      <c r="D80" s="315">
        <f>SUM(D79:D79)</f>
        <v>30302</v>
      </c>
    </row>
    <row r="81" spans="1:4" ht="15.75">
      <c r="A81" s="320" t="s">
        <v>167</v>
      </c>
      <c r="B81" s="124"/>
      <c r="C81" s="124"/>
      <c r="D81" s="124"/>
    </row>
    <row r="82" spans="1:4" ht="15.75">
      <c r="A82" s="107" t="s">
        <v>962</v>
      </c>
      <c r="B82" s="303">
        <v>1043</v>
      </c>
      <c r="C82" s="303">
        <v>12000</v>
      </c>
      <c r="D82" s="303">
        <v>2500</v>
      </c>
    </row>
    <row r="83" spans="1:4" ht="15.75">
      <c r="A83" s="107" t="s">
        <v>966</v>
      </c>
      <c r="B83" s="303">
        <v>5462</v>
      </c>
      <c r="C83" s="303">
        <v>6500</v>
      </c>
      <c r="D83" s="303">
        <v>6500</v>
      </c>
    </row>
    <row r="84" spans="1:4" ht="15.75">
      <c r="A84" s="298" t="s">
        <v>124</v>
      </c>
      <c r="B84" s="315">
        <f>SUM(B82:B83)</f>
        <v>6505</v>
      </c>
      <c r="C84" s="315">
        <f>SUM(C82:C83)</f>
        <v>18500</v>
      </c>
      <c r="D84" s="315">
        <f>SUM(D82:D83)</f>
        <v>9000</v>
      </c>
    </row>
    <row r="85" spans="1:4" ht="15.75">
      <c r="A85" s="320" t="s">
        <v>973</v>
      </c>
      <c r="B85" s="124"/>
      <c r="C85" s="124"/>
      <c r="D85" s="124"/>
    </row>
    <row r="86" spans="1:4" ht="15.75">
      <c r="A86" s="107" t="s">
        <v>962</v>
      </c>
      <c r="B86" s="303">
        <v>20159</v>
      </c>
      <c r="C86" s="303">
        <v>20000</v>
      </c>
      <c r="D86" s="303">
        <v>22000</v>
      </c>
    </row>
    <row r="87" spans="1:4" ht="15.75">
      <c r="A87" s="298" t="s">
        <v>124</v>
      </c>
      <c r="B87" s="315">
        <f>SUM(B86:B86)</f>
        <v>20159</v>
      </c>
      <c r="C87" s="315">
        <f>SUM(C86:C86)</f>
        <v>20000</v>
      </c>
      <c r="D87" s="315">
        <f>SUM(D86:D86)</f>
        <v>22000</v>
      </c>
    </row>
    <row r="88" spans="1:4" ht="15.75">
      <c r="A88" s="320" t="s">
        <v>974</v>
      </c>
      <c r="B88" s="124"/>
      <c r="C88" s="124"/>
      <c r="D88" s="124"/>
    </row>
    <row r="89" spans="1:4" ht="15.75">
      <c r="A89" s="107" t="s">
        <v>962</v>
      </c>
      <c r="B89" s="303">
        <v>102210</v>
      </c>
      <c r="C89" s="303">
        <v>106280</v>
      </c>
      <c r="D89" s="303">
        <v>108000</v>
      </c>
    </row>
    <row r="90" spans="1:4" ht="15.75">
      <c r="A90" s="298" t="s">
        <v>124</v>
      </c>
      <c r="B90" s="315">
        <f>SUM(B89:B89)</f>
        <v>102210</v>
      </c>
      <c r="C90" s="315">
        <f>SUM(C89:C89)</f>
        <v>106280</v>
      </c>
      <c r="D90" s="315">
        <f>SUM(D89:D89)</f>
        <v>108000</v>
      </c>
    </row>
    <row r="91" spans="1:4" ht="15.75">
      <c r="A91" s="320" t="s">
        <v>975</v>
      </c>
      <c r="B91" s="124"/>
      <c r="C91" s="124"/>
      <c r="D91" s="124"/>
    </row>
    <row r="92" spans="1:4" ht="15.75">
      <c r="A92" s="107" t="s">
        <v>966</v>
      </c>
      <c r="B92" s="303">
        <v>16041</v>
      </c>
      <c r="C92" s="303">
        <v>17600</v>
      </c>
      <c r="D92" s="303">
        <v>26000</v>
      </c>
    </row>
    <row r="93" spans="1:4" ht="15.75">
      <c r="A93" s="298" t="s">
        <v>124</v>
      </c>
      <c r="B93" s="315">
        <f>SUM(B92:B92)</f>
        <v>16041</v>
      </c>
      <c r="C93" s="315">
        <f>SUM(C92:C92)</f>
        <v>17600</v>
      </c>
      <c r="D93" s="315">
        <f>SUM(D92:D92)</f>
        <v>26000</v>
      </c>
    </row>
    <row r="94" spans="1:4" ht="15.75">
      <c r="A94" s="320" t="s">
        <v>168</v>
      </c>
      <c r="B94" s="124"/>
      <c r="C94" s="124"/>
      <c r="D94" s="124"/>
    </row>
    <row r="95" spans="1:4" ht="15.75">
      <c r="A95" s="107" t="s">
        <v>976</v>
      </c>
      <c r="B95" s="303">
        <v>102252</v>
      </c>
      <c r="C95" s="303">
        <v>108000</v>
      </c>
      <c r="D95" s="303">
        <v>115000</v>
      </c>
    </row>
    <row r="96" spans="1:4" ht="15.75">
      <c r="A96" s="107" t="s">
        <v>169</v>
      </c>
      <c r="B96" s="303">
        <v>503405</v>
      </c>
      <c r="C96" s="303">
        <v>514000</v>
      </c>
      <c r="D96" s="303">
        <v>575000</v>
      </c>
    </row>
    <row r="97" spans="1:4" ht="15.75">
      <c r="A97" s="107" t="s">
        <v>170</v>
      </c>
      <c r="B97" s="303">
        <v>88435</v>
      </c>
      <c r="C97" s="303">
        <v>102000</v>
      </c>
      <c r="D97" s="303">
        <v>110000</v>
      </c>
    </row>
    <row r="98" spans="1:4" ht="15.75">
      <c r="A98" s="107" t="s">
        <v>171</v>
      </c>
      <c r="B98" s="303">
        <v>45002</v>
      </c>
      <c r="C98" s="303">
        <v>50000</v>
      </c>
      <c r="D98" s="303">
        <v>60000</v>
      </c>
    </row>
    <row r="99" spans="1:4" ht="15.75">
      <c r="A99" s="107" t="s">
        <v>172</v>
      </c>
      <c r="B99" s="303">
        <v>1143</v>
      </c>
      <c r="C99" s="303">
        <v>1500</v>
      </c>
      <c r="D99" s="303">
        <v>2500</v>
      </c>
    </row>
    <row r="100" spans="1:4" ht="15.75">
      <c r="A100" s="298" t="s">
        <v>124</v>
      </c>
      <c r="B100" s="315">
        <f>SUM(B95:B99)</f>
        <v>740237</v>
      </c>
      <c r="C100" s="315">
        <f>SUM(C95:C99)</f>
        <v>775500</v>
      </c>
      <c r="D100" s="315">
        <f>SUM(D95:D99)</f>
        <v>862500</v>
      </c>
    </row>
    <row r="101" spans="1:4" ht="15.75">
      <c r="A101" s="320" t="s">
        <v>977</v>
      </c>
      <c r="B101" s="124"/>
      <c r="C101" s="124"/>
      <c r="D101" s="124"/>
    </row>
    <row r="102" spans="1:4" ht="15.75">
      <c r="A102" s="107" t="s">
        <v>966</v>
      </c>
      <c r="B102" s="303">
        <v>2312</v>
      </c>
      <c r="C102" s="303">
        <v>2500</v>
      </c>
      <c r="D102" s="303">
        <v>3500</v>
      </c>
    </row>
    <row r="103" spans="1:4" ht="15.75">
      <c r="A103" s="298" t="s">
        <v>124</v>
      </c>
      <c r="B103" s="315">
        <f>SUM(B102:B102)</f>
        <v>2312</v>
      </c>
      <c r="C103" s="315">
        <f>SUM(C102:C102)</f>
        <v>2500</v>
      </c>
      <c r="D103" s="315">
        <f>SUM(D102:D102)</f>
        <v>3500</v>
      </c>
    </row>
    <row r="104" spans="1:4" ht="15.75">
      <c r="A104" s="320" t="s">
        <v>978</v>
      </c>
      <c r="B104" s="124"/>
      <c r="C104" s="124"/>
      <c r="D104" s="124"/>
    </row>
    <row r="105" spans="1:4" ht="15.75">
      <c r="A105" s="107" t="s">
        <v>966</v>
      </c>
      <c r="B105" s="303">
        <v>4968</v>
      </c>
      <c r="C105" s="303">
        <v>7500</v>
      </c>
      <c r="D105" s="303">
        <v>10000</v>
      </c>
    </row>
    <row r="106" spans="1:4" ht="15.75">
      <c r="A106" s="298" t="s">
        <v>124</v>
      </c>
      <c r="B106" s="315">
        <f>SUM(B105:B105)</f>
        <v>4968</v>
      </c>
      <c r="C106" s="315">
        <f>SUM(C105:C105)</f>
        <v>7500</v>
      </c>
      <c r="D106" s="315">
        <f>SUM(D105:D105)</f>
        <v>10000</v>
      </c>
    </row>
    <row r="107" spans="1:4" ht="15.75">
      <c r="A107" s="82"/>
      <c r="B107" s="124"/>
      <c r="C107" s="124"/>
      <c r="D107" s="124"/>
    </row>
    <row r="108" spans="1:4" ht="15.75">
      <c r="A108" s="298" t="s">
        <v>289</v>
      </c>
      <c r="B108" s="309">
        <f>B66+B70+B74+B77+B80+B84+B87+B100+B90+B93+B103+B106</f>
        <v>1158929</v>
      </c>
      <c r="C108" s="309">
        <f>C66+C70+C74+C77+C80+C84+C87+C100+C90+C93+C103+C106</f>
        <v>1260816</v>
      </c>
      <c r="D108" s="309">
        <f>D66+D70+D74+D77+D80+D84+D87+D100+D90+D93+D103+D106</f>
        <v>1381702</v>
      </c>
    </row>
    <row r="109" spans="1:4" ht="15.75">
      <c r="A109" s="82"/>
      <c r="B109" s="224"/>
      <c r="C109" s="224"/>
      <c r="D109" s="224"/>
    </row>
    <row r="110" spans="1:4" ht="15.75">
      <c r="A110" s="776" t="s">
        <v>275</v>
      </c>
      <c r="B110" s="776"/>
      <c r="C110" s="776"/>
      <c r="D110" s="776"/>
    </row>
    <row r="111" spans="1:4" ht="15.75">
      <c r="A111" s="224" t="str">
        <f>inputPrYr!C2</f>
        <v>Sheridan County</v>
      </c>
      <c r="B111" s="224"/>
      <c r="C111" s="81"/>
      <c r="D111" s="322">
        <f>D1</f>
        <v>2013</v>
      </c>
    </row>
    <row r="112" spans="1:4" ht="15.75">
      <c r="A112" s="82"/>
      <c r="B112" s="224"/>
      <c r="C112" s="224"/>
      <c r="D112" s="81"/>
    </row>
    <row r="113" spans="1:4" ht="15.75">
      <c r="A113" s="310" t="s">
        <v>220</v>
      </c>
      <c r="B113" s="323"/>
      <c r="C113" s="323"/>
      <c r="D113" s="323"/>
    </row>
    <row r="114" spans="1:4" ht="15.75">
      <c r="A114" s="82" t="s">
        <v>153</v>
      </c>
      <c r="B114" s="319" t="str">
        <f aca="true" t="shared" si="1" ref="B114:D115">B4</f>
        <v>Prior Year </v>
      </c>
      <c r="C114" s="211" t="str">
        <f t="shared" si="1"/>
        <v>Current Year </v>
      </c>
      <c r="D114" s="211" t="str">
        <f t="shared" si="1"/>
        <v>Proposed Budget </v>
      </c>
    </row>
    <row r="115" spans="1:4" ht="15.75">
      <c r="A115" s="111" t="s">
        <v>161</v>
      </c>
      <c r="B115" s="312" t="str">
        <f t="shared" si="1"/>
        <v>Actual for 2011</v>
      </c>
      <c r="C115" s="312" t="str">
        <f t="shared" si="1"/>
        <v>Estimate for 2012</v>
      </c>
      <c r="D115" s="312" t="str">
        <f t="shared" si="1"/>
        <v>Year for 2013</v>
      </c>
    </row>
    <row r="116" spans="1:4" ht="15.75">
      <c r="A116" s="298" t="s">
        <v>157</v>
      </c>
      <c r="B116" s="124"/>
      <c r="C116" s="124"/>
      <c r="D116" s="124"/>
    </row>
    <row r="117" spans="1:4" ht="15.75">
      <c r="A117" s="320" t="s">
        <v>979</v>
      </c>
      <c r="B117" s="124"/>
      <c r="C117" s="124"/>
      <c r="D117" s="124"/>
    </row>
    <row r="118" spans="1:4" ht="15.75">
      <c r="A118" s="107" t="s">
        <v>966</v>
      </c>
      <c r="B118" s="303">
        <v>7500</v>
      </c>
      <c r="C118" s="303">
        <v>4000</v>
      </c>
      <c r="D118" s="303">
        <v>4000</v>
      </c>
    </row>
    <row r="119" spans="1:4" ht="15.75">
      <c r="A119" s="298" t="s">
        <v>124</v>
      </c>
      <c r="B119" s="315">
        <f>SUM(B118:B118)</f>
        <v>7500</v>
      </c>
      <c r="C119" s="315">
        <f>SUM(C118:C118)</f>
        <v>4000</v>
      </c>
      <c r="D119" s="315">
        <f>SUM(D118:D118)</f>
        <v>4000</v>
      </c>
    </row>
    <row r="120" spans="1:4" ht="15.75">
      <c r="A120" s="320" t="s">
        <v>175</v>
      </c>
      <c r="B120" s="124"/>
      <c r="C120" s="124"/>
      <c r="D120" s="124"/>
    </row>
    <row r="121" spans="1:4" ht="15.75">
      <c r="A121" s="107" t="s">
        <v>966</v>
      </c>
      <c r="B121" s="303"/>
      <c r="C121" s="303"/>
      <c r="D121" s="303">
        <v>65000</v>
      </c>
    </row>
    <row r="122" spans="1:4" ht="15.75">
      <c r="A122" s="298" t="s">
        <v>124</v>
      </c>
      <c r="B122" s="315">
        <f>SUM(B121:B121)</f>
        <v>0</v>
      </c>
      <c r="C122" s="315">
        <f>SUM(C121:C121)</f>
        <v>0</v>
      </c>
      <c r="D122" s="315">
        <f>SUM(D121:D121)</f>
        <v>65000</v>
      </c>
    </row>
    <row r="123" spans="1:4" ht="15.75">
      <c r="A123" s="320" t="s">
        <v>980</v>
      </c>
      <c r="B123" s="124"/>
      <c r="C123" s="124"/>
      <c r="D123" s="124"/>
    </row>
    <row r="124" spans="1:4" ht="15.75">
      <c r="A124" s="107" t="s">
        <v>966</v>
      </c>
      <c r="B124" s="303"/>
      <c r="C124" s="303"/>
      <c r="D124" s="303"/>
    </row>
    <row r="125" spans="1:4" ht="15.75">
      <c r="A125" s="298" t="s">
        <v>124</v>
      </c>
      <c r="B125" s="315">
        <f>SUM(B124:B124)</f>
        <v>0</v>
      </c>
      <c r="C125" s="315">
        <f>SUM(C124:C124)</f>
        <v>0</v>
      </c>
      <c r="D125" s="315">
        <f>SUM(D124:D124)</f>
        <v>0</v>
      </c>
    </row>
    <row r="126" spans="1:4" ht="15.75">
      <c r="A126" s="320" t="s">
        <v>981</v>
      </c>
      <c r="B126" s="124"/>
      <c r="C126" s="124"/>
      <c r="D126" s="124"/>
    </row>
    <row r="127" spans="1:4" ht="15.75">
      <c r="A127" s="107" t="s">
        <v>966</v>
      </c>
      <c r="B127" s="303"/>
      <c r="C127" s="303"/>
      <c r="D127" s="303">
        <v>1000</v>
      </c>
    </row>
    <row r="128" spans="1:4" ht="15.75">
      <c r="A128" s="298" t="s">
        <v>124</v>
      </c>
      <c r="B128" s="315">
        <f>SUM(B127:B127)</f>
        <v>0</v>
      </c>
      <c r="C128" s="315">
        <f>SUM(C127:C127)</f>
        <v>0</v>
      </c>
      <c r="D128" s="315">
        <f>SUM(D127:D127)</f>
        <v>1000</v>
      </c>
    </row>
    <row r="129" spans="1:4" ht="15.75">
      <c r="A129" s="320" t="s">
        <v>982</v>
      </c>
      <c r="B129" s="124"/>
      <c r="C129" s="124"/>
      <c r="D129" s="124"/>
    </row>
    <row r="130" spans="1:4" ht="15.75">
      <c r="A130" s="107" t="s">
        <v>962</v>
      </c>
      <c r="B130" s="303">
        <v>9598</v>
      </c>
      <c r="C130" s="303">
        <v>20175</v>
      </c>
      <c r="D130" s="303">
        <v>23000</v>
      </c>
    </row>
    <row r="131" spans="1:4" ht="15.75">
      <c r="A131" s="298" t="s">
        <v>124</v>
      </c>
      <c r="B131" s="315">
        <f>SUM(B130:B130)</f>
        <v>9598</v>
      </c>
      <c r="C131" s="315">
        <f>SUM(C130:C130)</f>
        <v>20175</v>
      </c>
      <c r="D131" s="315">
        <f>SUM(D130:D130)</f>
        <v>23000</v>
      </c>
    </row>
    <row r="132" spans="1:4" ht="15.75">
      <c r="A132" s="320" t="s">
        <v>983</v>
      </c>
      <c r="B132" s="124"/>
      <c r="C132" s="124"/>
      <c r="D132" s="124"/>
    </row>
    <row r="133" spans="1:4" ht="15.75">
      <c r="A133" s="107" t="s">
        <v>966</v>
      </c>
      <c r="B133" s="303">
        <v>25400</v>
      </c>
      <c r="C133" s="303">
        <v>26846</v>
      </c>
      <c r="D133" s="303">
        <v>32500</v>
      </c>
    </row>
    <row r="134" spans="1:4" ht="15.75">
      <c r="A134" s="298" t="s">
        <v>124</v>
      </c>
      <c r="B134" s="315">
        <f>SUM(B133:B133)</f>
        <v>25400</v>
      </c>
      <c r="C134" s="315">
        <f>SUM(C133:C133)</f>
        <v>26846</v>
      </c>
      <c r="D134" s="315">
        <f>SUM(D133:D133)</f>
        <v>32500</v>
      </c>
    </row>
    <row r="135" spans="1:4" ht="15.75">
      <c r="A135" s="320" t="s">
        <v>984</v>
      </c>
      <c r="B135" s="124"/>
      <c r="C135" s="124"/>
      <c r="D135" s="124"/>
    </row>
    <row r="136" spans="1:4" ht="15.75">
      <c r="A136" s="107" t="s">
        <v>966</v>
      </c>
      <c r="B136" s="303"/>
      <c r="C136" s="303">
        <v>1000</v>
      </c>
      <c r="D136" s="303">
        <v>1000</v>
      </c>
    </row>
    <row r="137" spans="1:4" ht="15.75">
      <c r="A137" s="298" t="s">
        <v>124</v>
      </c>
      <c r="B137" s="315">
        <f>SUM(B136:B136)</f>
        <v>0</v>
      </c>
      <c r="C137" s="315">
        <f>SUM(C136:C136)</f>
        <v>1000</v>
      </c>
      <c r="D137" s="315">
        <f>SUM(D136:D136)</f>
        <v>1000</v>
      </c>
    </row>
    <row r="138" spans="1:4" ht="15.75">
      <c r="A138" s="320" t="s">
        <v>872</v>
      </c>
      <c r="B138" s="124"/>
      <c r="C138" s="124"/>
      <c r="D138" s="124"/>
    </row>
    <row r="139" spans="1:4" ht="15.75">
      <c r="A139" s="107" t="s">
        <v>966</v>
      </c>
      <c r="B139" s="303"/>
      <c r="C139" s="303"/>
      <c r="D139" s="303">
        <v>20000</v>
      </c>
    </row>
    <row r="140" spans="1:4" ht="15.75">
      <c r="A140" s="298" t="s">
        <v>124</v>
      </c>
      <c r="B140" s="315">
        <f>SUM(B139:B139)</f>
        <v>0</v>
      </c>
      <c r="C140" s="315">
        <f>SUM(C139:C139)</f>
        <v>0</v>
      </c>
      <c r="D140" s="315">
        <f>SUM(D139:D139)</f>
        <v>20000</v>
      </c>
    </row>
    <row r="141" spans="1:4" ht="15.75">
      <c r="A141" s="320" t="s">
        <v>985</v>
      </c>
      <c r="B141" s="124"/>
      <c r="C141" s="124"/>
      <c r="D141" s="124"/>
    </row>
    <row r="142" spans="1:4" ht="15.75">
      <c r="A142" s="107" t="s">
        <v>986</v>
      </c>
      <c r="B142" s="303">
        <v>35000</v>
      </c>
      <c r="C142" s="303">
        <v>50000</v>
      </c>
      <c r="D142" s="303">
        <v>50000</v>
      </c>
    </row>
    <row r="143" spans="1:4" ht="15.75">
      <c r="A143" s="298" t="s">
        <v>124</v>
      </c>
      <c r="B143" s="315">
        <f>SUM(B142:B142)</f>
        <v>35000</v>
      </c>
      <c r="C143" s="315">
        <f>SUM(C142:C142)</f>
        <v>50000</v>
      </c>
      <c r="D143" s="315">
        <f>SUM(D142:D142)</f>
        <v>50000</v>
      </c>
    </row>
    <row r="144" spans="1:4" ht="15.75">
      <c r="A144" s="298"/>
      <c r="B144" s="124"/>
      <c r="C144" s="124"/>
      <c r="D144" s="124"/>
    </row>
    <row r="145" spans="1:4" ht="15.75">
      <c r="A145" s="298" t="s">
        <v>290</v>
      </c>
      <c r="B145" s="309">
        <f>B119+B122+B125+B128+B131+B134+B137+B143+B140</f>
        <v>77498</v>
      </c>
      <c r="C145" s="309">
        <f>C119+C122+C125+C128+C131+C134+C137+C143+C140</f>
        <v>102021</v>
      </c>
      <c r="D145" s="309">
        <f>D119+D122+D125+D128+D131+D134+D137+D143+D140</f>
        <v>196500</v>
      </c>
    </row>
    <row r="146" spans="1:4" ht="15.75">
      <c r="A146" s="82"/>
      <c r="B146" s="224"/>
      <c r="C146" s="224"/>
      <c r="D146" s="224"/>
    </row>
    <row r="147" spans="1:4" ht="15.75">
      <c r="A147" s="82"/>
      <c r="B147" s="224"/>
      <c r="C147" s="224"/>
      <c r="D147" s="224"/>
    </row>
    <row r="148" spans="1:4" ht="15.75">
      <c r="A148" s="776"/>
      <c r="B148" s="776"/>
      <c r="C148" s="776"/>
      <c r="D148" s="776"/>
    </row>
    <row r="149" spans="1:4" ht="15.75">
      <c r="A149" s="298"/>
      <c r="B149" s="124"/>
      <c r="C149" s="124"/>
      <c r="D149" s="124"/>
    </row>
    <row r="150" spans="1:4" ht="15.75">
      <c r="A150" s="298" t="s">
        <v>291</v>
      </c>
      <c r="B150" s="315">
        <f>B51</f>
        <v>888183</v>
      </c>
      <c r="C150" s="315">
        <f>C51</f>
        <v>920643</v>
      </c>
      <c r="D150" s="315">
        <f>D51</f>
        <v>1497196</v>
      </c>
    </row>
    <row r="151" spans="1:4" ht="15.75">
      <c r="A151" s="82"/>
      <c r="B151" s="124"/>
      <c r="C151" s="124"/>
      <c r="D151" s="124"/>
    </row>
    <row r="152" spans="1:4" ht="15.75">
      <c r="A152" s="298" t="s">
        <v>292</v>
      </c>
      <c r="B152" s="315">
        <f>B108</f>
        <v>1158929</v>
      </c>
      <c r="C152" s="315">
        <f>C108</f>
        <v>1260816</v>
      </c>
      <c r="D152" s="315">
        <f>D108</f>
        <v>1381702</v>
      </c>
    </row>
    <row r="153" spans="1:4" ht="15.75">
      <c r="A153" s="82"/>
      <c r="B153" s="124"/>
      <c r="C153" s="124"/>
      <c r="D153" s="124"/>
    </row>
    <row r="154" spans="1:4" ht="15.75">
      <c r="A154" s="298" t="s">
        <v>290</v>
      </c>
      <c r="B154" s="315">
        <f>B145</f>
        <v>77498</v>
      </c>
      <c r="C154" s="315">
        <f>C145</f>
        <v>102021</v>
      </c>
      <c r="D154" s="315">
        <f>D145</f>
        <v>196500</v>
      </c>
    </row>
    <row r="155" spans="1:4" ht="15.75">
      <c r="A155" s="82"/>
      <c r="B155" s="124"/>
      <c r="C155" s="124"/>
      <c r="D155" s="124"/>
    </row>
    <row r="156" spans="1:4" ht="16.5" thickBot="1">
      <c r="A156" s="259" t="s">
        <v>27</v>
      </c>
      <c r="B156" s="325">
        <f>SUM(B150:B155)</f>
        <v>2124610</v>
      </c>
      <c r="C156" s="325">
        <f>SUM(C150:C155)</f>
        <v>2283480</v>
      </c>
      <c r="D156" s="325">
        <f>SUM(D150:D155)</f>
        <v>3075398</v>
      </c>
    </row>
    <row r="157" spans="1:4" ht="16.5" thickTop="1">
      <c r="A157" s="326" t="s">
        <v>28</v>
      </c>
      <c r="B157" s="327"/>
      <c r="C157" s="327"/>
      <c r="D157" s="327"/>
    </row>
    <row r="158" spans="1:4" s="691" customFormat="1" ht="15.75">
      <c r="A158" s="689"/>
      <c r="B158" s="690"/>
      <c r="C158" s="690"/>
      <c r="D158" s="690"/>
    </row>
    <row r="159" spans="1:4" s="691" customFormat="1" ht="15.75">
      <c r="A159" s="689"/>
      <c r="B159" s="690"/>
      <c r="C159" s="690"/>
      <c r="D159" s="690"/>
    </row>
    <row r="160" spans="1:4" s="691" customFormat="1" ht="15.75">
      <c r="A160" s="689"/>
      <c r="B160" s="690"/>
      <c r="C160" s="690"/>
      <c r="D160" s="690"/>
    </row>
    <row r="161" spans="1:4" s="691" customFormat="1" ht="15.75">
      <c r="A161" s="689"/>
      <c r="B161" s="690"/>
      <c r="C161" s="690"/>
      <c r="D161" s="690"/>
    </row>
    <row r="162" spans="1:4" s="691" customFormat="1" ht="15.75">
      <c r="A162" s="689"/>
      <c r="B162" s="690"/>
      <c r="C162" s="690"/>
      <c r="D162" s="690"/>
    </row>
    <row r="163" spans="1:4" s="691" customFormat="1" ht="15.75">
      <c r="A163" s="689"/>
      <c r="B163" s="690"/>
      <c r="C163" s="690"/>
      <c r="D163" s="690"/>
    </row>
    <row r="164" spans="1:4" s="691" customFormat="1" ht="15.75">
      <c r="A164" s="689"/>
      <c r="B164" s="690"/>
      <c r="C164" s="690"/>
      <c r="D164" s="690"/>
    </row>
    <row r="165" spans="1:4" ht="15.75">
      <c r="A165" s="776" t="s">
        <v>276</v>
      </c>
      <c r="B165" s="776"/>
      <c r="C165" s="776"/>
      <c r="D165" s="776"/>
    </row>
    <row r="166" spans="2:4" ht="15.75">
      <c r="B166" s="328"/>
      <c r="C166" s="328"/>
      <c r="D166" s="328"/>
    </row>
    <row r="167" spans="2:4" ht="15.75">
      <c r="B167" s="328"/>
      <c r="C167" s="328"/>
      <c r="D167" s="328"/>
    </row>
    <row r="168" spans="2:4" ht="15.75">
      <c r="B168" s="328"/>
      <c r="C168" s="328"/>
      <c r="D168" s="328"/>
    </row>
    <row r="169" spans="2:4" ht="15.75">
      <c r="B169" s="328"/>
      <c r="C169" s="328"/>
      <c r="D169" s="328"/>
    </row>
    <row r="170" spans="2:4" ht="15.75">
      <c r="B170" s="328"/>
      <c r="C170" s="328"/>
      <c r="D170" s="328"/>
    </row>
    <row r="171" spans="2:4" ht="15.75">
      <c r="B171" s="328"/>
      <c r="C171" s="328"/>
      <c r="D171" s="328"/>
    </row>
    <row r="172" spans="2:4" ht="15.75">
      <c r="B172" s="328"/>
      <c r="C172" s="328"/>
      <c r="D172" s="328"/>
    </row>
    <row r="173" spans="2:4" ht="15.75">
      <c r="B173" s="328"/>
      <c r="C173" s="328"/>
      <c r="D173" s="328"/>
    </row>
    <row r="174" spans="2:4" ht="15.75">
      <c r="B174" s="328"/>
      <c r="C174" s="328"/>
      <c r="D174" s="328"/>
    </row>
    <row r="175" spans="2:4" ht="15.75">
      <c r="B175" s="328"/>
      <c r="C175" s="328"/>
      <c r="D175" s="328"/>
    </row>
    <row r="176" spans="2:4" ht="15.75">
      <c r="B176" s="328"/>
      <c r="C176" s="328"/>
      <c r="D176" s="328"/>
    </row>
    <row r="177" spans="2:4" ht="15.75">
      <c r="B177" s="328"/>
      <c r="C177" s="328"/>
      <c r="D177" s="328"/>
    </row>
    <row r="178" spans="2:4" ht="15.75">
      <c r="B178" s="328"/>
      <c r="C178" s="328"/>
      <c r="D178" s="328"/>
    </row>
    <row r="179" spans="2:4" ht="15.75">
      <c r="B179" s="328"/>
      <c r="C179" s="328"/>
      <c r="D179" s="328"/>
    </row>
    <row r="180" spans="2:4" ht="15.75">
      <c r="B180" s="328"/>
      <c r="C180" s="328"/>
      <c r="D180" s="328"/>
    </row>
    <row r="181" spans="2:4" ht="15.75">
      <c r="B181" s="328"/>
      <c r="C181" s="328"/>
      <c r="D181" s="328"/>
    </row>
    <row r="182" spans="2:4" ht="15.75">
      <c r="B182" s="328"/>
      <c r="C182" s="328"/>
      <c r="D182" s="328"/>
    </row>
    <row r="183" spans="2:4" ht="15.75">
      <c r="B183" s="328"/>
      <c r="C183" s="328"/>
      <c r="D183" s="328"/>
    </row>
    <row r="184" spans="2:4" ht="15.75">
      <c r="B184" s="328"/>
      <c r="C184" s="328"/>
      <c r="D184" s="328"/>
    </row>
    <row r="185" spans="2:4" ht="15.75">
      <c r="B185" s="328"/>
      <c r="C185" s="328"/>
      <c r="D185" s="328"/>
    </row>
    <row r="186" spans="2:4" ht="15.75">
      <c r="B186" s="328"/>
      <c r="C186" s="328"/>
      <c r="D186" s="328"/>
    </row>
    <row r="187" spans="2:4" ht="15.75">
      <c r="B187" s="328"/>
      <c r="C187" s="328"/>
      <c r="D187" s="328"/>
    </row>
    <row r="188" spans="2:4" ht="15.75">
      <c r="B188" s="328"/>
      <c r="C188" s="328"/>
      <c r="D188" s="328"/>
    </row>
    <row r="189" spans="2:4" ht="15.75">
      <c r="B189" s="328"/>
      <c r="C189" s="328"/>
      <c r="D189" s="328"/>
    </row>
    <row r="190" spans="2:4" ht="15.75">
      <c r="B190" s="328"/>
      <c r="C190" s="328"/>
      <c r="D190" s="328"/>
    </row>
    <row r="191" spans="2:4" ht="15.75">
      <c r="B191" s="328"/>
      <c r="C191" s="328"/>
      <c r="D191" s="328"/>
    </row>
    <row r="192" spans="2:4" ht="15.75">
      <c r="B192" s="328"/>
      <c r="C192" s="328"/>
      <c r="D192" s="328"/>
    </row>
    <row r="193" spans="2:4" ht="15.75">
      <c r="B193" s="328"/>
      <c r="C193" s="328"/>
      <c r="D193" s="328"/>
    </row>
    <row r="194" spans="2:4" ht="15.75">
      <c r="B194" s="328"/>
      <c r="C194" s="328"/>
      <c r="D194" s="328"/>
    </row>
    <row r="195" spans="2:4" ht="15.75">
      <c r="B195" s="328"/>
      <c r="C195" s="328"/>
      <c r="D195" s="328"/>
    </row>
    <row r="196" spans="2:4" ht="15.75">
      <c r="B196" s="328"/>
      <c r="C196" s="328"/>
      <c r="D196" s="328"/>
    </row>
    <row r="197" spans="2:4" ht="15.75">
      <c r="B197" s="328"/>
      <c r="C197" s="328"/>
      <c r="D197" s="328"/>
    </row>
    <row r="198" spans="2:4" ht="15.75">
      <c r="B198" s="328"/>
      <c r="C198" s="328"/>
      <c r="D198" s="328"/>
    </row>
    <row r="199" spans="2:4" ht="15.75">
      <c r="B199" s="328"/>
      <c r="C199" s="328"/>
      <c r="D199" s="328"/>
    </row>
    <row r="200" spans="2:4" ht="15.75">
      <c r="B200" s="328"/>
      <c r="C200" s="328"/>
      <c r="D200" s="328"/>
    </row>
    <row r="201" spans="2:4" ht="15.75">
      <c r="B201" s="328"/>
      <c r="C201" s="328"/>
      <c r="D201" s="328"/>
    </row>
    <row r="202" spans="2:4" ht="15.75">
      <c r="B202" s="328"/>
      <c r="C202" s="328"/>
      <c r="D202" s="328"/>
    </row>
    <row r="203" spans="2:4" ht="15.75">
      <c r="B203" s="328"/>
      <c r="C203" s="328"/>
      <c r="D203" s="328"/>
    </row>
    <row r="204" spans="2:4" ht="15.75">
      <c r="B204" s="328"/>
      <c r="C204" s="328"/>
      <c r="D204" s="328"/>
    </row>
    <row r="205" spans="2:4" ht="15.75">
      <c r="B205" s="328"/>
      <c r="C205" s="328"/>
      <c r="D205" s="328"/>
    </row>
    <row r="206" spans="2:4" ht="15.75">
      <c r="B206" s="328"/>
      <c r="C206" s="328"/>
      <c r="D206" s="328"/>
    </row>
    <row r="207" spans="2:4" ht="15.75">
      <c r="B207" s="328"/>
      <c r="C207" s="328"/>
      <c r="D207" s="328"/>
    </row>
    <row r="208" spans="2:4" ht="15.75">
      <c r="B208" s="328"/>
      <c r="C208" s="328"/>
      <c r="D208" s="328"/>
    </row>
    <row r="209" spans="2:4" ht="15.75">
      <c r="B209" s="328"/>
      <c r="C209" s="328"/>
      <c r="D209" s="328"/>
    </row>
    <row r="210" spans="2:4" ht="15.75">
      <c r="B210" s="328"/>
      <c r="C210" s="328"/>
      <c r="D210" s="328"/>
    </row>
    <row r="211" spans="2:4" ht="15.75">
      <c r="B211" s="328"/>
      <c r="C211" s="328"/>
      <c r="D211" s="328"/>
    </row>
    <row r="212" spans="2:4" ht="15.75">
      <c r="B212" s="328"/>
      <c r="C212" s="328"/>
      <c r="D212" s="328"/>
    </row>
    <row r="213" spans="2:4" ht="15.75">
      <c r="B213" s="328"/>
      <c r="C213" s="328"/>
      <c r="D213" s="328"/>
    </row>
    <row r="214" spans="2:4" ht="15.75">
      <c r="B214" s="328"/>
      <c r="C214" s="328"/>
      <c r="D214" s="328"/>
    </row>
    <row r="215" spans="2:4" ht="15.75">
      <c r="B215" s="328"/>
      <c r="C215" s="328"/>
      <c r="D215" s="328"/>
    </row>
    <row r="216" spans="2:4" ht="15.75">
      <c r="B216" s="328"/>
      <c r="C216" s="328"/>
      <c r="D216" s="328"/>
    </row>
    <row r="217" spans="2:4" ht="15.75">
      <c r="B217" s="328"/>
      <c r="C217" s="328"/>
      <c r="D217" s="328"/>
    </row>
    <row r="218" spans="2:4" ht="15.75">
      <c r="B218" s="328"/>
      <c r="C218" s="328"/>
      <c r="D218" s="328"/>
    </row>
    <row r="219" spans="2:4" ht="15.75">
      <c r="B219" s="328"/>
      <c r="C219" s="328"/>
      <c r="D219" s="328"/>
    </row>
    <row r="220" spans="2:4" ht="15.75">
      <c r="B220" s="328"/>
      <c r="C220" s="328"/>
      <c r="D220" s="328"/>
    </row>
    <row r="221" spans="2:4" ht="15.75">
      <c r="B221" s="328"/>
      <c r="C221" s="328"/>
      <c r="D221" s="328"/>
    </row>
    <row r="222" spans="2:4" ht="15.75">
      <c r="B222" s="328"/>
      <c r="C222" s="328"/>
      <c r="D222" s="328"/>
    </row>
    <row r="223" spans="2:4" ht="15.75">
      <c r="B223" s="328"/>
      <c r="C223" s="328"/>
      <c r="D223" s="328"/>
    </row>
    <row r="224" spans="2:4" ht="15.75">
      <c r="B224" s="328"/>
      <c r="C224" s="328"/>
      <c r="D224" s="328"/>
    </row>
    <row r="225" spans="2:4" ht="15.75">
      <c r="B225" s="328"/>
      <c r="C225" s="328"/>
      <c r="D225" s="328"/>
    </row>
    <row r="226" spans="2:4" ht="15.75">
      <c r="B226" s="328"/>
      <c r="C226" s="328"/>
      <c r="D226" s="328"/>
    </row>
    <row r="227" spans="2:4" ht="15.75">
      <c r="B227" s="328"/>
      <c r="C227" s="328"/>
      <c r="D227" s="328"/>
    </row>
    <row r="228" spans="2:4" ht="15.75">
      <c r="B228" s="328"/>
      <c r="C228" s="328"/>
      <c r="D228" s="328"/>
    </row>
    <row r="229" spans="2:4" ht="15.75">
      <c r="B229" s="328"/>
      <c r="C229" s="328"/>
      <c r="D229" s="328"/>
    </row>
    <row r="230" spans="2:4" ht="15.75">
      <c r="B230" s="328"/>
      <c r="C230" s="328"/>
      <c r="D230" s="328"/>
    </row>
    <row r="231" spans="2:4" ht="15.75">
      <c r="B231" s="328"/>
      <c r="C231" s="328"/>
      <c r="D231" s="328"/>
    </row>
    <row r="232" spans="2:4" ht="15.75">
      <c r="B232" s="328"/>
      <c r="C232" s="328"/>
      <c r="D232" s="328"/>
    </row>
    <row r="233" spans="2:4" ht="15.75">
      <c r="B233" s="328"/>
      <c r="C233" s="328"/>
      <c r="D233" s="328"/>
    </row>
    <row r="234" spans="2:4" ht="15.75">
      <c r="B234" s="328"/>
      <c r="C234" s="328"/>
      <c r="D234" s="328"/>
    </row>
    <row r="235" spans="2:4" ht="15.75">
      <c r="B235" s="328"/>
      <c r="C235" s="328"/>
      <c r="D235" s="328"/>
    </row>
    <row r="236" spans="2:4" ht="15.75">
      <c r="B236" s="328"/>
      <c r="C236" s="328"/>
      <c r="D236" s="328"/>
    </row>
    <row r="237" spans="2:4" ht="15.75">
      <c r="B237" s="328"/>
      <c r="C237" s="328"/>
      <c r="D237" s="328"/>
    </row>
    <row r="238" spans="2:4" ht="15.75">
      <c r="B238" s="328"/>
      <c r="C238" s="328"/>
      <c r="D238" s="328"/>
    </row>
    <row r="239" spans="2:4" ht="15.75">
      <c r="B239" s="328"/>
      <c r="C239" s="328"/>
      <c r="D239" s="328"/>
    </row>
    <row r="240" spans="2:4" ht="15.75">
      <c r="B240" s="328"/>
      <c r="C240" s="328"/>
      <c r="D240" s="328"/>
    </row>
    <row r="241" spans="2:4" ht="15.75">
      <c r="B241" s="328"/>
      <c r="C241" s="328"/>
      <c r="D241" s="328"/>
    </row>
    <row r="242" spans="2:4" ht="15.75">
      <c r="B242" s="328"/>
      <c r="C242" s="328"/>
      <c r="D242" s="328"/>
    </row>
    <row r="243" spans="2:4" ht="15.75">
      <c r="B243" s="328"/>
      <c r="C243" s="328"/>
      <c r="D243" s="328"/>
    </row>
    <row r="244" spans="2:4" ht="15.75">
      <c r="B244" s="328"/>
      <c r="C244" s="328"/>
      <c r="D244" s="328"/>
    </row>
    <row r="245" spans="2:4" ht="15.75">
      <c r="B245" s="328"/>
      <c r="C245" s="328"/>
      <c r="D245" s="328"/>
    </row>
    <row r="246" spans="2:4" ht="15.75">
      <c r="B246" s="328"/>
      <c r="C246" s="328"/>
      <c r="D246" s="328"/>
    </row>
    <row r="247" spans="2:4" ht="15.75">
      <c r="B247" s="328"/>
      <c r="C247" s="328"/>
      <c r="D247" s="328"/>
    </row>
    <row r="248" spans="2:4" ht="15.75">
      <c r="B248" s="328"/>
      <c r="C248" s="328"/>
      <c r="D248" s="328"/>
    </row>
    <row r="249" spans="2:4" ht="15.75">
      <c r="B249" s="328"/>
      <c r="C249" s="328"/>
      <c r="D249" s="328"/>
    </row>
    <row r="250" spans="2:4" ht="15.75">
      <c r="B250" s="328"/>
      <c r="C250" s="328"/>
      <c r="D250" s="328"/>
    </row>
    <row r="251" spans="2:4" ht="15.75">
      <c r="B251" s="328"/>
      <c r="C251" s="328"/>
      <c r="D251" s="328"/>
    </row>
    <row r="252" spans="2:4" ht="15.75">
      <c r="B252" s="328"/>
      <c r="C252" s="328"/>
      <c r="D252" s="328"/>
    </row>
    <row r="253" spans="2:4" ht="15.75">
      <c r="B253" s="328"/>
      <c r="C253" s="328"/>
      <c r="D253" s="328"/>
    </row>
    <row r="254" spans="2:4" ht="15.75">
      <c r="B254" s="328"/>
      <c r="C254" s="328"/>
      <c r="D254" s="328"/>
    </row>
    <row r="255" spans="2:4" ht="15.75">
      <c r="B255" s="328"/>
      <c r="C255" s="328"/>
      <c r="D255" s="328"/>
    </row>
    <row r="256" spans="2:4" ht="15.75">
      <c r="B256" s="328"/>
      <c r="C256" s="328"/>
      <c r="D256" s="328"/>
    </row>
    <row r="257" spans="2:4" ht="15.75">
      <c r="B257" s="328"/>
      <c r="C257" s="328"/>
      <c r="D257" s="328"/>
    </row>
    <row r="258" spans="2:4" ht="15.75">
      <c r="B258" s="328"/>
      <c r="C258" s="328"/>
      <c r="D258" s="328"/>
    </row>
    <row r="259" spans="2:4" ht="15.75">
      <c r="B259" s="328"/>
      <c r="C259" s="328"/>
      <c r="D259" s="328"/>
    </row>
    <row r="260" spans="2:4" ht="15.75">
      <c r="B260" s="328"/>
      <c r="C260" s="328"/>
      <c r="D260" s="328"/>
    </row>
    <row r="261" spans="2:4" ht="15.75">
      <c r="B261" s="328"/>
      <c r="C261" s="328"/>
      <c r="D261" s="328"/>
    </row>
    <row r="262" spans="2:4" ht="15.75">
      <c r="B262" s="328"/>
      <c r="C262" s="328"/>
      <c r="D262" s="328"/>
    </row>
    <row r="263" spans="2:4" ht="15.75">
      <c r="B263" s="328"/>
      <c r="C263" s="328"/>
      <c r="D263" s="328"/>
    </row>
    <row r="264" spans="2:4" ht="15.75">
      <c r="B264" s="328"/>
      <c r="C264" s="328"/>
      <c r="D264" s="328"/>
    </row>
    <row r="265" spans="2:4" ht="15.75">
      <c r="B265" s="328"/>
      <c r="C265" s="328"/>
      <c r="D265" s="328"/>
    </row>
    <row r="266" spans="2:4" ht="15.75">
      <c r="B266" s="328"/>
      <c r="C266" s="328"/>
      <c r="D266" s="328"/>
    </row>
    <row r="267" spans="2:4" ht="15.75">
      <c r="B267" s="328"/>
      <c r="C267" s="328"/>
      <c r="D267" s="328"/>
    </row>
    <row r="268" spans="2:4" ht="15.75">
      <c r="B268" s="328"/>
      <c r="C268" s="328"/>
      <c r="D268" s="328"/>
    </row>
  </sheetData>
  <sheetProtection/>
  <mergeCells count="4">
    <mergeCell ref="A165:D165"/>
    <mergeCell ref="A55:D55"/>
    <mergeCell ref="A110:D110"/>
    <mergeCell ref="A148:D148"/>
  </mergeCells>
  <printOptions/>
  <pageMargins left="0.91" right="0.5" top="0.62" bottom="0.24" header="0.39" footer="0.16"/>
  <pageSetup blackAndWhite="1" horizontalDpi="120" verticalDpi="120" orientation="portrait" scale="85" r:id="rId1"/>
  <headerFooter alignWithMargins="0">
    <oddHeader>&amp;RState of Kansas
County
</oddHeader>
  </headerFooter>
  <rowBreaks count="2" manualBreakCount="2">
    <brk id="55" max="255" man="1"/>
    <brk id="110" max="3" man="1"/>
  </rowBreaks>
</worksheet>
</file>

<file path=xl/worksheets/sheet15.xml><?xml version="1.0" encoding="utf-8"?>
<worksheet xmlns="http://schemas.openxmlformats.org/spreadsheetml/2006/main" xmlns:r="http://schemas.openxmlformats.org/officeDocument/2006/relationships">
  <dimension ref="B1:K61"/>
  <sheetViews>
    <sheetView zoomScalePageLayoutView="0" workbookViewId="0" topLeftCell="A1">
      <selection activeCell="E52" sqref="E52"/>
    </sheetView>
  </sheetViews>
  <sheetFormatPr defaultColWidth="8.796875" defaultRowHeight="15"/>
  <cols>
    <col min="1" max="1" width="2.3984375" style="69" customWidth="1"/>
    <col min="2" max="2" width="31.09765625" style="69" customWidth="1"/>
    <col min="3" max="4" width="15.796875" style="69" customWidth="1"/>
    <col min="5" max="5" width="16.1992187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5" ht="15.75">
      <c r="B1" s="224" t="str">
        <f>inputPrYr!C2</f>
        <v>Sheridan County</v>
      </c>
      <c r="C1" s="82"/>
      <c r="D1" s="82"/>
      <c r="E1" s="283">
        <f>inputPrYr!C4</f>
        <v>2013</v>
      </c>
    </row>
    <row r="2" spans="2:5" ht="15.75">
      <c r="B2" s="82"/>
      <c r="C2" s="82"/>
      <c r="D2" s="82"/>
      <c r="E2" s="236"/>
    </row>
    <row r="3" spans="2:5" ht="15.75">
      <c r="B3" s="149" t="s">
        <v>222</v>
      </c>
      <c r="C3" s="82"/>
      <c r="D3" s="82"/>
      <c r="E3" s="297"/>
    </row>
    <row r="4" spans="2:5" ht="15.75">
      <c r="B4" s="298" t="s">
        <v>153</v>
      </c>
      <c r="C4" s="666" t="s">
        <v>814</v>
      </c>
      <c r="D4" s="667" t="s">
        <v>815</v>
      </c>
      <c r="E4" s="211" t="s">
        <v>816</v>
      </c>
    </row>
    <row r="5" spans="2:5" ht="15.75">
      <c r="B5" s="454" t="str">
        <f>inputPrYr!B18</f>
        <v>Road &amp; Bridge</v>
      </c>
      <c r="C5" s="437" t="str">
        <f>CONCATENATE("Actual for ",E1-2,"")</f>
        <v>Actual for 2011</v>
      </c>
      <c r="D5" s="437" t="str">
        <f>CONCATENATE("Estimate for ",E1-1,"")</f>
        <v>Estimate for 2012</v>
      </c>
      <c r="E5" s="299" t="str">
        <f>CONCATENATE("Year for ",E1,"")</f>
        <v>Year for 2013</v>
      </c>
    </row>
    <row r="6" spans="2:5" ht="15.75">
      <c r="B6" s="300" t="s">
        <v>262</v>
      </c>
      <c r="C6" s="434">
        <v>685791</v>
      </c>
      <c r="D6" s="438">
        <f>C43</f>
        <v>438664</v>
      </c>
      <c r="E6" s="262">
        <f>D43</f>
        <v>619292</v>
      </c>
    </row>
    <row r="7" spans="2:5" ht="15.75">
      <c r="B7" s="287" t="s">
        <v>264</v>
      </c>
      <c r="C7" s="302"/>
      <c r="D7" s="302"/>
      <c r="E7" s="124"/>
    </row>
    <row r="8" spans="2:5" ht="15.75">
      <c r="B8" s="300" t="s">
        <v>917</v>
      </c>
      <c r="C8" s="434">
        <v>809837</v>
      </c>
      <c r="D8" s="438">
        <f>IF(inputPrYr!H18&gt;0,inputPrYr!H18,inputPrYr!E18)</f>
        <v>1485972</v>
      </c>
      <c r="E8" s="217" t="s">
        <v>140</v>
      </c>
    </row>
    <row r="9" spans="2:5" ht="15.75">
      <c r="B9" s="300" t="s">
        <v>918</v>
      </c>
      <c r="C9" s="434">
        <v>6157</v>
      </c>
      <c r="D9" s="434">
        <v>6131</v>
      </c>
      <c r="E9" s="303">
        <v>7500</v>
      </c>
    </row>
    <row r="10" spans="2:5" ht="15.75">
      <c r="B10" s="300" t="s">
        <v>919</v>
      </c>
      <c r="C10" s="434">
        <v>130454</v>
      </c>
      <c r="D10" s="434">
        <v>95200</v>
      </c>
      <c r="E10" s="124">
        <f>mvalloc!E9</f>
        <v>132073</v>
      </c>
    </row>
    <row r="11" spans="2:5" ht="15.75">
      <c r="B11" s="300" t="s">
        <v>920</v>
      </c>
      <c r="C11" s="434">
        <v>2336</v>
      </c>
      <c r="D11" s="434">
        <v>2400</v>
      </c>
      <c r="E11" s="124">
        <f>mvalloc!F9</f>
        <v>2415</v>
      </c>
    </row>
    <row r="12" spans="2:5" ht="15.75">
      <c r="B12" s="302" t="s">
        <v>921</v>
      </c>
      <c r="C12" s="434">
        <v>15493</v>
      </c>
      <c r="D12" s="434">
        <v>14000</v>
      </c>
      <c r="E12" s="124">
        <f>mvalloc!G9</f>
        <v>18859</v>
      </c>
    </row>
    <row r="13" spans="2:5" ht="15.75">
      <c r="B13" s="336" t="s">
        <v>987</v>
      </c>
      <c r="C13" s="434">
        <v>259885</v>
      </c>
      <c r="D13" s="434">
        <v>261825</v>
      </c>
      <c r="E13" s="144">
        <v>263779</v>
      </c>
    </row>
    <row r="14" spans="2:5" ht="15.75">
      <c r="B14" s="336" t="s">
        <v>988</v>
      </c>
      <c r="C14" s="434">
        <v>176</v>
      </c>
      <c r="D14" s="434">
        <v>100</v>
      </c>
      <c r="E14" s="144"/>
    </row>
    <row r="15" spans="2:5" ht="15.75">
      <c r="B15" s="336" t="s">
        <v>989</v>
      </c>
      <c r="C15" s="434"/>
      <c r="D15" s="434"/>
      <c r="E15" s="144"/>
    </row>
    <row r="16" spans="2:5" ht="15.75">
      <c r="B16" s="337" t="s">
        <v>944</v>
      </c>
      <c r="C16" s="434">
        <v>1896</v>
      </c>
      <c r="D16" s="434"/>
      <c r="E16" s="144"/>
    </row>
    <row r="17" spans="2:5" ht="15.75">
      <c r="B17" s="304"/>
      <c r="C17" s="434"/>
      <c r="D17" s="434"/>
      <c r="E17" s="303"/>
    </row>
    <row r="18" spans="2:5" ht="15.75">
      <c r="B18" s="304"/>
      <c r="C18" s="434"/>
      <c r="D18" s="434"/>
      <c r="E18" s="303"/>
    </row>
    <row r="19" spans="2:5" ht="15.75">
      <c r="B19" s="304"/>
      <c r="C19" s="434"/>
      <c r="D19" s="434"/>
      <c r="E19" s="303"/>
    </row>
    <row r="20" spans="2:5" ht="15.75">
      <c r="B20" s="304"/>
      <c r="C20" s="434"/>
      <c r="D20" s="434"/>
      <c r="E20" s="303"/>
    </row>
    <row r="21" spans="2:5" ht="15.75">
      <c r="B21" s="305"/>
      <c r="C21" s="434"/>
      <c r="D21" s="434"/>
      <c r="E21" s="303"/>
    </row>
    <row r="22" spans="2:5" ht="15.75">
      <c r="B22" s="306" t="s">
        <v>655</v>
      </c>
      <c r="C22" s="435">
        <f>IF(C23*0.1&lt;C16,"Exceed 10% Rule","")</f>
      </c>
      <c r="D22" s="435">
        <f>IF(D23*0.1&lt;D16,"Exceed 10% Rule","")</f>
      </c>
      <c r="E22" s="333">
        <f>IF(E23*0.1+E49&lt;E16,"Exceed 10% Rule","")</f>
      </c>
    </row>
    <row r="23" spans="2:5" ht="15.75">
      <c r="B23" s="308" t="s">
        <v>154</v>
      </c>
      <c r="C23" s="436">
        <f>SUM(C8:C21)</f>
        <v>1226234</v>
      </c>
      <c r="D23" s="436">
        <f>SUM(D8:D21)</f>
        <v>1865628</v>
      </c>
      <c r="E23" s="338">
        <f>SUM(E9:E21)</f>
        <v>424626</v>
      </c>
    </row>
    <row r="24" spans="2:5" ht="15.75">
      <c r="B24" s="308" t="s">
        <v>155</v>
      </c>
      <c r="C24" s="436">
        <f>C6+C23</f>
        <v>1912025</v>
      </c>
      <c r="D24" s="436">
        <f>D6+D23</f>
        <v>2304292</v>
      </c>
      <c r="E24" s="338">
        <f>E6+E23</f>
        <v>1043918</v>
      </c>
    </row>
    <row r="25" spans="2:5" ht="15.75">
      <c r="B25" s="300" t="s">
        <v>157</v>
      </c>
      <c r="C25" s="302"/>
      <c r="D25" s="302"/>
      <c r="E25" s="124"/>
    </row>
    <row r="26" spans="2:5" ht="15.75">
      <c r="B26" s="340" t="s">
        <v>962</v>
      </c>
      <c r="C26" s="434">
        <v>437856</v>
      </c>
      <c r="D26" s="434">
        <v>475000</v>
      </c>
      <c r="E26" s="144">
        <v>575000</v>
      </c>
    </row>
    <row r="27" spans="2:5" ht="15.75">
      <c r="B27" s="340" t="s">
        <v>966</v>
      </c>
      <c r="C27" s="434">
        <v>560505</v>
      </c>
      <c r="D27" s="434">
        <v>610000</v>
      </c>
      <c r="E27" s="144">
        <v>1244282</v>
      </c>
    </row>
    <row r="28" spans="2:5" ht="15.75">
      <c r="B28" s="340"/>
      <c r="C28" s="434"/>
      <c r="D28" s="434"/>
      <c r="E28" s="144"/>
    </row>
    <row r="29" spans="2:10" ht="15.75">
      <c r="B29" s="340" t="s">
        <v>991</v>
      </c>
      <c r="C29" s="434"/>
      <c r="D29" s="434"/>
      <c r="E29" s="144"/>
      <c r="G29" s="770" t="str">
        <f>CONCATENATE("Desired Carryover Into ",E1+1,"")</f>
        <v>Desired Carryover Into 2014</v>
      </c>
      <c r="H29" s="771"/>
      <c r="I29" s="771"/>
      <c r="J29" s="772"/>
    </row>
    <row r="30" spans="2:10" ht="15.75">
      <c r="B30" s="340" t="s">
        <v>992</v>
      </c>
      <c r="C30" s="434"/>
      <c r="D30" s="434"/>
      <c r="E30" s="144">
        <v>12500</v>
      </c>
      <c r="G30" s="618"/>
      <c r="H30" s="619"/>
      <c r="I30" s="620"/>
      <c r="J30" s="621"/>
    </row>
    <row r="31" spans="2:10" ht="15.75">
      <c r="B31" s="340" t="s">
        <v>993</v>
      </c>
      <c r="C31" s="434">
        <v>300000</v>
      </c>
      <c r="D31" s="434">
        <v>425000</v>
      </c>
      <c r="E31" s="144">
        <v>425000</v>
      </c>
      <c r="G31" s="622" t="s">
        <v>660</v>
      </c>
      <c r="H31" s="620"/>
      <c r="I31" s="620"/>
      <c r="J31" s="623">
        <v>0</v>
      </c>
    </row>
    <row r="32" spans="2:10" ht="15.75">
      <c r="B32" s="340" t="s">
        <v>994</v>
      </c>
      <c r="C32" s="434">
        <v>175000</v>
      </c>
      <c r="D32" s="434">
        <v>175000</v>
      </c>
      <c r="E32" s="144">
        <v>175000</v>
      </c>
      <c r="G32" s="618" t="s">
        <v>661</v>
      </c>
      <c r="H32" s="619"/>
      <c r="I32" s="619"/>
      <c r="J32" s="624">
        <f>IF(J31=0,"",ROUND((J31+E49-G44)/inputOth!E6*1000,3)-G49)</f>
      </c>
    </row>
    <row r="33" spans="2:10" ht="15.75">
      <c r="B33" s="340"/>
      <c r="C33" s="434"/>
      <c r="D33" s="434"/>
      <c r="E33" s="144"/>
      <c r="G33" s="625" t="str">
        <f>CONCATENATE("",E1," Tot Exp/Non-Appr Must Be:")</f>
        <v>2013 Tot Exp/Non-Appr Must Be:</v>
      </c>
      <c r="H33" s="626"/>
      <c r="I33" s="627"/>
      <c r="J33" s="628">
        <f>IF(J31&gt;0,IF(E46&lt;E24,IF(J31=G44,E46,((J31-G44)*(1-D48))+E24),E46+(J31-G44)),0)</f>
        <v>0</v>
      </c>
    </row>
    <row r="34" spans="2:10" ht="15.75">
      <c r="B34" s="340"/>
      <c r="C34" s="434"/>
      <c r="D34" s="434"/>
      <c r="E34" s="144"/>
      <c r="G34" s="629" t="s">
        <v>812</v>
      </c>
      <c r="H34" s="630"/>
      <c r="I34" s="630"/>
      <c r="J34" s="631">
        <f>IF(J31&gt;0,J33-E46,0)</f>
        <v>0</v>
      </c>
    </row>
    <row r="35" spans="2:5" ht="15.75">
      <c r="B35" s="340"/>
      <c r="C35" s="434"/>
      <c r="D35" s="434"/>
      <c r="E35" s="144"/>
    </row>
    <row r="36" spans="2:10" ht="15.75">
      <c r="B36" s="340"/>
      <c r="C36" s="434"/>
      <c r="D36" s="434"/>
      <c r="E36" s="144"/>
      <c r="G36" s="765" t="str">
        <f>CONCATENATE("Projected Carryover Into ",E1+1,"")</f>
        <v>Projected Carryover Into 2014</v>
      </c>
      <c r="H36" s="766"/>
      <c r="I36" s="766"/>
      <c r="J36" s="767"/>
    </row>
    <row r="37" spans="2:10" ht="15.75">
      <c r="B37" s="340"/>
      <c r="C37" s="434"/>
      <c r="D37" s="434"/>
      <c r="E37" s="144"/>
      <c r="G37" s="487"/>
      <c r="H37" s="486"/>
      <c r="I37" s="486"/>
      <c r="J37" s="488"/>
    </row>
    <row r="38" spans="2:10" ht="15.75">
      <c r="B38" s="340"/>
      <c r="C38" s="434"/>
      <c r="D38" s="434"/>
      <c r="E38" s="144"/>
      <c r="G38" s="473">
        <f>D43</f>
        <v>619292</v>
      </c>
      <c r="H38" s="471" t="str">
        <f>CONCATENATE("",E1-1," Ending Cash Balance (est.)")</f>
        <v>2012 Ending Cash Balance (est.)</v>
      </c>
      <c r="I38" s="470"/>
      <c r="J38" s="488"/>
    </row>
    <row r="39" spans="2:10" ht="15.75">
      <c r="B39" s="306" t="s">
        <v>70</v>
      </c>
      <c r="C39" s="434"/>
      <c r="D39" s="434"/>
      <c r="E39" s="315">
        <f>Nhood!E7</f>
        <v>7716</v>
      </c>
      <c r="G39" s="473">
        <f>E23</f>
        <v>424626</v>
      </c>
      <c r="H39" s="469" t="str">
        <f>CONCATENATE("",E1," Non-AV Receipts (est.)")</f>
        <v>2013 Non-AV Receipts (est.)</v>
      </c>
      <c r="I39" s="470"/>
      <c r="J39" s="488"/>
    </row>
    <row r="40" spans="2:10" ht="15.75">
      <c r="B40" s="306" t="s">
        <v>69</v>
      </c>
      <c r="C40" s="434"/>
      <c r="D40" s="434"/>
      <c r="E40" s="303"/>
      <c r="G40" s="468">
        <f>IF(E48&gt;0,E47,E49)</f>
        <v>1395580</v>
      </c>
      <c r="H40" s="469" t="str">
        <f>CONCATENATE("",E1," Ad Valorem Tax (est.)")</f>
        <v>2013 Ad Valorem Tax (est.)</v>
      </c>
      <c r="I40" s="470"/>
      <c r="J40" s="488"/>
    </row>
    <row r="41" spans="2:10" ht="15.75">
      <c r="B41" s="306" t="s">
        <v>654</v>
      </c>
      <c r="C41" s="435">
        <f>IF(C42*0.1&lt;C40,"Exceed 10% Rule","")</f>
      </c>
      <c r="D41" s="435">
        <f>IF(D42*0.1&lt;D40,"Exceed 10% Rule","")</f>
      </c>
      <c r="E41" s="333">
        <f>IF(E42*0.1&lt;E40,"Exceed 10% Rule","")</f>
      </c>
      <c r="G41" s="473">
        <f>SUM(G38:G40)</f>
        <v>2439498</v>
      </c>
      <c r="H41" s="469" t="str">
        <f>CONCATENATE("Total ",E1," Resources Available")</f>
        <v>Total 2013 Resources Available</v>
      </c>
      <c r="I41" s="470"/>
      <c r="J41" s="488"/>
    </row>
    <row r="42" spans="2:10" ht="15.75">
      <c r="B42" s="308" t="s">
        <v>158</v>
      </c>
      <c r="C42" s="436">
        <f>SUM(C26:C40)</f>
        <v>1473361</v>
      </c>
      <c r="D42" s="436">
        <f>SUM(D26:D40)</f>
        <v>1685000</v>
      </c>
      <c r="E42" s="338">
        <f>SUM(E26:E40)</f>
        <v>2439498</v>
      </c>
      <c r="G42" s="467"/>
      <c r="H42" s="469"/>
      <c r="I42" s="469"/>
      <c r="J42" s="488"/>
    </row>
    <row r="43" spans="2:10" ht="15.75">
      <c r="B43" s="145" t="s">
        <v>263</v>
      </c>
      <c r="C43" s="439">
        <f>C24-C42</f>
        <v>438664</v>
      </c>
      <c r="D43" s="439">
        <f>D24-D42</f>
        <v>619292</v>
      </c>
      <c r="E43" s="217" t="s">
        <v>140</v>
      </c>
      <c r="G43" s="468">
        <f>C42*0.05+C42</f>
        <v>1547029.05</v>
      </c>
      <c r="H43" s="469" t="str">
        <f>CONCATENATE("Less ",E1-2," Expenditures + 5%")</f>
        <v>Less 2011 Expenditures + 5%</v>
      </c>
      <c r="I43" s="470"/>
      <c r="J43" s="488"/>
    </row>
    <row r="44" spans="2:10" ht="15.75">
      <c r="B44" s="284" t="str">
        <f>CONCATENATE("",E$1-2,"/",E$1-1," Budget Authority Amount:")</f>
        <v>2011/2012 Budget Authority Amount:</v>
      </c>
      <c r="C44" s="276">
        <f>inputOth!$B32</f>
        <v>1987500</v>
      </c>
      <c r="D44" s="276">
        <f>inputPrYr!D18</f>
        <v>2063737</v>
      </c>
      <c r="E44" s="217" t="s">
        <v>140</v>
      </c>
      <c r="G44" s="466">
        <f>G41-G43</f>
        <v>892468.95</v>
      </c>
      <c r="H44" s="465" t="str">
        <f>CONCATENATE("Projected ",E1," Carryover (est.)")</f>
        <v>Projected 2013 Carryover (est.)</v>
      </c>
      <c r="I44" s="446"/>
      <c r="J44" s="445"/>
    </row>
    <row r="45" spans="2:5" ht="15.75">
      <c r="B45" s="284"/>
      <c r="C45" s="761" t="s">
        <v>657</v>
      </c>
      <c r="D45" s="762"/>
      <c r="E45" s="109"/>
    </row>
    <row r="46" spans="2:10" ht="15.75">
      <c r="B46" s="476" t="str">
        <f>CONCATENATE(C60,"     ",D60)</f>
        <v>     </v>
      </c>
      <c r="C46" s="763" t="s">
        <v>658</v>
      </c>
      <c r="D46" s="764"/>
      <c r="E46" s="262">
        <f>E42+E45</f>
        <v>2439498</v>
      </c>
      <c r="G46" s="773" t="s">
        <v>813</v>
      </c>
      <c r="H46" s="774"/>
      <c r="I46" s="774"/>
      <c r="J46" s="775"/>
    </row>
    <row r="47" spans="2:10" ht="15.75">
      <c r="B47" s="476" t="str">
        <f>CONCATENATE(C61,"     ",D61)</f>
        <v>     </v>
      </c>
      <c r="C47" s="317"/>
      <c r="D47" s="236" t="s">
        <v>159</v>
      </c>
      <c r="E47" s="117">
        <f>IF(E46-E24&gt;0,E46-E24,0)</f>
        <v>1395580</v>
      </c>
      <c r="F47" s="316"/>
      <c r="G47" s="633"/>
      <c r="H47" s="634"/>
      <c r="I47" s="635"/>
      <c r="J47" s="636"/>
    </row>
    <row r="48" spans="2:11" ht="15.75">
      <c r="B48" s="284"/>
      <c r="C48" s="474" t="s">
        <v>659</v>
      </c>
      <c r="D48" s="617">
        <f>inputOth!$E$23</f>
        <v>0.01</v>
      </c>
      <c r="E48" s="262">
        <f>IF(D48&gt;0,(E47*D48),0)</f>
        <v>13955.800000000001</v>
      </c>
      <c r="F48" s="472">
        <f>IF(E42/0.95-E42&lt;E45,"Exceeds 5%","")</f>
      </c>
      <c r="G48" s="637">
        <f>summ!H17</f>
        <v>32.631</v>
      </c>
      <c r="H48" s="634" t="str">
        <f>CONCATENATE("",E1," Fund Mill Rate")</f>
        <v>2013 Fund Mill Rate</v>
      </c>
      <c r="I48" s="635"/>
      <c r="J48" s="636"/>
      <c r="K48" s="632" t="str">
        <f>IF(G40=E49,"","Note: Does not include Delinquent Taxes")</f>
        <v>Note: Does not include Delinquent Taxes</v>
      </c>
    </row>
    <row r="49" spans="2:10" ht="15.75">
      <c r="B49" s="82"/>
      <c r="C49" s="768" t="str">
        <f>CONCATENATE("Amount of  ",$E$1-1," Ad Valorem Tax")</f>
        <v>Amount of  2012 Ad Valorem Tax</v>
      </c>
      <c r="D49" s="769"/>
      <c r="E49" s="334">
        <f>E47+E48</f>
        <v>1409535.8</v>
      </c>
      <c r="G49" s="638">
        <f>summ!E17</f>
        <v>33.714</v>
      </c>
      <c r="H49" s="634" t="str">
        <f>CONCATENATE("",E1-1," Fund Mill Rate")</f>
        <v>2012 Fund Mill Rate</v>
      </c>
      <c r="I49" s="635"/>
      <c r="J49" s="636"/>
    </row>
    <row r="50" spans="2:10" ht="15.75">
      <c r="B50" s="82"/>
      <c r="C50" s="82"/>
      <c r="D50" s="82"/>
      <c r="E50" s="82"/>
      <c r="G50" s="639">
        <f>summ!H39</f>
        <v>94.09</v>
      </c>
      <c r="H50" s="634" t="str">
        <f>CONCATENATE("Total ",E1," Mill Rate")</f>
        <v>Total 2013 Mill Rate</v>
      </c>
      <c r="I50" s="635"/>
      <c r="J50" s="636"/>
    </row>
    <row r="51" spans="2:10" ht="15.75">
      <c r="B51" s="94"/>
      <c r="C51" s="94" t="s">
        <v>990</v>
      </c>
      <c r="D51" s="339"/>
      <c r="E51" s="339"/>
      <c r="G51" s="638">
        <f>summ!E39</f>
        <v>83.04799999999999</v>
      </c>
      <c r="H51" s="640" t="str">
        <f>CONCATENATE("Total ",E1-1," Mill Rate")</f>
        <v>Total 2012 Mill Rate</v>
      </c>
      <c r="I51" s="641"/>
      <c r="J51" s="642"/>
    </row>
    <row r="60" spans="3:4" ht="15.75">
      <c r="C60" s="69">
        <f>IF(C42&gt;C44,"See Tab A","")</f>
      </c>
      <c r="D60" s="69">
        <f>IF(D42&gt;D44,"See Tab C","")</f>
      </c>
    </row>
    <row r="61" spans="3:4" ht="15.75">
      <c r="C61" s="69">
        <f>IF(C43&lt;0,"See Tab B","")</f>
      </c>
      <c r="D61" s="69">
        <f>IF(D43&lt;0,"See Tab D","")</f>
      </c>
    </row>
    <row r="62" ht="15.75" hidden="1"/>
    <row r="63" ht="15.75" hidden="1"/>
  </sheetData>
  <sheetProtection/>
  <mergeCells count="6">
    <mergeCell ref="C45:D45"/>
    <mergeCell ref="C46:D46"/>
    <mergeCell ref="C49:D49"/>
    <mergeCell ref="G29:J29"/>
    <mergeCell ref="G36:J36"/>
    <mergeCell ref="G46:J46"/>
  </mergeCells>
  <conditionalFormatting sqref="E40">
    <cfRule type="cellIs" priority="2" dxfId="175" operator="greaterThan" stopIfTrue="1">
      <formula>$E$42*0.1</formula>
    </cfRule>
  </conditionalFormatting>
  <conditionalFormatting sqref="E45">
    <cfRule type="cellIs" priority="3" dxfId="175" operator="greaterThan" stopIfTrue="1">
      <formula>$E$42/0.95-$E$42</formula>
    </cfRule>
  </conditionalFormatting>
  <conditionalFormatting sqref="C40">
    <cfRule type="cellIs" priority="7" dxfId="1" operator="greaterThan" stopIfTrue="1">
      <formula>$C$42*0.1</formula>
    </cfRule>
  </conditionalFormatting>
  <conditionalFormatting sqref="D40">
    <cfRule type="cellIs" priority="8" dxfId="1" operator="greaterThan" stopIfTrue="1">
      <formula>$D$42*0.1</formula>
    </cfRule>
  </conditionalFormatting>
  <conditionalFormatting sqref="C42">
    <cfRule type="cellIs" priority="9" dxfId="1" operator="greaterThan" stopIfTrue="1">
      <formula>$C$44</formula>
    </cfRule>
  </conditionalFormatting>
  <conditionalFormatting sqref="C43">
    <cfRule type="cellIs" priority="10" dxfId="1" operator="lessThan" stopIfTrue="1">
      <formula>0</formula>
    </cfRule>
  </conditionalFormatting>
  <conditionalFormatting sqref="D42">
    <cfRule type="cellIs" priority="11" dxfId="1" operator="greaterThan" stopIfTrue="1">
      <formula>$D$44</formula>
    </cfRule>
  </conditionalFormatting>
  <conditionalFormatting sqref="D43">
    <cfRule type="cellIs" priority="1" dxfId="0" operator="lessThan" stopIfTrue="1">
      <formula>0</formula>
    </cfRule>
  </conditionalFormatting>
  <printOptions/>
  <pageMargins left="0.75" right="0.75" top="1" bottom="0.5" header="0.5" footer="0.5"/>
  <pageSetup blackAndWhite="1" fitToHeight="2" horizontalDpi="600" verticalDpi="600" orientation="portrait" scale="85" r:id="rId1"/>
  <headerFooter alignWithMargins="0">
    <oddHeader>&amp;RState of Kansas
County</oddHeader>
  </headerFooter>
</worksheet>
</file>

<file path=xl/worksheets/sheet16.xml><?xml version="1.0" encoding="utf-8"?>
<worksheet xmlns="http://schemas.openxmlformats.org/spreadsheetml/2006/main" xmlns:r="http://schemas.openxmlformats.org/officeDocument/2006/relationships">
  <dimension ref="B1:K74"/>
  <sheetViews>
    <sheetView zoomScalePageLayoutView="0" workbookViewId="0" topLeftCell="A1">
      <selection activeCell="A29" sqref="A29:H37"/>
    </sheetView>
  </sheetViews>
  <sheetFormatPr defaultColWidth="8.796875" defaultRowHeight="15"/>
  <cols>
    <col min="1" max="1" width="2.3984375" style="69" customWidth="1"/>
    <col min="2" max="2" width="31.09765625" style="69" customWidth="1"/>
    <col min="3" max="4" width="15.796875" style="69" customWidth="1"/>
    <col min="5" max="5" width="16.0976562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5" ht="15.75">
      <c r="B1" s="224" t="str">
        <f>(inputPrYr!C2)</f>
        <v>Sheridan County</v>
      </c>
      <c r="C1" s="82"/>
      <c r="D1" s="82"/>
      <c r="E1" s="283">
        <f>inputPrYr!C4</f>
        <v>2013</v>
      </c>
    </row>
    <row r="2" spans="2:5" ht="4.5" customHeight="1" hidden="1">
      <c r="B2" s="82"/>
      <c r="C2" s="82"/>
      <c r="D2" s="82"/>
      <c r="E2" s="236"/>
    </row>
    <row r="3" spans="2:5" ht="15.75">
      <c r="B3" s="149" t="s">
        <v>222</v>
      </c>
      <c r="C3" s="329"/>
      <c r="D3" s="329"/>
      <c r="E3" s="330"/>
    </row>
    <row r="4" spans="2:5" ht="15.75">
      <c r="B4" s="81" t="s">
        <v>153</v>
      </c>
      <c r="C4" s="666" t="s">
        <v>814</v>
      </c>
      <c r="D4" s="667" t="s">
        <v>815</v>
      </c>
      <c r="E4" s="211" t="s">
        <v>816</v>
      </c>
    </row>
    <row r="5" spans="2:10" ht="15.75">
      <c r="B5" s="454" t="str">
        <f>inputPrYr!B19</f>
        <v>Noxious Weed</v>
      </c>
      <c r="C5" s="437" t="str">
        <f>CONCATENATE("Actual for ",E1-2,"")</f>
        <v>Actual for 2011</v>
      </c>
      <c r="D5" s="437" t="str">
        <f>CONCATENATE("Estimate for ",E1-1,"")</f>
        <v>Estimate for 2012</v>
      </c>
      <c r="E5" s="299" t="str">
        <f>CONCATENATE("Year for ",E1,"")</f>
        <v>Year for 2013</v>
      </c>
      <c r="G5" s="770" t="str">
        <f>CONCATENATE("Desired Carryover Into ",E1+1,"")</f>
        <v>Desired Carryover Into 2014</v>
      </c>
      <c r="H5" s="771"/>
      <c r="I5" s="771"/>
      <c r="J5" s="772"/>
    </row>
    <row r="6" spans="2:10" ht="15.75">
      <c r="B6" s="145" t="s">
        <v>262</v>
      </c>
      <c r="C6" s="434">
        <v>10121</v>
      </c>
      <c r="D6" s="438">
        <f>C26</f>
        <v>12303</v>
      </c>
      <c r="E6" s="262">
        <f>D26</f>
        <v>541</v>
      </c>
      <c r="G6" s="618"/>
      <c r="H6" s="619"/>
      <c r="I6" s="620"/>
      <c r="J6" s="621"/>
    </row>
    <row r="7" spans="2:10" ht="15.75">
      <c r="B7" s="287" t="s">
        <v>264</v>
      </c>
      <c r="C7" s="302"/>
      <c r="D7" s="302"/>
      <c r="E7" s="124"/>
      <c r="G7" s="622" t="s">
        <v>660</v>
      </c>
      <c r="H7" s="620"/>
      <c r="I7" s="620"/>
      <c r="J7" s="623">
        <v>0</v>
      </c>
    </row>
    <row r="8" spans="2:10" ht="15.75">
      <c r="B8" s="145" t="s">
        <v>917</v>
      </c>
      <c r="C8" s="434">
        <v>69407</v>
      </c>
      <c r="D8" s="438">
        <f>IF(inputPrYr!H19&gt;0,inputPrYr!H19,inputPrYr!E19)</f>
        <v>96681</v>
      </c>
      <c r="E8" s="332" t="s">
        <v>140</v>
      </c>
      <c r="G8" s="618" t="s">
        <v>661</v>
      </c>
      <c r="H8" s="619"/>
      <c r="I8" s="619"/>
      <c r="J8" s="624">
        <f>IF(J7=0,"",ROUND((J7+E32-G20)/inputOth!E6*1000,3)-G25)</f>
      </c>
    </row>
    <row r="9" spans="2:10" ht="15.75">
      <c r="B9" s="145" t="s">
        <v>918</v>
      </c>
      <c r="C9" s="434">
        <v>365</v>
      </c>
      <c r="D9" s="434">
        <v>416</v>
      </c>
      <c r="E9" s="109">
        <v>500</v>
      </c>
      <c r="G9" s="625" t="str">
        <f>CONCATENATE("",E1," Tot Exp/Non-Appr Must Be:")</f>
        <v>2013 Tot Exp/Non-Appr Must Be:</v>
      </c>
      <c r="H9" s="626"/>
      <c r="I9" s="627"/>
      <c r="J9" s="628">
        <f>IF(J7&gt;0,IF(E29&lt;E17,IF(J7=G20,E29,((J7-G20)*(1-D31))+E17),E29+(J7-G20)),0)</f>
        <v>0</v>
      </c>
    </row>
    <row r="10" spans="2:10" ht="15.75">
      <c r="B10" s="145" t="s">
        <v>919</v>
      </c>
      <c r="C10" s="434">
        <v>8080</v>
      </c>
      <c r="D10" s="434">
        <v>7900</v>
      </c>
      <c r="E10" s="262">
        <f>mvalloc!E10</f>
        <v>8593</v>
      </c>
      <c r="G10" s="629" t="s">
        <v>812</v>
      </c>
      <c r="H10" s="630"/>
      <c r="I10" s="630"/>
      <c r="J10" s="631">
        <f>IF(J7&gt;0,J9-E29,0)</f>
        <v>0</v>
      </c>
    </row>
    <row r="11" spans="2:10" ht="15.75">
      <c r="B11" s="145" t="s">
        <v>920</v>
      </c>
      <c r="C11" s="434">
        <v>143</v>
      </c>
      <c r="D11" s="434">
        <v>150</v>
      </c>
      <c r="E11" s="262">
        <f>mvalloc!F10</f>
        <v>157</v>
      </c>
      <c r="G11" s="1"/>
      <c r="H11" s="1"/>
      <c r="I11" s="1"/>
      <c r="J11" s="1"/>
    </row>
    <row r="12" spans="2:10" ht="15.75">
      <c r="B12" s="302" t="s">
        <v>995</v>
      </c>
      <c r="C12" s="434">
        <v>1297</v>
      </c>
      <c r="D12" s="434">
        <v>1043</v>
      </c>
      <c r="E12" s="262">
        <f>mvalloc!G10</f>
        <v>1227</v>
      </c>
      <c r="G12" s="770" t="str">
        <f>CONCATENATE("Projected Carryover Into ",E1+1,"")</f>
        <v>Projected Carryover Into 2014</v>
      </c>
      <c r="H12" s="777"/>
      <c r="I12" s="777"/>
      <c r="J12" s="778"/>
    </row>
    <row r="13" spans="2:10" ht="15.75">
      <c r="B13" s="314" t="s">
        <v>996</v>
      </c>
      <c r="C13" s="434">
        <v>35349</v>
      </c>
      <c r="D13" s="434">
        <v>40548</v>
      </c>
      <c r="E13" s="109">
        <v>60000</v>
      </c>
      <c r="G13" s="618"/>
      <c r="H13" s="620"/>
      <c r="I13" s="620"/>
      <c r="J13" s="643"/>
    </row>
    <row r="14" spans="2:10" ht="15.75">
      <c r="B14" s="306" t="s">
        <v>69</v>
      </c>
      <c r="C14" s="434"/>
      <c r="D14" s="434"/>
      <c r="E14" s="109"/>
      <c r="G14" s="644">
        <f>D26</f>
        <v>541</v>
      </c>
      <c r="H14" s="634" t="str">
        <f>CONCATENATE("",E1-1," Ending Cash Balance (est.)")</f>
        <v>2012 Ending Cash Balance (est.)</v>
      </c>
      <c r="I14" s="645"/>
      <c r="J14" s="643"/>
    </row>
    <row r="15" spans="2:10" ht="15.75">
      <c r="B15" s="306" t="s">
        <v>655</v>
      </c>
      <c r="C15" s="435">
        <f>IF(C16*0.1&lt;C14,"Exceed 10% Rule","")</f>
      </c>
      <c r="D15" s="435">
        <f>IF(D16*0.1&lt;D14,"Exceed 10% Rule","")</f>
      </c>
      <c r="E15" s="333">
        <f>IF(E16*0.1+E32&lt;E14,"Exceed 10% Rule","")</f>
      </c>
      <c r="G15" s="644">
        <f>E16</f>
        <v>70477</v>
      </c>
      <c r="H15" s="620" t="str">
        <f>CONCATENATE("",E1," Non-AV Receipts (est.)")</f>
        <v>2013 Non-AV Receipts (est.)</v>
      </c>
      <c r="I15" s="645"/>
      <c r="J15" s="643"/>
    </row>
    <row r="16" spans="2:10" ht="15.75">
      <c r="B16" s="308" t="s">
        <v>154</v>
      </c>
      <c r="C16" s="436">
        <f>SUM(C8:C14)</f>
        <v>114641</v>
      </c>
      <c r="D16" s="436">
        <f>SUM(D8:D14)</f>
        <v>146738</v>
      </c>
      <c r="E16" s="338">
        <f>SUM(E8:E14)</f>
        <v>70477</v>
      </c>
      <c r="G16" s="646">
        <f>IF(E31&gt;0,E30,E32)</f>
        <v>119169</v>
      </c>
      <c r="H16" s="620" t="str">
        <f>CONCATENATE("",E1," Ad Valorem Tax (est.)")</f>
        <v>2013 Ad Valorem Tax (est.)</v>
      </c>
      <c r="I16" s="645"/>
      <c r="J16" s="643"/>
    </row>
    <row r="17" spans="2:10" ht="15.75">
      <c r="B17" s="308" t="s">
        <v>155</v>
      </c>
      <c r="C17" s="436">
        <f>C6+C16</f>
        <v>124762</v>
      </c>
      <c r="D17" s="436">
        <f>D6+D16</f>
        <v>159041</v>
      </c>
      <c r="E17" s="338">
        <f>E6+E16</f>
        <v>71018</v>
      </c>
      <c r="G17" s="644">
        <f>SUM(G14:G16)</f>
        <v>190187</v>
      </c>
      <c r="H17" s="620" t="str">
        <f>CONCATENATE("Total ",E1," Resources Available")</f>
        <v>Total 2013 Resources Available</v>
      </c>
      <c r="I17" s="645"/>
      <c r="J17" s="643"/>
    </row>
    <row r="18" spans="2:10" ht="15.75">
      <c r="B18" s="145" t="s">
        <v>157</v>
      </c>
      <c r="C18" s="306"/>
      <c r="D18" s="306"/>
      <c r="E18" s="105"/>
      <c r="G18" s="647"/>
      <c r="H18" s="620"/>
      <c r="I18" s="620"/>
      <c r="J18" s="643"/>
    </row>
    <row r="19" spans="2:10" ht="15.75">
      <c r="B19" s="314" t="s">
        <v>962</v>
      </c>
      <c r="C19" s="434">
        <v>30745</v>
      </c>
      <c r="D19" s="434">
        <v>34500</v>
      </c>
      <c r="E19" s="109">
        <v>45000</v>
      </c>
      <c r="G19" s="646">
        <f>ROUND(C25*0.05+C25,0)</f>
        <v>118082</v>
      </c>
      <c r="H19" s="620" t="str">
        <f>CONCATENATE("Less ",E1-2," Expenditures + 5%")</f>
        <v>Less 2011 Expenditures + 5%</v>
      </c>
      <c r="I19" s="645"/>
      <c r="J19" s="648"/>
    </row>
    <row r="20" spans="2:10" ht="15.75">
      <c r="B20" s="314" t="s">
        <v>966</v>
      </c>
      <c r="C20" s="434">
        <v>71714</v>
      </c>
      <c r="D20" s="434">
        <v>114000</v>
      </c>
      <c r="E20" s="109">
        <v>134528</v>
      </c>
      <c r="G20" s="649">
        <f>G17-G19</f>
        <v>72105</v>
      </c>
      <c r="H20" s="650" t="str">
        <f>CONCATENATE("Projected ",E1+1," carryover (est.)")</f>
        <v>Projected 2014 carryover (est.)</v>
      </c>
      <c r="I20" s="651"/>
      <c r="J20" s="652"/>
    </row>
    <row r="21" spans="2:10" ht="15.75">
      <c r="B21" s="314" t="s">
        <v>997</v>
      </c>
      <c r="C21" s="434">
        <v>10000</v>
      </c>
      <c r="D21" s="434">
        <v>10000</v>
      </c>
      <c r="E21" s="109">
        <v>10000</v>
      </c>
      <c r="G21" s="1"/>
      <c r="H21" s="1"/>
      <c r="I21" s="1"/>
      <c r="J21" s="1"/>
    </row>
    <row r="22" spans="2:10" ht="15.75">
      <c r="B22" s="306" t="s">
        <v>70</v>
      </c>
      <c r="C22" s="434"/>
      <c r="D22" s="434"/>
      <c r="E22" s="117">
        <f>Nhood!E8</f>
        <v>659</v>
      </c>
      <c r="G22" s="773" t="s">
        <v>813</v>
      </c>
      <c r="H22" s="774"/>
      <c r="I22" s="774"/>
      <c r="J22" s="775"/>
    </row>
    <row r="23" spans="2:10" ht="15.75">
      <c r="B23" s="306" t="s">
        <v>69</v>
      </c>
      <c r="C23" s="434"/>
      <c r="D23" s="434"/>
      <c r="E23" s="109"/>
      <c r="G23" s="633"/>
      <c r="H23" s="634"/>
      <c r="I23" s="635"/>
      <c r="J23" s="636"/>
    </row>
    <row r="24" spans="2:10" ht="15.75">
      <c r="B24" s="306" t="s">
        <v>654</v>
      </c>
      <c r="C24" s="435">
        <f>IF(C25*0.1&lt;C23,"Exceed 10% Rule","")</f>
      </c>
      <c r="D24" s="435">
        <f>IF(D25*0.1&lt;D23,"Exceed 10% Rule","")</f>
      </c>
      <c r="E24" s="333">
        <f>IF(E25*0.1&lt;E23,"Exceed 10% Rule","")</f>
      </c>
      <c r="G24" s="637">
        <f>summ!H18</f>
        <v>2.786</v>
      </c>
      <c r="H24" s="634" t="str">
        <f>CONCATENATE("",E1," Fund Mill Rate")</f>
        <v>2013 Fund Mill Rate</v>
      </c>
      <c r="I24" s="635"/>
      <c r="J24" s="636"/>
    </row>
    <row r="25" spans="2:10" ht="15.75">
      <c r="B25" s="308" t="s">
        <v>158</v>
      </c>
      <c r="C25" s="436">
        <f>SUM(C19:C23)</f>
        <v>112459</v>
      </c>
      <c r="D25" s="436">
        <f>SUM(D19:D23)</f>
        <v>158500</v>
      </c>
      <c r="E25" s="338">
        <f>SUM(E19:E23)</f>
        <v>190187</v>
      </c>
      <c r="G25" s="638">
        <f>summ!E18</f>
        <v>2.194</v>
      </c>
      <c r="H25" s="634" t="str">
        <f>CONCATENATE("",E1-1," Fund Mill Rate")</f>
        <v>2012 Fund Mill Rate</v>
      </c>
      <c r="I25" s="635"/>
      <c r="J25" s="636"/>
    </row>
    <row r="26" spans="2:10" ht="15.75">
      <c r="B26" s="145" t="s">
        <v>263</v>
      </c>
      <c r="C26" s="439">
        <f>C17-C25</f>
        <v>12303</v>
      </c>
      <c r="D26" s="439">
        <f>D17-D25</f>
        <v>541</v>
      </c>
      <c r="E26" s="332" t="s">
        <v>140</v>
      </c>
      <c r="G26" s="639">
        <f>summ!H39</f>
        <v>94.09</v>
      </c>
      <c r="H26" s="634" t="str">
        <f>CONCATENATE("Total ",E1," Mill Rate")</f>
        <v>Total 2013 Mill Rate</v>
      </c>
      <c r="I26" s="635"/>
      <c r="J26" s="636"/>
    </row>
    <row r="27" spans="2:10" ht="15.75">
      <c r="B27" s="284" t="str">
        <f>CONCATENATE("",E$1-2,"/",E$1-1," Budget Authority Amount:")</f>
        <v>2011/2012 Budget Authority Amount:</v>
      </c>
      <c r="C27" s="276">
        <f>inputOth!B33</f>
        <v>139529</v>
      </c>
      <c r="D27" s="276">
        <f>inputPrYr!D19</f>
        <v>164975</v>
      </c>
      <c r="E27" s="332" t="s">
        <v>140</v>
      </c>
      <c r="G27" s="638">
        <f>summ!E39</f>
        <v>83.04799999999999</v>
      </c>
      <c r="H27" s="640" t="str">
        <f>CONCATENATE("Total ",E1-1," Mill Rate")</f>
        <v>Total 2012 Mill Rate</v>
      </c>
      <c r="I27" s="641"/>
      <c r="J27" s="642"/>
    </row>
    <row r="28" spans="2:10" ht="15.75">
      <c r="B28" s="284"/>
      <c r="C28" s="761" t="s">
        <v>657</v>
      </c>
      <c r="D28" s="762"/>
      <c r="E28" s="109"/>
      <c r="G28" s="1"/>
      <c r="H28" s="1"/>
      <c r="I28" s="1"/>
      <c r="J28" s="1"/>
    </row>
    <row r="29" spans="2:10" ht="15.75">
      <c r="B29" s="476" t="str">
        <f>CONCATENATE(C71,"     ",D71)</f>
        <v>     </v>
      </c>
      <c r="C29" s="763" t="s">
        <v>658</v>
      </c>
      <c r="D29" s="764"/>
      <c r="E29" s="262">
        <f>E25+E28</f>
        <v>190187</v>
      </c>
      <c r="G29" s="1"/>
      <c r="H29" s="1"/>
      <c r="I29" s="1"/>
      <c r="J29" s="1"/>
    </row>
    <row r="30" spans="2:10" ht="15.75">
      <c r="B30" s="476" t="str">
        <f>CONCATENATE(C72,"     ",D72)</f>
        <v>     </v>
      </c>
      <c r="C30" s="317"/>
      <c r="D30" s="236" t="s">
        <v>159</v>
      </c>
      <c r="E30" s="117">
        <f>IF(E29-E17&gt;0,E29-E17,0)</f>
        <v>119169</v>
      </c>
      <c r="G30" s="1"/>
      <c r="H30" s="1"/>
      <c r="I30" s="1"/>
      <c r="J30" s="1"/>
    </row>
    <row r="31" spans="2:11" ht="15.75">
      <c r="B31" s="236"/>
      <c r="C31" s="474" t="s">
        <v>659</v>
      </c>
      <c r="D31" s="617">
        <f>inputOth!$E$23</f>
        <v>0.01</v>
      </c>
      <c r="E31" s="262">
        <f>ROUND(IF(D31&gt;0,($E$30*D31),0),0)</f>
        <v>1192</v>
      </c>
      <c r="F31" s="316"/>
      <c r="G31" s="1"/>
      <c r="H31" s="1"/>
      <c r="I31" s="1"/>
      <c r="J31" s="1"/>
      <c r="K31" s="632" t="str">
        <f>IF(G16=E32,"","Note: Does not include Delinquent Taxes")</f>
        <v>Note: Does not include Delinquent Taxes</v>
      </c>
    </row>
    <row r="32" spans="2:10" ht="15.75">
      <c r="B32" s="82"/>
      <c r="C32" s="768" t="str">
        <f>CONCATENATE("Amount of  ",$E$1-1," Ad Valorem Tax")</f>
        <v>Amount of  2012 Ad Valorem Tax</v>
      </c>
      <c r="D32" s="769"/>
      <c r="E32" s="334">
        <f>E30+E31</f>
        <v>120361</v>
      </c>
      <c r="F32" s="472">
        <f>IF(E25/0.95-E25&lt;E28,"Exceeds 5%","")</f>
      </c>
      <c r="G32" s="1"/>
      <c r="H32" s="1"/>
      <c r="I32" s="1"/>
      <c r="J32" s="1"/>
    </row>
    <row r="33" spans="2:10" ht="7.5" customHeight="1">
      <c r="B33" s="82"/>
      <c r="C33" s="323"/>
      <c r="D33" s="323"/>
      <c r="E33" s="323"/>
      <c r="G33" s="1"/>
      <c r="H33" s="1"/>
      <c r="I33" s="1"/>
      <c r="J33" s="1"/>
    </row>
    <row r="34" spans="2:10" ht="12" customHeight="1">
      <c r="B34" s="81" t="s">
        <v>153</v>
      </c>
      <c r="C34" s="666" t="str">
        <f aca="true" t="shared" si="0" ref="C34:E35">C4</f>
        <v>Prior Year </v>
      </c>
      <c r="D34" s="667" t="str">
        <f t="shared" si="0"/>
        <v>Current Year </v>
      </c>
      <c r="E34" s="211" t="str">
        <f t="shared" si="0"/>
        <v>Proposed Budget </v>
      </c>
      <c r="G34" s="1"/>
      <c r="H34" s="1"/>
      <c r="I34" s="1"/>
      <c r="J34" s="1"/>
    </row>
    <row r="35" spans="2:10" ht="15.75">
      <c r="B35" s="453" t="str">
        <f>(inputPrYr!B20)</f>
        <v>Mental Health</v>
      </c>
      <c r="C35" s="437" t="str">
        <f t="shared" si="0"/>
        <v>Actual for 2011</v>
      </c>
      <c r="D35" s="437" t="str">
        <f t="shared" si="0"/>
        <v>Estimate for 2012</v>
      </c>
      <c r="E35" s="299" t="str">
        <f t="shared" si="0"/>
        <v>Year for 2013</v>
      </c>
      <c r="G35" s="1"/>
      <c r="H35" s="1"/>
      <c r="I35" s="1"/>
      <c r="J35" s="1"/>
    </row>
    <row r="36" spans="2:10" ht="15.75">
      <c r="B36" s="145" t="s">
        <v>262</v>
      </c>
      <c r="C36" s="434">
        <v>0</v>
      </c>
      <c r="D36" s="438">
        <f>C53</f>
        <v>0</v>
      </c>
      <c r="E36" s="262">
        <f>D53</f>
        <v>0</v>
      </c>
      <c r="G36" s="1"/>
      <c r="H36" s="1"/>
      <c r="I36" s="1"/>
      <c r="J36" s="1"/>
    </row>
    <row r="37" spans="2:10" ht="15.75">
      <c r="B37" s="300" t="s">
        <v>264</v>
      </c>
      <c r="C37" s="302"/>
      <c r="D37" s="302"/>
      <c r="E37" s="124"/>
      <c r="G37" s="1"/>
      <c r="H37" s="1"/>
      <c r="I37" s="1"/>
      <c r="J37" s="1"/>
    </row>
    <row r="38" spans="2:10" ht="15.75">
      <c r="B38" s="145" t="s">
        <v>917</v>
      </c>
      <c r="C38" s="434">
        <v>14233</v>
      </c>
      <c r="D38" s="438">
        <f>IF(inputPrYr!H20&gt;0,inputPrYr!H20,inputPrYr!E20)</f>
        <v>14708</v>
      </c>
      <c r="E38" s="332" t="s">
        <v>140</v>
      </c>
      <c r="G38" s="770" t="str">
        <f>CONCATENATE("Desired Carryover Into ",E1+1,"")</f>
        <v>Desired Carryover Into 2014</v>
      </c>
      <c r="H38" s="771"/>
      <c r="I38" s="771"/>
      <c r="J38" s="772"/>
    </row>
    <row r="39" spans="2:10" ht="15.75">
      <c r="B39" s="145" t="s">
        <v>918</v>
      </c>
      <c r="C39" s="434">
        <v>91</v>
      </c>
      <c r="D39" s="434">
        <v>91</v>
      </c>
      <c r="E39" s="109">
        <v>180</v>
      </c>
      <c r="G39" s="618"/>
      <c r="H39" s="619"/>
      <c r="I39" s="620"/>
      <c r="J39" s="621"/>
    </row>
    <row r="40" spans="2:10" ht="15.75">
      <c r="B40" s="145" t="s">
        <v>919</v>
      </c>
      <c r="C40" s="434">
        <v>1720</v>
      </c>
      <c r="D40" s="434">
        <v>1552</v>
      </c>
      <c r="E40" s="262">
        <f>mvalloc!E11</f>
        <v>1307</v>
      </c>
      <c r="G40" s="622" t="s">
        <v>660</v>
      </c>
      <c r="H40" s="620"/>
      <c r="I40" s="620"/>
      <c r="J40" s="623">
        <v>0</v>
      </c>
    </row>
    <row r="41" spans="2:10" ht="15.75">
      <c r="B41" s="145" t="s">
        <v>920</v>
      </c>
      <c r="C41" s="434">
        <v>30</v>
      </c>
      <c r="D41" s="434">
        <v>28</v>
      </c>
      <c r="E41" s="262">
        <f>mvalloc!F11</f>
        <v>24</v>
      </c>
      <c r="G41" s="618" t="s">
        <v>661</v>
      </c>
      <c r="H41" s="619"/>
      <c r="I41" s="619"/>
      <c r="J41" s="624">
        <f>IF(J40=0,"",ROUND((J40+E59-G53)/inputOth!E6*1000,3)-G58)</f>
      </c>
    </row>
    <row r="42" spans="2:10" ht="15.75">
      <c r="B42" s="302" t="s">
        <v>995</v>
      </c>
      <c r="C42" s="434">
        <v>267</v>
      </c>
      <c r="D42" s="434">
        <v>220</v>
      </c>
      <c r="E42" s="262">
        <f>mvalloc!G11</f>
        <v>187</v>
      </c>
      <c r="G42" s="625" t="str">
        <f>CONCATENATE("",E1," Tot Exp/Non-Appr Must Be:")</f>
        <v>2013 Tot Exp/Non-Appr Must Be:</v>
      </c>
      <c r="H42" s="626"/>
      <c r="I42" s="627"/>
      <c r="J42" s="628">
        <f>IF(J40&gt;0,IF(E56&lt;E46,IF(J40=G53,E56,((J40-G53)*(1-D58))+E46),E56+(J40-G53)),0)</f>
        <v>0</v>
      </c>
    </row>
    <row r="43" spans="2:10" ht="15.75">
      <c r="B43" s="306" t="s">
        <v>69</v>
      </c>
      <c r="C43" s="434"/>
      <c r="D43" s="434"/>
      <c r="E43" s="109"/>
      <c r="G43" s="629" t="s">
        <v>812</v>
      </c>
      <c r="H43" s="630"/>
      <c r="I43" s="630"/>
      <c r="J43" s="631">
        <f>IF(J40&gt;0,J42-E56,0)</f>
        <v>0</v>
      </c>
    </row>
    <row r="44" spans="2:10" ht="15.75">
      <c r="B44" s="306" t="s">
        <v>655</v>
      </c>
      <c r="C44" s="435">
        <f>IF(C45*0.1&lt;C43,"Exceed 10% Rule","")</f>
      </c>
      <c r="D44" s="435">
        <f>IF(D45*0.1&lt;D43,"Exceed 10% Rule","")</f>
      </c>
      <c r="E44" s="333">
        <f>IF(E45*0.1+E59&lt;E43,"Exceed 10% Rule","")</f>
      </c>
      <c r="G44" s="1"/>
      <c r="H44" s="1"/>
      <c r="I44" s="1"/>
      <c r="J44" s="1"/>
    </row>
    <row r="45" spans="2:10" ht="15.75">
      <c r="B45" s="308" t="s">
        <v>154</v>
      </c>
      <c r="C45" s="436">
        <f>SUM(C38:C43)</f>
        <v>16341</v>
      </c>
      <c r="D45" s="436">
        <f>SUM(D38:D43)</f>
        <v>16599</v>
      </c>
      <c r="E45" s="338">
        <f>SUM(E38:E43)</f>
        <v>1698</v>
      </c>
      <c r="G45" s="770" t="str">
        <f>CONCATENATE("Projected Carryover Into ",E1+1,"")</f>
        <v>Projected Carryover Into 2014</v>
      </c>
      <c r="H45" s="779"/>
      <c r="I45" s="779"/>
      <c r="J45" s="778"/>
    </row>
    <row r="46" spans="2:10" ht="15.75">
      <c r="B46" s="308" t="s">
        <v>155</v>
      </c>
      <c r="C46" s="436">
        <f>C36+C45</f>
        <v>16341</v>
      </c>
      <c r="D46" s="436">
        <f>D36+D45</f>
        <v>16599</v>
      </c>
      <c r="E46" s="338">
        <f>E36+E45</f>
        <v>1698</v>
      </c>
      <c r="G46" s="653"/>
      <c r="H46" s="619"/>
      <c r="I46" s="619"/>
      <c r="J46" s="648"/>
    </row>
    <row r="47" spans="2:10" ht="15.75">
      <c r="B47" s="145" t="s">
        <v>157</v>
      </c>
      <c r="C47" s="306"/>
      <c r="D47" s="306"/>
      <c r="E47" s="105"/>
      <c r="G47" s="644">
        <f>D53</f>
        <v>0</v>
      </c>
      <c r="H47" s="634" t="str">
        <f>CONCATENATE("",E1-1," Ending Cash Balance (est.)")</f>
        <v>2012 Ending Cash Balance (est.)</v>
      </c>
      <c r="I47" s="645"/>
      <c r="J47" s="648"/>
    </row>
    <row r="48" spans="2:10" ht="15.75">
      <c r="B48" s="314" t="s">
        <v>998</v>
      </c>
      <c r="C48" s="434">
        <v>16341</v>
      </c>
      <c r="D48" s="434">
        <v>16599</v>
      </c>
      <c r="E48" s="109">
        <v>16500</v>
      </c>
      <c r="G48" s="644">
        <f>E45</f>
        <v>1698</v>
      </c>
      <c r="H48" s="620" t="str">
        <f>CONCATENATE("",E1," Non-AV Receipts (est.)")</f>
        <v>2013 Non-AV Receipts (est.)</v>
      </c>
      <c r="I48" s="645"/>
      <c r="J48" s="648"/>
    </row>
    <row r="49" spans="2:10" ht="15.75">
      <c r="B49" s="306" t="s">
        <v>70</v>
      </c>
      <c r="C49" s="434"/>
      <c r="D49" s="434"/>
      <c r="E49" s="117">
        <f>Nhood!E9</f>
        <v>82</v>
      </c>
      <c r="G49" s="646">
        <f>IF(E58&gt;0,E57,E59)</f>
        <v>14884</v>
      </c>
      <c r="H49" s="620" t="str">
        <f>CONCATENATE("",E1," Ad Valorem Tax (est.)")</f>
        <v>2013 Ad Valorem Tax (est.)</v>
      </c>
      <c r="I49" s="645"/>
      <c r="J49" s="648"/>
    </row>
    <row r="50" spans="2:10" ht="15.75">
      <c r="B50" s="306" t="s">
        <v>69</v>
      </c>
      <c r="C50" s="434"/>
      <c r="D50" s="434"/>
      <c r="E50" s="109"/>
      <c r="G50" s="654">
        <f>SUM(G47:G49)</f>
        <v>16582</v>
      </c>
      <c r="H50" s="620" t="str">
        <f>CONCATENATE("Total ",E1," Resources Available")</f>
        <v>Total 2013 Resources Available</v>
      </c>
      <c r="I50" s="655"/>
      <c r="J50" s="648"/>
    </row>
    <row r="51" spans="2:10" ht="15.75">
      <c r="B51" s="306" t="s">
        <v>654</v>
      </c>
      <c r="C51" s="435">
        <f>IF(C52*0.1&lt;C50,"Exceed 10% Rule","")</f>
      </c>
      <c r="D51" s="435">
        <f>IF(D52*0.1&lt;D50,"Exceed 10% Rule","")</f>
      </c>
      <c r="E51" s="333">
        <f>IF(E52*0.1&lt;E50,"Exceed 10% Rule","")</f>
      </c>
      <c r="G51" s="656"/>
      <c r="H51" s="657"/>
      <c r="I51" s="619"/>
      <c r="J51" s="648"/>
    </row>
    <row r="52" spans="2:10" ht="15.75">
      <c r="B52" s="308" t="s">
        <v>158</v>
      </c>
      <c r="C52" s="436">
        <f>SUM(C48:C50)</f>
        <v>16341</v>
      </c>
      <c r="D52" s="436">
        <f>SUM(D48:D50)</f>
        <v>16599</v>
      </c>
      <c r="E52" s="338">
        <f>SUM(E48:E50)</f>
        <v>16582</v>
      </c>
      <c r="G52" s="658">
        <f>ROUND(C52*0.05+C52,0)</f>
        <v>17158</v>
      </c>
      <c r="H52" s="620" t="str">
        <f>CONCATENATE("Less ",E1-2," Expenditures + 5%")</f>
        <v>Less 2011 Expenditures + 5%</v>
      </c>
      <c r="I52" s="655"/>
      <c r="J52" s="648"/>
    </row>
    <row r="53" spans="2:10" ht="15.75">
      <c r="B53" s="145" t="s">
        <v>263</v>
      </c>
      <c r="C53" s="439">
        <f>C46-C52</f>
        <v>0</v>
      </c>
      <c r="D53" s="439">
        <f>D46-D52</f>
        <v>0</v>
      </c>
      <c r="E53" s="332" t="s">
        <v>140</v>
      </c>
      <c r="G53" s="659">
        <f>G50-G52</f>
        <v>-576</v>
      </c>
      <c r="H53" s="650" t="str">
        <f>CONCATENATE("Projected ",E1+1," carryover (est.)")</f>
        <v>Projected 2014 carryover (est.)</v>
      </c>
      <c r="I53" s="660"/>
      <c r="J53" s="661"/>
    </row>
    <row r="54" spans="2:10" ht="15.75">
      <c r="B54" s="284" t="str">
        <f>CONCATENATE("",E$1-2,"/",E$1-1," Budget Authority Amount:")</f>
        <v>2011/2012 Budget Authority Amount:</v>
      </c>
      <c r="C54" s="276">
        <f>inputOth!B34</f>
        <v>16500</v>
      </c>
      <c r="D54" s="276">
        <f>inputPrYr!D20</f>
        <v>16512</v>
      </c>
      <c r="E54" s="332" t="s">
        <v>140</v>
      </c>
      <c r="G54" s="1"/>
      <c r="H54" s="1"/>
      <c r="I54" s="1"/>
      <c r="J54" s="1"/>
    </row>
    <row r="55" spans="2:10" ht="15.75">
      <c r="B55" s="284"/>
      <c r="C55" s="761" t="s">
        <v>657</v>
      </c>
      <c r="D55" s="762"/>
      <c r="E55" s="109"/>
      <c r="G55" s="773" t="s">
        <v>813</v>
      </c>
      <c r="H55" s="774"/>
      <c r="I55" s="774"/>
      <c r="J55" s="775"/>
    </row>
    <row r="56" spans="2:10" ht="15.75">
      <c r="B56" s="475" t="s">
        <v>1050</v>
      </c>
      <c r="C56" s="763" t="s">
        <v>658</v>
      </c>
      <c r="D56" s="764"/>
      <c r="E56" s="262">
        <f>E52+E55</f>
        <v>16582</v>
      </c>
      <c r="G56" s="633"/>
      <c r="H56" s="634"/>
      <c r="I56" s="635"/>
      <c r="J56" s="636"/>
    </row>
    <row r="57" spans="2:10" ht="15.75">
      <c r="B57" s="475" t="str">
        <f>CONCATENATE(C74,"     ",D74)</f>
        <v>     </v>
      </c>
      <c r="C57" s="317"/>
      <c r="D57" s="236" t="s">
        <v>159</v>
      </c>
      <c r="E57" s="117">
        <f>IF(E56-E46&gt;0,E56-E46,0)</f>
        <v>14884</v>
      </c>
      <c r="G57" s="637">
        <f>summ!H19</f>
        <v>0.348</v>
      </c>
      <c r="H57" s="634" t="str">
        <f>CONCATENATE("",E1," Fund Mill Rate")</f>
        <v>2013 Fund Mill Rate</v>
      </c>
      <c r="I57" s="635"/>
      <c r="J57" s="636"/>
    </row>
    <row r="58" spans="2:10" ht="15.75">
      <c r="B58" s="236"/>
      <c r="C58" s="474" t="s">
        <v>659</v>
      </c>
      <c r="D58" s="617">
        <f>inputOth!$E$23</f>
        <v>0.01</v>
      </c>
      <c r="E58" s="262">
        <f>ROUND(IF(D58&gt;0,($E$57*D58),0),0)</f>
        <v>149</v>
      </c>
      <c r="G58" s="638">
        <f>summ!E19</f>
        <v>0.334</v>
      </c>
      <c r="H58" s="634" t="str">
        <f>CONCATENATE("",E1-1," Fund Mill Rate")</f>
        <v>2012 Fund Mill Rate</v>
      </c>
      <c r="I58" s="635"/>
      <c r="J58" s="636"/>
    </row>
    <row r="59" spans="2:10" ht="15.75">
      <c r="B59" s="82"/>
      <c r="C59" s="768" t="str">
        <f>CONCATENATE("Amount of  ",$E$1-1," Ad Valorem Tax")</f>
        <v>Amount of  2012 Ad Valorem Tax</v>
      </c>
      <c r="D59" s="769"/>
      <c r="E59" s="334">
        <f>E57+E58</f>
        <v>15033</v>
      </c>
      <c r="G59" s="639">
        <f>summ!H39</f>
        <v>94.09</v>
      </c>
      <c r="H59" s="634" t="str">
        <f>CONCATENATE("Total ",E1," Mill Rate")</f>
        <v>Total 2013 Mill Rate</v>
      </c>
      <c r="I59" s="635"/>
      <c r="J59" s="636"/>
    </row>
    <row r="60" spans="2:10" ht="15.75">
      <c r="B60" s="82"/>
      <c r="C60" s="693"/>
      <c r="D60" s="694"/>
      <c r="E60" s="713"/>
      <c r="G60" s="638">
        <f>summ!E39</f>
        <v>83.04799999999999</v>
      </c>
      <c r="H60" s="640" t="str">
        <f>CONCATENATE("Total ",E1-1," Mill Rate")</f>
        <v>Total 2012 Mill Rate</v>
      </c>
      <c r="I60" s="641"/>
      <c r="J60" s="642"/>
    </row>
    <row r="61" spans="2:5" ht="15.75">
      <c r="B61" s="284"/>
      <c r="C61" s="692" t="s">
        <v>1054</v>
      </c>
      <c r="D61" s="82"/>
      <c r="E61" s="82"/>
    </row>
    <row r="63" spans="6:11" ht="15.75">
      <c r="F63" s="316"/>
      <c r="K63" s="632" t="str">
        <f>IF(G49=E59,"","Note: Does not include Delinquent Taxes")</f>
        <v>Note: Does not include Delinquent Taxes</v>
      </c>
    </row>
    <row r="64" ht="15.75">
      <c r="F64" s="472">
        <f>IF(E52/0.95-E52&lt;E55,"Exceeds 5%","")</f>
      </c>
    </row>
    <row r="71" spans="3:4" ht="15.75">
      <c r="C71" s="69">
        <f>IF(C25&gt;C27,"See Tab A","")</f>
      </c>
      <c r="D71" s="69">
        <f>IF(D25&gt;D27,"See Tab C","")</f>
      </c>
    </row>
    <row r="72" spans="3:4" ht="15.75">
      <c r="C72" s="69">
        <f>IF(C26&lt;0,"See Tab B","")</f>
      </c>
      <c r="D72" s="69">
        <f>IF(D26&lt;0,"See Tab D","")</f>
      </c>
    </row>
    <row r="73" spans="3:4" ht="15.75">
      <c r="C73" s="69">
        <f>IF(C52&gt;C54,"See Tab A","")</f>
      </c>
      <c r="D73" s="69" t="str">
        <f>IF(D52&gt;D54,"See Tab C","")</f>
        <v>See Tab C</v>
      </c>
    </row>
    <row r="74" spans="3:4" ht="15.75">
      <c r="C74" s="69">
        <f>IF(C53&lt;0,"See Tab B","")</f>
      </c>
      <c r="D74" s="69">
        <f>IF(D53&lt;0,"See Tab D","")</f>
      </c>
    </row>
    <row r="79" ht="15.75" hidden="1"/>
    <row r="80" ht="15.75" hidden="1"/>
    <row r="81" ht="15.75" hidden="1"/>
    <row r="82" ht="15.75" hidden="1"/>
  </sheetData>
  <sheetProtection/>
  <mergeCells count="12">
    <mergeCell ref="C28:D28"/>
    <mergeCell ref="C29:D29"/>
    <mergeCell ref="C55:D55"/>
    <mergeCell ref="C56:D56"/>
    <mergeCell ref="C59:D59"/>
    <mergeCell ref="C32:D32"/>
    <mergeCell ref="G5:J5"/>
    <mergeCell ref="G12:J12"/>
    <mergeCell ref="G22:J22"/>
    <mergeCell ref="G38:J38"/>
    <mergeCell ref="G45:J45"/>
    <mergeCell ref="G55:J55"/>
  </mergeCells>
  <conditionalFormatting sqref="E50">
    <cfRule type="cellIs" priority="4" dxfId="175" operator="greaterThan" stopIfTrue="1">
      <formula>$E$52*0.1</formula>
    </cfRule>
  </conditionalFormatting>
  <conditionalFormatting sqref="E55">
    <cfRule type="cellIs" priority="5" dxfId="175" operator="greaterThan" stopIfTrue="1">
      <formula>$E$52/0.95-$E$52</formula>
    </cfRule>
  </conditionalFormatting>
  <conditionalFormatting sqref="E28">
    <cfRule type="cellIs" priority="6" dxfId="175" operator="greaterThan" stopIfTrue="1">
      <formula>$E$25/0.95-$E$25</formula>
    </cfRule>
  </conditionalFormatting>
  <conditionalFormatting sqref="E23">
    <cfRule type="cellIs" priority="7" dxfId="175" operator="greaterThan" stopIfTrue="1">
      <formula>$E$25*0.1</formula>
    </cfRule>
  </conditionalFormatting>
  <conditionalFormatting sqref="C25">
    <cfRule type="cellIs" priority="8" dxfId="1" operator="greaterThan" stopIfTrue="1">
      <formula>$C$27</formula>
    </cfRule>
  </conditionalFormatting>
  <conditionalFormatting sqref="C53 C26">
    <cfRule type="cellIs" priority="9" dxfId="1" operator="lessThan" stopIfTrue="1">
      <formula>0</formula>
    </cfRule>
  </conditionalFormatting>
  <conditionalFormatting sqref="D25">
    <cfRule type="cellIs" priority="10" dxfId="1" operator="greaterThan" stopIfTrue="1">
      <formula>$D$27</formula>
    </cfRule>
  </conditionalFormatting>
  <conditionalFormatting sqref="C52">
    <cfRule type="cellIs" priority="11" dxfId="1" operator="greaterThan" stopIfTrue="1">
      <formula>$C$54</formula>
    </cfRule>
  </conditionalFormatting>
  <conditionalFormatting sqref="D52">
    <cfRule type="cellIs" priority="12" dxfId="1" operator="greaterThan" stopIfTrue="1">
      <formula>$D$54</formula>
    </cfRule>
  </conditionalFormatting>
  <conditionalFormatting sqref="C50">
    <cfRule type="cellIs" priority="13" dxfId="1" operator="greaterThan" stopIfTrue="1">
      <formula>$C$52*0.1</formula>
    </cfRule>
  </conditionalFormatting>
  <conditionalFormatting sqref="D50">
    <cfRule type="cellIs" priority="14" dxfId="1" operator="greaterThan" stopIfTrue="1">
      <formula>$D$52*0.1</formula>
    </cfRule>
  </conditionalFormatting>
  <conditionalFormatting sqref="E43">
    <cfRule type="cellIs" priority="15" dxfId="175" operator="greaterThan" stopIfTrue="1">
      <formula>$E$45*0.1+E59</formula>
    </cfRule>
  </conditionalFormatting>
  <conditionalFormatting sqref="C43">
    <cfRule type="cellIs" priority="16" dxfId="1" operator="greaterThan" stopIfTrue="1">
      <formula>$C$45*0.1</formula>
    </cfRule>
  </conditionalFormatting>
  <conditionalFormatting sqref="D43">
    <cfRule type="cellIs" priority="17" dxfId="1" operator="greaterThan" stopIfTrue="1">
      <formula>$D$45*0.1</formula>
    </cfRule>
  </conditionalFormatting>
  <conditionalFormatting sqref="C23">
    <cfRule type="cellIs" priority="18" dxfId="1" operator="greaterThan" stopIfTrue="1">
      <formula>$C$25*0.1</formula>
    </cfRule>
  </conditionalFormatting>
  <conditionalFormatting sqref="D23">
    <cfRule type="cellIs" priority="19" dxfId="1" operator="greaterThan" stopIfTrue="1">
      <formula>$D$25*0.1</formula>
    </cfRule>
  </conditionalFormatting>
  <conditionalFormatting sqref="E14">
    <cfRule type="cellIs" priority="20" dxfId="175" operator="greaterThan" stopIfTrue="1">
      <formula>$E$16*0.1+E32</formula>
    </cfRule>
  </conditionalFormatting>
  <conditionalFormatting sqref="C14">
    <cfRule type="cellIs" priority="21" dxfId="1" operator="greaterThan" stopIfTrue="1">
      <formula>$C$16*0.1</formula>
    </cfRule>
  </conditionalFormatting>
  <conditionalFormatting sqref="D14">
    <cfRule type="cellIs" priority="22" dxfId="1" operator="greaterThan" stopIfTrue="1">
      <formula>$D$16*0.1</formula>
    </cfRule>
  </conditionalFormatting>
  <conditionalFormatting sqref="D26">
    <cfRule type="cellIs" priority="2" dxfId="0" operator="lessThan" stopIfTrue="1">
      <formula>0</formula>
    </cfRule>
    <cfRule type="cellIs" priority="3" dxfId="0" operator="lessThan" stopIfTrue="1">
      <formula>0</formula>
    </cfRule>
  </conditionalFormatting>
  <conditionalFormatting sqref="D53">
    <cfRule type="cellIs" priority="1" dxfId="0" operator="lessThan" stopIfTrue="1">
      <formula>0</formula>
    </cfRule>
  </conditionalFormatting>
  <printOptions/>
  <pageMargins left="0.73" right="0.5" top="0.57" bottom="0.23" header="0.3" footer="0"/>
  <pageSetup blackAndWhite="1" horizontalDpi="120" verticalDpi="120" orientation="portrait" scale="80" r:id="rId1"/>
  <headerFooter alignWithMargins="0">
    <oddHeader>&amp;RState of Kansas
County
</oddHeader>
  </headerFooter>
</worksheet>
</file>

<file path=xl/worksheets/sheet17.xml><?xml version="1.0" encoding="utf-8"?>
<worksheet xmlns="http://schemas.openxmlformats.org/spreadsheetml/2006/main" xmlns:r="http://schemas.openxmlformats.org/officeDocument/2006/relationships">
  <dimension ref="B1:K76"/>
  <sheetViews>
    <sheetView zoomScalePageLayoutView="0" workbookViewId="0" topLeftCell="A7">
      <selection activeCell="A29" sqref="A29:H37"/>
    </sheetView>
  </sheetViews>
  <sheetFormatPr defaultColWidth="8.796875" defaultRowHeight="15"/>
  <cols>
    <col min="1" max="1" width="2.3984375" style="69" customWidth="1"/>
    <col min="2" max="2" width="31.09765625" style="69" customWidth="1"/>
    <col min="3" max="4" width="15.796875" style="69" customWidth="1"/>
    <col min="5" max="5" width="16.0976562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5" ht="15.75">
      <c r="B1" s="224" t="str">
        <f>(inputPrYr!C2)</f>
        <v>Sheridan County</v>
      </c>
      <c r="C1" s="82"/>
      <c r="D1" s="82"/>
      <c r="E1" s="283">
        <f>inputPrYr!C4</f>
        <v>2013</v>
      </c>
    </row>
    <row r="2" spans="2:5" ht="2.25" customHeight="1">
      <c r="B2" s="82"/>
      <c r="C2" s="82"/>
      <c r="D2" s="82"/>
      <c r="E2" s="236"/>
    </row>
    <row r="3" spans="2:5" ht="15.75">
      <c r="B3" s="149" t="s">
        <v>222</v>
      </c>
      <c r="C3" s="329"/>
      <c r="D3" s="329"/>
      <c r="E3" s="330"/>
    </row>
    <row r="4" spans="2:5" ht="15.75">
      <c r="B4" s="81" t="s">
        <v>153</v>
      </c>
      <c r="C4" s="666" t="s">
        <v>814</v>
      </c>
      <c r="D4" s="667" t="s">
        <v>815</v>
      </c>
      <c r="E4" s="211" t="s">
        <v>816</v>
      </c>
    </row>
    <row r="5" spans="2:5" ht="15.75">
      <c r="B5" s="454" t="str">
        <f>inputPrYr!B21</f>
        <v>Public Health</v>
      </c>
      <c r="C5" s="437" t="str">
        <f>CONCATENATE("Actual for ",E1-2,"")</f>
        <v>Actual for 2011</v>
      </c>
      <c r="D5" s="437" t="str">
        <f>CONCATENATE("Estimate for ",E1-1,"")</f>
        <v>Estimate for 2012</v>
      </c>
      <c r="E5" s="299" t="str">
        <f>CONCATENATE("Year for ",E1,"")</f>
        <v>Year for 2013</v>
      </c>
    </row>
    <row r="6" spans="2:5" ht="15.75">
      <c r="B6" s="145" t="s">
        <v>262</v>
      </c>
      <c r="C6" s="434">
        <v>23918</v>
      </c>
      <c r="D6" s="438">
        <f>C29</f>
        <v>-1182</v>
      </c>
      <c r="E6" s="262">
        <f>D29</f>
        <v>0</v>
      </c>
    </row>
    <row r="7" spans="2:10" ht="15.75">
      <c r="B7" s="287" t="s">
        <v>264</v>
      </c>
      <c r="C7" s="302"/>
      <c r="D7" s="302"/>
      <c r="E7" s="124"/>
      <c r="G7" s="770" t="str">
        <f>CONCATENATE("Desired Carryover Into ",E1+1,"")</f>
        <v>Desired Carryover Into 2014</v>
      </c>
      <c r="H7" s="771"/>
      <c r="I7" s="771"/>
      <c r="J7" s="772"/>
    </row>
    <row r="8" spans="2:10" ht="15.75">
      <c r="B8" s="145" t="s">
        <v>917</v>
      </c>
      <c r="C8" s="434">
        <v>20818</v>
      </c>
      <c r="D8" s="438">
        <f>IF(inputPrYr!H21&gt;0,inputPrYr!H21,inputPrYr!E21)</f>
        <v>22028</v>
      </c>
      <c r="E8" s="332" t="s">
        <v>140</v>
      </c>
      <c r="G8" s="618"/>
      <c r="H8" s="619"/>
      <c r="I8" s="620"/>
      <c r="J8" s="621"/>
    </row>
    <row r="9" spans="2:10" ht="15.75">
      <c r="B9" s="145" t="s">
        <v>918</v>
      </c>
      <c r="C9" s="434">
        <v>124</v>
      </c>
      <c r="D9" s="434">
        <v>131</v>
      </c>
      <c r="E9" s="109">
        <v>240</v>
      </c>
      <c r="G9" s="622" t="s">
        <v>660</v>
      </c>
      <c r="H9" s="620"/>
      <c r="I9" s="620"/>
      <c r="J9" s="623">
        <v>0</v>
      </c>
    </row>
    <row r="10" spans="2:10" ht="15.75">
      <c r="B10" s="145" t="s">
        <v>919</v>
      </c>
      <c r="C10" s="434">
        <v>2414</v>
      </c>
      <c r="D10" s="434">
        <v>2240</v>
      </c>
      <c r="E10" s="262">
        <f>mvalloc!E12</f>
        <v>1958</v>
      </c>
      <c r="G10" s="618" t="s">
        <v>661</v>
      </c>
      <c r="H10" s="619"/>
      <c r="I10" s="619"/>
      <c r="J10" s="624">
        <f>IF(J9=0,"",ROUND((J9+E35-G22)/inputOth!E6*1000,3)-G27)</f>
      </c>
    </row>
    <row r="11" spans="2:10" ht="15.75">
      <c r="B11" s="145" t="s">
        <v>920</v>
      </c>
      <c r="C11" s="434">
        <v>43</v>
      </c>
      <c r="D11" s="434">
        <v>45</v>
      </c>
      <c r="E11" s="262">
        <f>mvalloc!F12</f>
        <v>36</v>
      </c>
      <c r="G11" s="625" t="str">
        <f>CONCATENATE("",E1," Tot Exp/Non-Appr Must Be:")</f>
        <v>2013 Tot Exp/Non-Appr Must Be:</v>
      </c>
      <c r="H11" s="626"/>
      <c r="I11" s="627"/>
      <c r="J11" s="628">
        <f>IF(J9&gt;0,IF(E32&lt;E20,IF(J9=G22,E32,((J9-G22)*(1-D34))+E20),E32+(J9-G22)),0)</f>
        <v>0</v>
      </c>
    </row>
    <row r="12" spans="2:10" ht="15.75">
      <c r="B12" s="302" t="s">
        <v>995</v>
      </c>
      <c r="C12" s="434">
        <v>359</v>
      </c>
      <c r="D12" s="434">
        <v>340</v>
      </c>
      <c r="E12" s="262">
        <f>mvalloc!G12</f>
        <v>280</v>
      </c>
      <c r="G12" s="629" t="s">
        <v>812</v>
      </c>
      <c r="H12" s="630"/>
      <c r="I12" s="630"/>
      <c r="J12" s="631">
        <f>IF(J9&gt;0,J11-E32,0)</f>
        <v>0</v>
      </c>
    </row>
    <row r="13" spans="2:10" ht="15.75">
      <c r="B13" s="314" t="s">
        <v>999</v>
      </c>
      <c r="C13" s="434">
        <f>21695+260</f>
        <v>21955</v>
      </c>
      <c r="D13" s="434">
        <v>26000</v>
      </c>
      <c r="E13" s="109">
        <v>15000</v>
      </c>
      <c r="G13" s="1"/>
      <c r="H13" s="1"/>
      <c r="I13" s="1"/>
      <c r="J13" s="1"/>
    </row>
    <row r="14" spans="2:10" ht="15.75">
      <c r="B14" s="314" t="s">
        <v>1000</v>
      </c>
      <c r="C14" s="434">
        <v>20020</v>
      </c>
      <c r="D14" s="434">
        <v>22500</v>
      </c>
      <c r="E14" s="109">
        <v>15000</v>
      </c>
      <c r="G14" s="770" t="str">
        <f>CONCATENATE("Projected Carryover Into ",E1+1,"")</f>
        <v>Projected Carryover Into 2014</v>
      </c>
      <c r="H14" s="777"/>
      <c r="I14" s="777"/>
      <c r="J14" s="778"/>
    </row>
    <row r="15" spans="2:10" ht="15.75">
      <c r="B15" s="314" t="s">
        <v>1001</v>
      </c>
      <c r="C15" s="434">
        <v>73044</v>
      </c>
      <c r="D15" s="434">
        <v>74000</v>
      </c>
      <c r="E15" s="109">
        <v>75000</v>
      </c>
      <c r="G15" s="618"/>
      <c r="H15" s="620"/>
      <c r="I15" s="620"/>
      <c r="J15" s="643"/>
    </row>
    <row r="16" spans="2:10" ht="15.75">
      <c r="B16" s="314" t="s">
        <v>1002</v>
      </c>
      <c r="C16" s="434">
        <v>1185</v>
      </c>
      <c r="D16" s="434"/>
      <c r="E16" s="109"/>
      <c r="G16" s="644">
        <f>D29</f>
        <v>0</v>
      </c>
      <c r="H16" s="634" t="str">
        <f>CONCATENATE("",E1-1," Ending Cash Balance (est.)")</f>
        <v>2012 Ending Cash Balance (est.)</v>
      </c>
      <c r="I16" s="645"/>
      <c r="J16" s="643"/>
    </row>
    <row r="17" spans="2:10" ht="15.75">
      <c r="B17" s="306" t="s">
        <v>69</v>
      </c>
      <c r="C17" s="434">
        <v>1125</v>
      </c>
      <c r="D17" s="434"/>
      <c r="E17" s="109"/>
      <c r="G17" s="644">
        <f>E19</f>
        <v>107514</v>
      </c>
      <c r="H17" s="620" t="str">
        <f>CONCATENATE("",E1," Non-AV Receipts (est.)")</f>
        <v>2013 Non-AV Receipts (est.)</v>
      </c>
      <c r="I17" s="645"/>
      <c r="J17" s="643"/>
    </row>
    <row r="18" spans="2:10" ht="15.75">
      <c r="B18" s="306" t="s">
        <v>655</v>
      </c>
      <c r="C18" s="435">
        <f>IF(C19*0.1&lt;C17,"Exceed 10% Rule","")</f>
      </c>
      <c r="D18" s="435">
        <f>IF(D19*0.1&lt;D17,"Exceed 10% Rule","")</f>
      </c>
      <c r="E18" s="333">
        <f>IF(E19*0.1+E35&lt;E17,"Exceed 10% Rule","")</f>
      </c>
      <c r="G18" s="646">
        <f>IF(E34&gt;0,E33,E35)</f>
        <v>21503</v>
      </c>
      <c r="H18" s="620" t="str">
        <f>CONCATENATE("",E1," Ad Valorem Tax (est.)")</f>
        <v>2013 Ad Valorem Tax (est.)</v>
      </c>
      <c r="I18" s="645"/>
      <c r="J18" s="643"/>
    </row>
    <row r="19" spans="2:10" ht="15.75">
      <c r="B19" s="308" t="s">
        <v>154</v>
      </c>
      <c r="C19" s="436">
        <f>SUM(C8:C17)</f>
        <v>141087</v>
      </c>
      <c r="D19" s="436">
        <f>SUM(D8:D17)</f>
        <v>147284</v>
      </c>
      <c r="E19" s="338">
        <f>SUM(E8:E17)</f>
        <v>107514</v>
      </c>
      <c r="G19" s="644">
        <f>SUM(G16:G18)</f>
        <v>129017</v>
      </c>
      <c r="H19" s="620" t="str">
        <f>CONCATENATE("Total ",E1," Resources Available")</f>
        <v>Total 2013 Resources Available</v>
      </c>
      <c r="I19" s="645"/>
      <c r="J19" s="643"/>
    </row>
    <row r="20" spans="2:10" ht="15.75">
      <c r="B20" s="308" t="s">
        <v>155</v>
      </c>
      <c r="C20" s="436">
        <f>C6+C19</f>
        <v>165005</v>
      </c>
      <c r="D20" s="436">
        <f>D6+D19</f>
        <v>146102</v>
      </c>
      <c r="E20" s="338">
        <f>E6+E19</f>
        <v>107514</v>
      </c>
      <c r="G20" s="647"/>
      <c r="H20" s="620"/>
      <c r="I20" s="620"/>
      <c r="J20" s="643"/>
    </row>
    <row r="21" spans="2:10" ht="15.75">
      <c r="B21" s="145" t="s">
        <v>157</v>
      </c>
      <c r="C21" s="306"/>
      <c r="D21" s="306"/>
      <c r="E21" s="105"/>
      <c r="G21" s="646">
        <f>ROUND(C28*0.05+C28,0)</f>
        <v>174496</v>
      </c>
      <c r="H21" s="620" t="str">
        <f>CONCATENATE("Less ",E1-2," Expenditures + 5%")</f>
        <v>Less 2011 Expenditures + 5%</v>
      </c>
      <c r="I21" s="645"/>
      <c r="J21" s="648"/>
    </row>
    <row r="22" spans="2:10" ht="15.75">
      <c r="B22" s="314" t="s">
        <v>962</v>
      </c>
      <c r="C22" s="434">
        <v>104784</v>
      </c>
      <c r="D22" s="434">
        <v>86102</v>
      </c>
      <c r="E22" s="109">
        <v>77898</v>
      </c>
      <c r="G22" s="649">
        <f>G19-G21</f>
        <v>-45479</v>
      </c>
      <c r="H22" s="650" t="str">
        <f>CONCATENATE("Projected ",E1+1," carryover (est.)")</f>
        <v>Projected 2014 carryover (est.)</v>
      </c>
      <c r="I22" s="651"/>
      <c r="J22" s="652"/>
    </row>
    <row r="23" spans="2:10" ht="15.75">
      <c r="B23" s="314" t="s">
        <v>966</v>
      </c>
      <c r="C23" s="434">
        <v>61403</v>
      </c>
      <c r="D23" s="434">
        <v>60000</v>
      </c>
      <c r="E23" s="109">
        <v>51000</v>
      </c>
      <c r="G23" s="1"/>
      <c r="H23" s="1"/>
      <c r="I23" s="1"/>
      <c r="J23" s="1"/>
    </row>
    <row r="24" spans="2:10" ht="15.75">
      <c r="B24" s="314" t="s">
        <v>163</v>
      </c>
      <c r="C24" s="434"/>
      <c r="D24" s="434"/>
      <c r="E24" s="109"/>
      <c r="G24" s="773" t="s">
        <v>813</v>
      </c>
      <c r="H24" s="774"/>
      <c r="I24" s="774"/>
      <c r="J24" s="775"/>
    </row>
    <row r="25" spans="2:10" ht="15.75">
      <c r="B25" s="306" t="s">
        <v>70</v>
      </c>
      <c r="C25" s="434"/>
      <c r="D25" s="434"/>
      <c r="E25" s="117">
        <f>Nhood!E10</f>
        <v>119</v>
      </c>
      <c r="G25" s="633"/>
      <c r="H25" s="634"/>
      <c r="I25" s="635"/>
      <c r="J25" s="636"/>
    </row>
    <row r="26" spans="2:10" ht="15.75">
      <c r="B26" s="306" t="s">
        <v>69</v>
      </c>
      <c r="C26" s="434"/>
      <c r="D26" s="434"/>
      <c r="E26" s="109"/>
      <c r="G26" s="637">
        <f>summ!H20</f>
        <v>0.503</v>
      </c>
      <c r="H26" s="634" t="str">
        <f>CONCATENATE("",E1," Fund Mill Rate")</f>
        <v>2013 Fund Mill Rate</v>
      </c>
      <c r="I26" s="635"/>
      <c r="J26" s="636"/>
    </row>
    <row r="27" spans="2:10" ht="15.75">
      <c r="B27" s="306" t="s">
        <v>654</v>
      </c>
      <c r="C27" s="435">
        <f>IF(C28*0.1&lt;C26,"Exceed 10% Rule","")</f>
      </c>
      <c r="D27" s="435">
        <f>IF(D28*0.1&lt;D26,"Exceed 10% Rule","")</f>
      </c>
      <c r="E27" s="333">
        <f>IF(E28*0.1&lt;E26,"Exceed 10% Rule","")</f>
      </c>
      <c r="G27" s="638">
        <f>summ!E20</f>
        <v>0.5</v>
      </c>
      <c r="H27" s="634" t="str">
        <f>CONCATENATE("",E1-1," Fund Mill Rate")</f>
        <v>2012 Fund Mill Rate</v>
      </c>
      <c r="I27" s="635"/>
      <c r="J27" s="636"/>
    </row>
    <row r="28" spans="2:10" ht="15.75">
      <c r="B28" s="308" t="s">
        <v>158</v>
      </c>
      <c r="C28" s="436">
        <f>SUM(C22:C26)</f>
        <v>166187</v>
      </c>
      <c r="D28" s="436">
        <f>SUM(D22:D26)</f>
        <v>146102</v>
      </c>
      <c r="E28" s="338">
        <f>SUM(E22:E26)</f>
        <v>129017</v>
      </c>
      <c r="G28" s="639">
        <f>summ!H39</f>
        <v>94.09</v>
      </c>
      <c r="H28" s="634" t="str">
        <f>CONCATENATE("Total ",E1," Mill Rate")</f>
        <v>Total 2013 Mill Rate</v>
      </c>
      <c r="I28" s="635"/>
      <c r="J28" s="636"/>
    </row>
    <row r="29" spans="2:10" ht="15.75">
      <c r="B29" s="145" t="s">
        <v>263</v>
      </c>
      <c r="C29" s="439">
        <f>C20-C28</f>
        <v>-1182</v>
      </c>
      <c r="D29" s="439">
        <f>D20-D28</f>
        <v>0</v>
      </c>
      <c r="E29" s="332" t="s">
        <v>140</v>
      </c>
      <c r="G29" s="638">
        <f>summ!E39</f>
        <v>83.04799999999999</v>
      </c>
      <c r="H29" s="640" t="str">
        <f>CONCATENATE("Total ",E1-1," Mill Rate")</f>
        <v>Total 2012 Mill Rate</v>
      </c>
      <c r="I29" s="641"/>
      <c r="J29" s="642"/>
    </row>
    <row r="30" spans="2:10" ht="15.75">
      <c r="B30" s="284" t="str">
        <f>CONCATENATE("",E$1-2,"/",E$1-1," Budget Authority Amount:")</f>
        <v>2011/2012 Budget Authority Amount:</v>
      </c>
      <c r="C30" s="276">
        <f>inputOth!B35</f>
        <v>177346</v>
      </c>
      <c r="D30" s="276">
        <f>inputPrYr!D21</f>
        <v>125825</v>
      </c>
      <c r="E30" s="332" t="s">
        <v>140</v>
      </c>
      <c r="G30" s="1"/>
      <c r="H30" s="1"/>
      <c r="I30" s="1"/>
      <c r="J30" s="1"/>
    </row>
    <row r="31" spans="2:10" ht="15.75">
      <c r="B31" s="284"/>
      <c r="C31" s="761" t="s">
        <v>657</v>
      </c>
      <c r="D31" s="762"/>
      <c r="E31" s="290"/>
      <c r="G31" s="1"/>
      <c r="H31" s="1"/>
      <c r="I31" s="1"/>
      <c r="J31" s="1"/>
    </row>
    <row r="32" spans="2:10" ht="15.75">
      <c r="B32" s="476" t="str">
        <f>CONCATENATE(C73,"     ",D73)</f>
        <v>     See Tab C</v>
      </c>
      <c r="C32" s="763" t="s">
        <v>658</v>
      </c>
      <c r="D32" s="764"/>
      <c r="E32" s="262">
        <f>E28+E31</f>
        <v>129017</v>
      </c>
      <c r="G32" s="1"/>
      <c r="H32" s="1"/>
      <c r="I32" s="1"/>
      <c r="J32" s="1"/>
    </row>
    <row r="33" spans="2:10" ht="15.75">
      <c r="B33" s="476" t="str">
        <f>CONCATENATE(C74,"     ",D74)</f>
        <v>See Tab B     </v>
      </c>
      <c r="C33" s="317"/>
      <c r="D33" s="236" t="s">
        <v>159</v>
      </c>
      <c r="E33" s="117">
        <f>IF(E32-E20&gt;0,E32-E20,0)</f>
        <v>21503</v>
      </c>
      <c r="G33" s="1"/>
      <c r="H33" s="1"/>
      <c r="I33" s="1"/>
      <c r="J33" s="1"/>
    </row>
    <row r="34" spans="2:11" ht="15.75">
      <c r="B34" s="236"/>
      <c r="C34" s="474" t="s">
        <v>659</v>
      </c>
      <c r="D34" s="617">
        <f>inputOth!$E$23</f>
        <v>0.01</v>
      </c>
      <c r="E34" s="262">
        <f>ROUND(IF(D34&gt;0,($E$33*D34),0),0)</f>
        <v>215</v>
      </c>
      <c r="F34" s="316"/>
      <c r="G34" s="1"/>
      <c r="H34" s="1"/>
      <c r="I34" s="1"/>
      <c r="J34" s="1"/>
      <c r="K34" s="632" t="str">
        <f>IF(G18=E35,"","Note: Does not include Delinquent Taxes")</f>
        <v>Note: Does not include Delinquent Taxes</v>
      </c>
    </row>
    <row r="35" spans="2:10" ht="15.75">
      <c r="B35" s="82"/>
      <c r="C35" s="768" t="str">
        <f>CONCATENATE("Amount of  ",$E$1-1," Ad Valorem Tax")</f>
        <v>Amount of  2012 Ad Valorem Tax</v>
      </c>
      <c r="D35" s="769"/>
      <c r="E35" s="334">
        <f>E33+E34</f>
        <v>21718</v>
      </c>
      <c r="F35" s="472">
        <f>IF(E28/0.95-E28&lt;E31,"Exceeds 5%","")</f>
      </c>
      <c r="G35" s="1"/>
      <c r="H35" s="1"/>
      <c r="I35" s="1"/>
      <c r="J35" s="1"/>
    </row>
    <row r="36" spans="2:10" ht="10.5" customHeight="1">
      <c r="B36" s="81" t="s">
        <v>153</v>
      </c>
      <c r="C36" s="323"/>
      <c r="D36" s="323"/>
      <c r="E36" s="323"/>
      <c r="G36" s="1"/>
      <c r="H36" s="1"/>
      <c r="I36" s="1"/>
      <c r="J36" s="1"/>
    </row>
    <row r="37" spans="2:10" ht="15.75">
      <c r="B37" s="82"/>
      <c r="C37" s="666" t="str">
        <f aca="true" t="shared" si="0" ref="C37:E38">C4</f>
        <v>Prior Year </v>
      </c>
      <c r="D37" s="667" t="str">
        <f t="shared" si="0"/>
        <v>Current Year </v>
      </c>
      <c r="E37" s="211" t="str">
        <f t="shared" si="0"/>
        <v>Proposed Budget </v>
      </c>
      <c r="G37" s="1"/>
      <c r="H37" s="1"/>
      <c r="I37" s="1"/>
      <c r="J37" s="1"/>
    </row>
    <row r="38" spans="2:10" ht="15.75">
      <c r="B38" s="453" t="str">
        <f>inputPrYr!B22</f>
        <v>Council on Aging</v>
      </c>
      <c r="C38" s="437" t="str">
        <f t="shared" si="0"/>
        <v>Actual for 2011</v>
      </c>
      <c r="D38" s="437" t="str">
        <f t="shared" si="0"/>
        <v>Estimate for 2012</v>
      </c>
      <c r="E38" s="299" t="str">
        <f t="shared" si="0"/>
        <v>Year for 2013</v>
      </c>
      <c r="G38" s="1"/>
      <c r="H38" s="1"/>
      <c r="I38" s="1"/>
      <c r="J38" s="1"/>
    </row>
    <row r="39" spans="2:10" ht="15.75">
      <c r="B39" s="145" t="s">
        <v>262</v>
      </c>
      <c r="C39" s="434">
        <v>251</v>
      </c>
      <c r="D39" s="438">
        <f>C56</f>
        <v>0</v>
      </c>
      <c r="E39" s="262">
        <f>D56</f>
        <v>0</v>
      </c>
      <c r="G39" s="1"/>
      <c r="H39" s="1"/>
      <c r="I39" s="1"/>
      <c r="J39" s="1"/>
    </row>
    <row r="40" spans="2:10" ht="15.75">
      <c r="B40" s="300" t="s">
        <v>264</v>
      </c>
      <c r="C40" s="302"/>
      <c r="D40" s="302"/>
      <c r="E40" s="124"/>
      <c r="G40" s="770" t="str">
        <f>CONCATENATE("Desired Carryover Into ",E1+1,"")</f>
        <v>Desired Carryover Into 2014</v>
      </c>
      <c r="H40" s="771"/>
      <c r="I40" s="771"/>
      <c r="J40" s="772"/>
    </row>
    <row r="41" spans="2:10" ht="15.75">
      <c r="B41" s="145" t="s">
        <v>917</v>
      </c>
      <c r="C41" s="434">
        <v>27477</v>
      </c>
      <c r="D41" s="438">
        <f>IF(inputPrYr!H22&gt;0,inputPrYr!H22,inputPrYr!E22)</f>
        <v>33043</v>
      </c>
      <c r="E41" s="332" t="s">
        <v>140</v>
      </c>
      <c r="G41" s="618"/>
      <c r="H41" s="619"/>
      <c r="I41" s="620"/>
      <c r="J41" s="621"/>
    </row>
    <row r="42" spans="2:10" ht="15.75">
      <c r="B42" s="145" t="s">
        <v>918</v>
      </c>
      <c r="C42" s="434">
        <v>152</v>
      </c>
      <c r="D42" s="434">
        <v>166</v>
      </c>
      <c r="E42" s="109">
        <v>320</v>
      </c>
      <c r="G42" s="622" t="s">
        <v>660</v>
      </c>
      <c r="H42" s="620"/>
      <c r="I42" s="620"/>
      <c r="J42" s="623">
        <v>0</v>
      </c>
    </row>
    <row r="43" spans="2:10" ht="15.75">
      <c r="B43" s="145" t="s">
        <v>919</v>
      </c>
      <c r="C43" s="434">
        <v>2991</v>
      </c>
      <c r="D43" s="434">
        <v>2941</v>
      </c>
      <c r="E43" s="262">
        <f>mvalloc!E13</f>
        <v>2937</v>
      </c>
      <c r="G43" s="618" t="s">
        <v>661</v>
      </c>
      <c r="H43" s="619"/>
      <c r="I43" s="619"/>
      <c r="J43" s="624">
        <f>IF(J42=0,"",ROUND((J42+E62-G55)/inputOth!E6*1000,3)-G60)</f>
      </c>
    </row>
    <row r="44" spans="2:10" ht="15.75">
      <c r="B44" s="145" t="s">
        <v>920</v>
      </c>
      <c r="C44" s="434">
        <v>53</v>
      </c>
      <c r="D44" s="434">
        <v>63</v>
      </c>
      <c r="E44" s="262">
        <f>mvalloc!F13</f>
        <v>54</v>
      </c>
      <c r="G44" s="625" t="str">
        <f>CONCATENATE("",E1," Tot Exp/Non-Appr Must Be:")</f>
        <v>2013 Tot Exp/Non-Appr Must Be:</v>
      </c>
      <c r="H44" s="626"/>
      <c r="I44" s="627"/>
      <c r="J44" s="628">
        <f>IF(J42&gt;0,IF(E59&lt;E49,IF(J42=G55,E59,((J42-G55)*(1-D61))+E49),E59+(J42-G55)),0)</f>
        <v>0</v>
      </c>
    </row>
    <row r="45" spans="2:10" ht="15.75">
      <c r="B45" s="302" t="s">
        <v>995</v>
      </c>
      <c r="C45" s="434">
        <v>481</v>
      </c>
      <c r="D45" s="434">
        <v>410</v>
      </c>
      <c r="E45" s="262">
        <f>mvalloc!G13</f>
        <v>419</v>
      </c>
      <c r="G45" s="629" t="s">
        <v>812</v>
      </c>
      <c r="H45" s="630"/>
      <c r="I45" s="630"/>
      <c r="J45" s="631">
        <f>IF(J42&gt;0,J44-E59,0)</f>
        <v>0</v>
      </c>
    </row>
    <row r="46" spans="2:10" ht="15.75">
      <c r="B46" s="306" t="s">
        <v>69</v>
      </c>
      <c r="C46" s="434"/>
      <c r="D46" s="434"/>
      <c r="E46" s="109"/>
      <c r="G46" s="1"/>
      <c r="H46" s="1"/>
      <c r="I46" s="1"/>
      <c r="J46" s="1"/>
    </row>
    <row r="47" spans="2:10" ht="15.75">
      <c r="B47" s="306" t="s">
        <v>655</v>
      </c>
      <c r="C47" s="435">
        <f>IF(C48*0.1&lt;C46,"Exceed 10% Rule","")</f>
      </c>
      <c r="D47" s="435">
        <f>IF(D48*0.1&lt;D46,"Exceed 10% Rule","")</f>
      </c>
      <c r="E47" s="333">
        <f>IF(E48*0.1+E62&lt;E46,"Exceed 10% Rule","")</f>
      </c>
      <c r="G47" s="770" t="str">
        <f>CONCATENATE("Projected Carryover Into ",E1+1,"")</f>
        <v>Projected Carryover Into 2014</v>
      </c>
      <c r="H47" s="779"/>
      <c r="I47" s="779"/>
      <c r="J47" s="778"/>
    </row>
    <row r="48" spans="2:10" ht="15.75">
      <c r="B48" s="308" t="s">
        <v>154</v>
      </c>
      <c r="C48" s="436">
        <f>SUM(C41:C46)</f>
        <v>31154</v>
      </c>
      <c r="D48" s="436">
        <f>SUM(D41:D46)</f>
        <v>36623</v>
      </c>
      <c r="E48" s="338">
        <f>SUM(E42:E46)</f>
        <v>3730</v>
      </c>
      <c r="G48" s="653"/>
      <c r="H48" s="619"/>
      <c r="I48" s="619"/>
      <c r="J48" s="648"/>
    </row>
    <row r="49" spans="2:10" ht="15.75">
      <c r="B49" s="308" t="s">
        <v>155</v>
      </c>
      <c r="C49" s="436">
        <f>C39+C48</f>
        <v>31405</v>
      </c>
      <c r="D49" s="436">
        <f>D39+D48</f>
        <v>36623</v>
      </c>
      <c r="E49" s="338">
        <f>E39+E48</f>
        <v>3730</v>
      </c>
      <c r="G49" s="644">
        <f>D56</f>
        <v>0</v>
      </c>
      <c r="H49" s="634" t="str">
        <f>CONCATENATE("",E1-1," Ending Cash Balance (est.)")</f>
        <v>2012 Ending Cash Balance (est.)</v>
      </c>
      <c r="I49" s="645"/>
      <c r="J49" s="648"/>
    </row>
    <row r="50" spans="2:10" ht="15.75">
      <c r="B50" s="145" t="s">
        <v>157</v>
      </c>
      <c r="C50" s="306"/>
      <c r="D50" s="306"/>
      <c r="E50" s="105"/>
      <c r="G50" s="644">
        <f>E48</f>
        <v>3730</v>
      </c>
      <c r="H50" s="620" t="str">
        <f>CONCATENATE("",E1," Non-AV Receipts (est.)")</f>
        <v>2013 Non-AV Receipts (est.)</v>
      </c>
      <c r="I50" s="645"/>
      <c r="J50" s="648"/>
    </row>
    <row r="51" spans="2:10" ht="15.75">
      <c r="B51" s="314" t="s">
        <v>998</v>
      </c>
      <c r="C51" s="434">
        <v>31405</v>
      </c>
      <c r="D51" s="434">
        <v>36623</v>
      </c>
      <c r="E51" s="109">
        <v>36127</v>
      </c>
      <c r="G51" s="646">
        <f>IF(E61&gt;0,E60,E62)</f>
        <v>32577</v>
      </c>
      <c r="H51" s="620" t="str">
        <f>CONCATENATE("",E1," Ad Valorem Tax (est.)")</f>
        <v>2013 Ad Valorem Tax (est.)</v>
      </c>
      <c r="I51" s="645"/>
      <c r="J51" s="648"/>
    </row>
    <row r="52" spans="2:10" ht="15.75">
      <c r="B52" s="306" t="s">
        <v>70</v>
      </c>
      <c r="C52" s="434"/>
      <c r="D52" s="434"/>
      <c r="E52" s="117">
        <f>Nhood!E11</f>
        <v>180</v>
      </c>
      <c r="G52" s="654">
        <f>SUM(G49:G51)</f>
        <v>36307</v>
      </c>
      <c r="H52" s="620" t="str">
        <f>CONCATENATE("Total ",E1," Resources Available")</f>
        <v>Total 2013 Resources Available</v>
      </c>
      <c r="I52" s="655"/>
      <c r="J52" s="648"/>
    </row>
    <row r="53" spans="2:10" ht="15.75">
      <c r="B53" s="306" t="s">
        <v>69</v>
      </c>
      <c r="C53" s="434"/>
      <c r="D53" s="434"/>
      <c r="E53" s="109"/>
      <c r="G53" s="656"/>
      <c r="H53" s="657"/>
      <c r="I53" s="619"/>
      <c r="J53" s="648"/>
    </row>
    <row r="54" spans="2:10" ht="15.75">
      <c r="B54" s="306" t="s">
        <v>654</v>
      </c>
      <c r="C54" s="435">
        <f>IF(C55*0.1&lt;C53,"Exceed 10% Rule","")</f>
      </c>
      <c r="D54" s="435">
        <f>IF(D55*0.1&lt;D53,"Exceed 10% Rule","")</f>
      </c>
      <c r="E54" s="333">
        <f>IF(E55*0.1&lt;E53,"Exceed 10% Rule","")</f>
      </c>
      <c r="G54" s="658">
        <f>ROUND(C55*0.05+C55,0)</f>
        <v>32975</v>
      </c>
      <c r="H54" s="620" t="str">
        <f>CONCATENATE("Less ",E1-2," Expenditures + 5%")</f>
        <v>Less 2011 Expenditures + 5%</v>
      </c>
      <c r="I54" s="655"/>
      <c r="J54" s="648"/>
    </row>
    <row r="55" spans="2:10" ht="15.75">
      <c r="B55" s="308" t="s">
        <v>158</v>
      </c>
      <c r="C55" s="436">
        <f>SUM(C51:C53)</f>
        <v>31405</v>
      </c>
      <c r="D55" s="436">
        <f>SUM(D51:D53)</f>
        <v>36623</v>
      </c>
      <c r="E55" s="338">
        <f>SUM(E51:E53)</f>
        <v>36307</v>
      </c>
      <c r="G55" s="659">
        <f>G52-G54</f>
        <v>3332</v>
      </c>
      <c r="H55" s="650" t="str">
        <f>CONCATENATE("Projected ",E1+1," carryover (est.)")</f>
        <v>Projected 2014 carryover (est.)</v>
      </c>
      <c r="I55" s="660"/>
      <c r="J55" s="661"/>
    </row>
    <row r="56" spans="2:10" ht="15.75">
      <c r="B56" s="145" t="s">
        <v>263</v>
      </c>
      <c r="C56" s="439">
        <f>C49-C55</f>
        <v>0</v>
      </c>
      <c r="D56" s="439">
        <f>D49-D55</f>
        <v>0</v>
      </c>
      <c r="E56" s="332" t="s">
        <v>140</v>
      </c>
      <c r="G56" s="1"/>
      <c r="H56" s="1"/>
      <c r="I56" s="1"/>
      <c r="J56" s="1"/>
    </row>
    <row r="57" spans="2:10" ht="15.75">
      <c r="B57" s="284" t="str">
        <f>CONCATENATE("",E$1-2,"/",E$1-1," Budget Authority Amount:")</f>
        <v>2011/2012 Budget Authority Amount:</v>
      </c>
      <c r="C57" s="276">
        <f>inputOth!B36</f>
        <v>31387</v>
      </c>
      <c r="D57" s="276">
        <f>inputPrYr!D22</f>
        <v>36890</v>
      </c>
      <c r="E57" s="332" t="s">
        <v>140</v>
      </c>
      <c r="G57" s="773" t="s">
        <v>813</v>
      </c>
      <c r="H57" s="774"/>
      <c r="I57" s="774"/>
      <c r="J57" s="775"/>
    </row>
    <row r="58" spans="2:10" ht="15.75">
      <c r="B58" s="284"/>
      <c r="C58" s="761" t="s">
        <v>657</v>
      </c>
      <c r="D58" s="762"/>
      <c r="E58" s="109"/>
      <c r="G58" s="633"/>
      <c r="H58" s="634"/>
      <c r="I58" s="635"/>
      <c r="J58" s="636"/>
    </row>
    <row r="59" spans="2:10" ht="15.75">
      <c r="B59" s="475" t="str">
        <f>CONCATENATE(C75,"     ",D75)</f>
        <v>See Tab A     </v>
      </c>
      <c r="C59" s="763" t="s">
        <v>658</v>
      </c>
      <c r="D59" s="764"/>
      <c r="E59" s="262">
        <f>E55+E58</f>
        <v>36307</v>
      </c>
      <c r="G59" s="637">
        <f>summ!H21</f>
        <v>0.762</v>
      </c>
      <c r="H59" s="634" t="str">
        <f>CONCATENATE("",E1," Fund Mill Rate")</f>
        <v>2013 Fund Mill Rate</v>
      </c>
      <c r="I59" s="635"/>
      <c r="J59" s="636"/>
    </row>
    <row r="60" spans="2:10" ht="15.75">
      <c r="B60" s="475" t="str">
        <f>CONCATENATE(C76,"     ",D76)</f>
        <v>     </v>
      </c>
      <c r="C60" s="317"/>
      <c r="D60" s="236" t="s">
        <v>159</v>
      </c>
      <c r="E60" s="117">
        <f>IF(E59-E49&gt;0,E59-E49,0)</f>
        <v>32577</v>
      </c>
      <c r="G60" s="638">
        <f>summ!E21</f>
        <v>0.75</v>
      </c>
      <c r="H60" s="634" t="str">
        <f>CONCATENATE("",E1-1," Fund Mill Rate")</f>
        <v>2012 Fund Mill Rate</v>
      </c>
      <c r="I60" s="635"/>
      <c r="J60" s="636"/>
    </row>
    <row r="61" spans="2:10" ht="15.75">
      <c r="B61" s="236"/>
      <c r="C61" s="474" t="s">
        <v>659</v>
      </c>
      <c r="D61" s="617">
        <f>inputOth!$E$23</f>
        <v>0.01</v>
      </c>
      <c r="E61" s="262">
        <f>ROUND(IF(D61&gt;0,($E$60*D61),0),0)</f>
        <v>326</v>
      </c>
      <c r="G61" s="639">
        <f>summ!H39</f>
        <v>94.09</v>
      </c>
      <c r="H61" s="634" t="str">
        <f>CONCATENATE("Total ",E1," Mill Rate")</f>
        <v>Total 2013 Mill Rate</v>
      </c>
      <c r="I61" s="635"/>
      <c r="J61" s="636"/>
    </row>
    <row r="62" spans="2:10" ht="15.75">
      <c r="B62" s="82"/>
      <c r="C62" s="768" t="str">
        <f>CONCATENATE("Amount of  ",$E$1-1," Ad Valorem Tax")</f>
        <v>Amount of  2012 Ad Valorem Tax</v>
      </c>
      <c r="D62" s="769"/>
      <c r="E62" s="334">
        <f>E60+E61</f>
        <v>32903</v>
      </c>
      <c r="G62" s="638">
        <f>summ!E39</f>
        <v>83.04799999999999</v>
      </c>
      <c r="H62" s="640" t="str">
        <f>CONCATENATE("Total ",E1-1," Mill Rate")</f>
        <v>Total 2012 Mill Rate</v>
      </c>
      <c r="I62" s="641"/>
      <c r="J62" s="642"/>
    </row>
    <row r="63" spans="2:5" ht="24" customHeight="1">
      <c r="B63" s="284"/>
      <c r="C63" s="692" t="s">
        <v>1049</v>
      </c>
      <c r="D63" s="82"/>
      <c r="E63" s="82"/>
    </row>
    <row r="67" spans="6:11" ht="15.75">
      <c r="F67" s="316"/>
      <c r="K67" s="632" t="str">
        <f>IF(G51=E62,"","Note: Does not include Delinquent Taxes")</f>
        <v>Note: Does not include Delinquent Taxes</v>
      </c>
    </row>
    <row r="68" ht="15.75">
      <c r="F68" s="472">
        <f>IF(E55/0.95-E55&lt;E58,"Exceeds 5%","")</f>
      </c>
    </row>
    <row r="73" spans="3:4" ht="15.75">
      <c r="C73" s="69">
        <f>IF(C28&gt;C30,"See Tab A","")</f>
      </c>
      <c r="D73" s="69" t="str">
        <f>IF(D28&gt;D30,"See Tab C","")</f>
        <v>See Tab C</v>
      </c>
    </row>
    <row r="74" spans="3:4" ht="15.75">
      <c r="C74" s="69" t="str">
        <f>IF(C29&lt;0,"See Tab B","")</f>
        <v>See Tab B</v>
      </c>
      <c r="D74" s="69">
        <f>IF(D29&lt;0,"See Tab D","")</f>
      </c>
    </row>
    <row r="75" spans="3:4" ht="15.75">
      <c r="C75" s="69" t="str">
        <f>IF(C55&gt;C57,"See Tab A","")</f>
        <v>See Tab A</v>
      </c>
      <c r="D75" s="69">
        <f>IF(D55&gt;D57,"See Tab C","")</f>
      </c>
    </row>
    <row r="76" spans="3:4" ht="15.75">
      <c r="C76" s="69">
        <f>IF(C56&lt;0,"See Tab B","")</f>
      </c>
      <c r="D76" s="69">
        <f>IF(D56&lt;0,"See Tab D","")</f>
      </c>
    </row>
    <row r="83" ht="15.75" hidden="1"/>
    <row r="84" ht="15.75" hidden="1"/>
    <row r="85" ht="15.75" hidden="1"/>
    <row r="86" ht="15.75" hidden="1"/>
  </sheetData>
  <sheetProtection/>
  <mergeCells count="12">
    <mergeCell ref="C31:D31"/>
    <mergeCell ref="C32:D32"/>
    <mergeCell ref="C58:D58"/>
    <mergeCell ref="C59:D59"/>
    <mergeCell ref="C62:D62"/>
    <mergeCell ref="C35:D35"/>
    <mergeCell ref="G7:J7"/>
    <mergeCell ref="G14:J14"/>
    <mergeCell ref="G24:J24"/>
    <mergeCell ref="G40:J40"/>
    <mergeCell ref="G47:J47"/>
    <mergeCell ref="G57:J57"/>
  </mergeCells>
  <conditionalFormatting sqref="E53">
    <cfRule type="cellIs" priority="3" dxfId="175" operator="greaterThan" stopIfTrue="1">
      <formula>$E$55*0.1</formula>
    </cfRule>
  </conditionalFormatting>
  <conditionalFormatting sqref="E58">
    <cfRule type="cellIs" priority="4" dxfId="175" operator="greaterThan" stopIfTrue="1">
      <formula>$E$55/0.95-$E$55</formula>
    </cfRule>
  </conditionalFormatting>
  <conditionalFormatting sqref="E31">
    <cfRule type="cellIs" priority="5" dxfId="175" operator="greaterThan" stopIfTrue="1">
      <formula>$E$28/0.95-$E$28</formula>
    </cfRule>
  </conditionalFormatting>
  <conditionalFormatting sqref="E26">
    <cfRule type="cellIs" priority="6" dxfId="175" operator="greaterThan" stopIfTrue="1">
      <formula>$E$28*0.1</formula>
    </cfRule>
  </conditionalFormatting>
  <conditionalFormatting sqref="C28">
    <cfRule type="cellIs" priority="7" dxfId="1" operator="greaterThan" stopIfTrue="1">
      <formula>$C$30</formula>
    </cfRule>
  </conditionalFormatting>
  <conditionalFormatting sqref="C56 C29">
    <cfRule type="cellIs" priority="8" dxfId="1" operator="lessThan" stopIfTrue="1">
      <formula>0</formula>
    </cfRule>
  </conditionalFormatting>
  <conditionalFormatting sqref="D28">
    <cfRule type="cellIs" priority="9" dxfId="1" operator="greaterThan" stopIfTrue="1">
      <formula>$D$30</formula>
    </cfRule>
  </conditionalFormatting>
  <conditionalFormatting sqref="C55">
    <cfRule type="cellIs" priority="10" dxfId="1" operator="greaterThan" stopIfTrue="1">
      <formula>$C$57</formula>
    </cfRule>
  </conditionalFormatting>
  <conditionalFormatting sqref="D55">
    <cfRule type="cellIs" priority="11" dxfId="1" operator="greaterThan" stopIfTrue="1">
      <formula>$D$57</formula>
    </cfRule>
  </conditionalFormatting>
  <conditionalFormatting sqref="C53">
    <cfRule type="cellIs" priority="12" dxfId="1" operator="greaterThan" stopIfTrue="1">
      <formula>$C$55*0.1</formula>
    </cfRule>
  </conditionalFormatting>
  <conditionalFormatting sqref="D53">
    <cfRule type="cellIs" priority="13" dxfId="1" operator="greaterThan" stopIfTrue="1">
      <formula>$D$55*0.1</formula>
    </cfRule>
  </conditionalFormatting>
  <conditionalFormatting sqref="E46">
    <cfRule type="cellIs" priority="14" dxfId="175" operator="greaterThan" stopIfTrue="1">
      <formula>$E$48*0.1+E62</formula>
    </cfRule>
  </conditionalFormatting>
  <conditionalFormatting sqref="C46">
    <cfRule type="cellIs" priority="15" dxfId="1" operator="greaterThan" stopIfTrue="1">
      <formula>$C$48*0.1</formula>
    </cfRule>
  </conditionalFormatting>
  <conditionalFormatting sqref="D46">
    <cfRule type="cellIs" priority="16" dxfId="1" operator="greaterThan" stopIfTrue="1">
      <formula>$D$48*0.1</formula>
    </cfRule>
  </conditionalFormatting>
  <conditionalFormatting sqref="C26">
    <cfRule type="cellIs" priority="17" dxfId="1" operator="greaterThan" stopIfTrue="1">
      <formula>$C$28*0.1</formula>
    </cfRule>
  </conditionalFormatting>
  <conditionalFormatting sqref="D26">
    <cfRule type="cellIs" priority="18" dxfId="1" operator="greaterThan" stopIfTrue="1">
      <formula>$D$28*0.1</formula>
    </cfRule>
  </conditionalFormatting>
  <conditionalFormatting sqref="E17">
    <cfRule type="cellIs" priority="19" dxfId="175" operator="greaterThan" stopIfTrue="1">
      <formula>$E$19*0.1+E35</formula>
    </cfRule>
  </conditionalFormatting>
  <conditionalFormatting sqref="C17">
    <cfRule type="cellIs" priority="20" dxfId="1" operator="greaterThan" stopIfTrue="1">
      <formula>$C$19*0.1</formula>
    </cfRule>
  </conditionalFormatting>
  <conditionalFormatting sqref="D17">
    <cfRule type="cellIs" priority="21" dxfId="1" operator="greaterThan" stopIfTrue="1">
      <formula>$D$19*0.1</formula>
    </cfRule>
  </conditionalFormatting>
  <conditionalFormatting sqref="D56 D29">
    <cfRule type="cellIs" priority="2" dxfId="0" operator="lessThan" stopIfTrue="1">
      <formula>0</formula>
    </cfRule>
  </conditionalFormatting>
  <printOptions/>
  <pageMargins left="0.81" right="0.5" top="0.58" bottom="0.27" header="0.36" footer="0"/>
  <pageSetup blackAndWhite="1" horizontalDpi="120" verticalDpi="120" orientation="portrait" scale="75" r:id="rId1"/>
  <headerFooter alignWithMargins="0">
    <oddHeader>&amp;RState of Kansas
County
</oddHeader>
  </headerFooter>
  <rowBreaks count="1" manualBreakCount="1">
    <brk id="63" max="4" man="1"/>
  </rowBreaks>
</worksheet>
</file>

<file path=xl/worksheets/sheet18.xml><?xml version="1.0" encoding="utf-8"?>
<worksheet xmlns="http://schemas.openxmlformats.org/spreadsheetml/2006/main" xmlns:r="http://schemas.openxmlformats.org/officeDocument/2006/relationships">
  <dimension ref="B1:K71"/>
  <sheetViews>
    <sheetView zoomScalePageLayoutView="0" workbookViewId="0" topLeftCell="A37">
      <selection activeCell="A29" sqref="A29:H37"/>
    </sheetView>
  </sheetViews>
  <sheetFormatPr defaultColWidth="8.796875" defaultRowHeight="15"/>
  <cols>
    <col min="1" max="1" width="2.3984375" style="69" customWidth="1"/>
    <col min="2" max="2" width="31.09765625" style="69" customWidth="1"/>
    <col min="3" max="4" width="15.796875" style="69" customWidth="1"/>
    <col min="5" max="5" width="16.1992187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5" ht="15.75">
      <c r="B1" s="224" t="str">
        <f>(inputPrYr!C2)</f>
        <v>Sheridan County</v>
      </c>
      <c r="C1" s="82"/>
      <c r="D1" s="82"/>
      <c r="E1" s="283">
        <f>inputPrYr!C4</f>
        <v>2013</v>
      </c>
    </row>
    <row r="2" spans="2:5" ht="9.75" customHeight="1">
      <c r="B2" s="82"/>
      <c r="C2" s="82"/>
      <c r="D2" s="82"/>
      <c r="E2" s="236"/>
    </row>
    <row r="3" spans="2:5" ht="15.75">
      <c r="B3" s="149" t="s">
        <v>222</v>
      </c>
      <c r="C3" s="329"/>
      <c r="D3" s="329"/>
      <c r="E3" s="330"/>
    </row>
    <row r="4" spans="2:5" ht="15.75">
      <c r="B4" s="81" t="s">
        <v>153</v>
      </c>
      <c r="C4" s="666" t="s">
        <v>814</v>
      </c>
      <c r="D4" s="667" t="s">
        <v>815</v>
      </c>
      <c r="E4" s="211" t="s">
        <v>816</v>
      </c>
    </row>
    <row r="5" spans="2:5" ht="15.75">
      <c r="B5" s="454" t="str">
        <f>inputPrYr!B23</f>
        <v>Library Service Contract</v>
      </c>
      <c r="C5" s="437" t="str">
        <f>CONCATENATE("Actual for ",E1-2,"")</f>
        <v>Actual for 2011</v>
      </c>
      <c r="D5" s="437" t="str">
        <f>CONCATENATE("Estimate for ",E1-1,"")</f>
        <v>Estimate for 2012</v>
      </c>
      <c r="E5" s="299" t="str">
        <f>CONCATENATE("Year for ",E1,"")</f>
        <v>Year for 2013</v>
      </c>
    </row>
    <row r="6" spans="2:10" ht="15.75">
      <c r="B6" s="145" t="s">
        <v>262</v>
      </c>
      <c r="C6" s="434">
        <v>27</v>
      </c>
      <c r="D6" s="438">
        <f>C23</f>
        <v>0</v>
      </c>
      <c r="E6" s="262">
        <f>D23</f>
        <v>40</v>
      </c>
      <c r="G6" s="770" t="str">
        <f>CONCATENATE("Desired Carryover Into ",E1+1,"")</f>
        <v>Desired Carryover Into 2014</v>
      </c>
      <c r="H6" s="771"/>
      <c r="I6" s="771"/>
      <c r="J6" s="772"/>
    </row>
    <row r="7" spans="2:10" ht="15.75">
      <c r="B7" s="287" t="s">
        <v>264</v>
      </c>
      <c r="C7" s="302"/>
      <c r="D7" s="302"/>
      <c r="E7" s="124"/>
      <c r="G7" s="618"/>
      <c r="H7" s="619"/>
      <c r="I7" s="620"/>
      <c r="J7" s="621"/>
    </row>
    <row r="8" spans="2:10" ht="15.75">
      <c r="B8" s="145" t="s">
        <v>917</v>
      </c>
      <c r="C8" s="434">
        <v>15220</v>
      </c>
      <c r="D8" s="438">
        <f>IF(inputPrYr!H23&gt;0,inputPrYr!H23,inputPrYr!E23)</f>
        <v>15560</v>
      </c>
      <c r="E8" s="332" t="s">
        <v>140</v>
      </c>
      <c r="G8" s="622" t="s">
        <v>660</v>
      </c>
      <c r="H8" s="620"/>
      <c r="I8" s="620"/>
      <c r="J8" s="623">
        <v>0</v>
      </c>
    </row>
    <row r="9" spans="2:10" ht="15.75">
      <c r="B9" s="145" t="s">
        <v>918</v>
      </c>
      <c r="C9" s="434">
        <v>84</v>
      </c>
      <c r="D9" s="434">
        <v>92</v>
      </c>
      <c r="E9" s="109">
        <v>200</v>
      </c>
      <c r="G9" s="618" t="s">
        <v>661</v>
      </c>
      <c r="H9" s="619"/>
      <c r="I9" s="619"/>
      <c r="J9" s="624">
        <f>IF(J8=0,"",ROUND((J8+E29-G21)/inputOth!E6*1000,3)-G26)</f>
      </c>
    </row>
    <row r="10" spans="2:10" ht="15.75">
      <c r="B10" s="145" t="s">
        <v>919</v>
      </c>
      <c r="C10" s="434">
        <v>1638</v>
      </c>
      <c r="D10" s="434">
        <v>1629</v>
      </c>
      <c r="E10" s="262">
        <f>mvalloc!E14</f>
        <v>1383</v>
      </c>
      <c r="G10" s="625" t="str">
        <f>CONCATENATE("",E1," Tot Exp/Non-Appr Must Be:")</f>
        <v>2013 Tot Exp/Non-Appr Must Be:</v>
      </c>
      <c r="H10" s="626"/>
      <c r="I10" s="627"/>
      <c r="J10" s="628">
        <f>IF(J8&gt;0,IF(E26&lt;E16,IF(J8=G21,E26,((J8-G21)*(1-D28))+E16),E26+(J8-G21)),0)</f>
        <v>0</v>
      </c>
    </row>
    <row r="11" spans="2:10" ht="15.75">
      <c r="B11" s="145" t="s">
        <v>920</v>
      </c>
      <c r="C11" s="434">
        <v>29</v>
      </c>
      <c r="D11" s="434">
        <v>30</v>
      </c>
      <c r="E11" s="262">
        <f>mvalloc!F14</f>
        <v>25</v>
      </c>
      <c r="G11" s="629" t="s">
        <v>812</v>
      </c>
      <c r="H11" s="630"/>
      <c r="I11" s="630"/>
      <c r="J11" s="631">
        <f>IF(J8&gt;0,J10-E26,0)</f>
        <v>0</v>
      </c>
    </row>
    <row r="12" spans="2:10" ht="15.75">
      <c r="B12" s="302" t="s">
        <v>995</v>
      </c>
      <c r="C12" s="434">
        <v>243</v>
      </c>
      <c r="D12" s="434">
        <v>229</v>
      </c>
      <c r="E12" s="262">
        <f>mvalloc!G14</f>
        <v>197</v>
      </c>
      <c r="G12" s="1"/>
      <c r="H12" s="1"/>
      <c r="I12" s="1"/>
      <c r="J12" s="1"/>
    </row>
    <row r="13" spans="2:10" ht="15.75">
      <c r="B13" s="306" t="s">
        <v>69</v>
      </c>
      <c r="C13" s="434"/>
      <c r="D13" s="434"/>
      <c r="E13" s="109"/>
      <c r="G13" s="770" t="str">
        <f>CONCATENATE("Projected Carryover Into ",E1+1,"")</f>
        <v>Projected Carryover Into 2014</v>
      </c>
      <c r="H13" s="777"/>
      <c r="I13" s="777"/>
      <c r="J13" s="778"/>
    </row>
    <row r="14" spans="2:10" ht="15.75">
      <c r="B14" s="306" t="s">
        <v>655</v>
      </c>
      <c r="C14" s="435">
        <f>IF(C15*0.1&lt;C13,"Exceed 10% Rule","")</f>
      </c>
      <c r="D14" s="435">
        <f>IF(D15*0.1&lt;D13,"Exceed 10% Rule","")</f>
      </c>
      <c r="E14" s="333">
        <f>IF(E15*0.1+E29&lt;E13,"Exceed 10% Rule","")</f>
      </c>
      <c r="G14" s="618"/>
      <c r="H14" s="620"/>
      <c r="I14" s="620"/>
      <c r="J14" s="643"/>
    </row>
    <row r="15" spans="2:10" ht="15.75">
      <c r="B15" s="308" t="s">
        <v>154</v>
      </c>
      <c r="C15" s="436">
        <f>SUM(C8:C13)</f>
        <v>17214</v>
      </c>
      <c r="D15" s="436">
        <f>SUM(D8:D13)</f>
        <v>17540</v>
      </c>
      <c r="E15" s="338">
        <f>SUM(E8:E13)</f>
        <v>1805</v>
      </c>
      <c r="G15" s="644">
        <f>D23</f>
        <v>40</v>
      </c>
      <c r="H15" s="634" t="str">
        <f>CONCATENATE("",E1-1," Ending Cash Balance (est.)")</f>
        <v>2012 Ending Cash Balance (est.)</v>
      </c>
      <c r="I15" s="645"/>
      <c r="J15" s="643"/>
    </row>
    <row r="16" spans="2:10" ht="15.75">
      <c r="B16" s="308" t="s">
        <v>155</v>
      </c>
      <c r="C16" s="436">
        <f>C6+C15</f>
        <v>17241</v>
      </c>
      <c r="D16" s="436">
        <f>D6+D15</f>
        <v>17540</v>
      </c>
      <c r="E16" s="338">
        <f>E6+E15</f>
        <v>1845</v>
      </c>
      <c r="G16" s="644">
        <f>E15</f>
        <v>1805</v>
      </c>
      <c r="H16" s="620" t="str">
        <f>CONCATENATE("",E1," Non-AV Receipts (est.)")</f>
        <v>2013 Non-AV Receipts (est.)</v>
      </c>
      <c r="I16" s="645"/>
      <c r="J16" s="643"/>
    </row>
    <row r="17" spans="2:10" ht="15.75">
      <c r="B17" s="145" t="s">
        <v>157</v>
      </c>
      <c r="C17" s="306"/>
      <c r="D17" s="306"/>
      <c r="E17" s="105"/>
      <c r="G17" s="646">
        <f>IF(E28&gt;0,E27,E29)</f>
        <v>15742</v>
      </c>
      <c r="H17" s="620" t="str">
        <f>CONCATENATE("",E1," Ad Valorem Tax (est.)")</f>
        <v>2013 Ad Valorem Tax (est.)</v>
      </c>
      <c r="I17" s="645"/>
      <c r="J17" s="643"/>
    </row>
    <row r="18" spans="2:10" ht="15.75">
      <c r="B18" s="314" t="s">
        <v>998</v>
      </c>
      <c r="C18" s="434">
        <v>17241</v>
      </c>
      <c r="D18" s="434">
        <v>17500</v>
      </c>
      <c r="E18" s="109">
        <v>17500</v>
      </c>
      <c r="G18" s="644">
        <f>SUM(G15:G17)</f>
        <v>17587</v>
      </c>
      <c r="H18" s="620" t="str">
        <f>CONCATENATE("Total ",E1," Resources Available")</f>
        <v>Total 2013 Resources Available</v>
      </c>
      <c r="I18" s="645"/>
      <c r="J18" s="643"/>
    </row>
    <row r="19" spans="2:10" ht="15.75">
      <c r="B19" s="306" t="s">
        <v>70</v>
      </c>
      <c r="C19" s="434"/>
      <c r="D19" s="434"/>
      <c r="E19" s="117">
        <f>Nhood!E12</f>
        <v>87</v>
      </c>
      <c r="G19" s="647"/>
      <c r="H19" s="620"/>
      <c r="I19" s="620"/>
      <c r="J19" s="643"/>
    </row>
    <row r="20" spans="2:10" ht="15.75">
      <c r="B20" s="306" t="s">
        <v>69</v>
      </c>
      <c r="C20" s="434"/>
      <c r="D20" s="434"/>
      <c r="E20" s="109"/>
      <c r="G20" s="646">
        <f>ROUND(C22*0.05+C22,0)</f>
        <v>18103</v>
      </c>
      <c r="H20" s="620" t="str">
        <f>CONCATENATE("Less ",E1-2," Expenditures + 5%")</f>
        <v>Less 2011 Expenditures + 5%</v>
      </c>
      <c r="I20" s="645"/>
      <c r="J20" s="648"/>
    </row>
    <row r="21" spans="2:10" ht="15.75">
      <c r="B21" s="306" t="s">
        <v>654</v>
      </c>
      <c r="C21" s="435">
        <f>IF(C22*0.1&lt;C20,"Exceed 10% Rule","")</f>
      </c>
      <c r="D21" s="435">
        <f>IF(D22*0.1&lt;D20,"Exceed 10% Rule","")</f>
      </c>
      <c r="E21" s="333">
        <f>IF(E22*0.1&lt;E20,"Exceed 10% Rule","")</f>
      </c>
      <c r="G21" s="649">
        <f>G18-G20</f>
        <v>-516</v>
      </c>
      <c r="H21" s="650" t="str">
        <f>CONCATENATE("Projected ",E1+1," carryover (est.)")</f>
        <v>Projected 2014 carryover (est.)</v>
      </c>
      <c r="I21" s="651"/>
      <c r="J21" s="652"/>
    </row>
    <row r="22" spans="2:10" ht="15.75">
      <c r="B22" s="308" t="s">
        <v>158</v>
      </c>
      <c r="C22" s="436">
        <f>SUM(C18:C20)</f>
        <v>17241</v>
      </c>
      <c r="D22" s="436">
        <f>SUM(D18:D20)</f>
        <v>17500</v>
      </c>
      <c r="E22" s="338">
        <f>SUM(E18:E20)</f>
        <v>17587</v>
      </c>
      <c r="G22" s="1"/>
      <c r="H22" s="1"/>
      <c r="I22" s="1"/>
      <c r="J22" s="1"/>
    </row>
    <row r="23" spans="2:10" ht="15.75">
      <c r="B23" s="145" t="s">
        <v>263</v>
      </c>
      <c r="C23" s="439">
        <f>C16-C22</f>
        <v>0</v>
      </c>
      <c r="D23" s="439">
        <f>D16-D22</f>
        <v>40</v>
      </c>
      <c r="E23" s="332" t="s">
        <v>140</v>
      </c>
      <c r="G23" s="773" t="s">
        <v>813</v>
      </c>
      <c r="H23" s="774"/>
      <c r="I23" s="774"/>
      <c r="J23" s="775"/>
    </row>
    <row r="24" spans="2:10" ht="15.75">
      <c r="B24" s="284" t="str">
        <f>CONCATENATE("",E$1-2,"/",E$1-1," Budget Authority Amount:")</f>
        <v>2011/2012 Budget Authority Amount:</v>
      </c>
      <c r="C24" s="276">
        <f>inputOth!B37</f>
        <v>17500</v>
      </c>
      <c r="D24" s="276">
        <f>inputPrYr!D23</f>
        <v>17513</v>
      </c>
      <c r="E24" s="332" t="s">
        <v>140</v>
      </c>
      <c r="G24" s="633"/>
      <c r="H24" s="634"/>
      <c r="I24" s="635"/>
      <c r="J24" s="636"/>
    </row>
    <row r="25" spans="2:10" ht="15.75">
      <c r="B25" s="284"/>
      <c r="C25" s="761" t="s">
        <v>657</v>
      </c>
      <c r="D25" s="762"/>
      <c r="E25" s="109"/>
      <c r="G25" s="637">
        <f>summ!H22</f>
        <v>0.368</v>
      </c>
      <c r="H25" s="634" t="str">
        <f>CONCATENATE("",E1," Fund Mill Rate")</f>
        <v>2013 Fund Mill Rate</v>
      </c>
      <c r="I25" s="635"/>
      <c r="J25" s="636"/>
    </row>
    <row r="26" spans="2:10" ht="15.75">
      <c r="B26" s="476" t="str">
        <f>CONCATENATE(C68,"     ",D68)</f>
        <v>     </v>
      </c>
      <c r="C26" s="763" t="s">
        <v>658</v>
      </c>
      <c r="D26" s="764"/>
      <c r="E26" s="262">
        <f>E22+E25</f>
        <v>17587</v>
      </c>
      <c r="G26" s="638">
        <f>summ!E22</f>
        <v>0.353</v>
      </c>
      <c r="H26" s="634" t="str">
        <f>CONCATENATE("",E1-1," Fund Mill Rate")</f>
        <v>2012 Fund Mill Rate</v>
      </c>
      <c r="I26" s="635"/>
      <c r="J26" s="636"/>
    </row>
    <row r="27" spans="2:10" ht="15.75">
      <c r="B27" s="476" t="str">
        <f>CONCATENATE(C69,"     ",D69)</f>
        <v>     </v>
      </c>
      <c r="C27" s="317"/>
      <c r="D27" s="236" t="s">
        <v>159</v>
      </c>
      <c r="E27" s="117">
        <f>IF(E26-E16&gt;0,E26-E16,0)</f>
        <v>15742</v>
      </c>
      <c r="G27" s="639">
        <f>summ!H39</f>
        <v>94.09</v>
      </c>
      <c r="H27" s="634" t="str">
        <f>CONCATENATE("Total ",E1," Mill Rate")</f>
        <v>Total 2013 Mill Rate</v>
      </c>
      <c r="I27" s="635"/>
      <c r="J27" s="636"/>
    </row>
    <row r="28" spans="2:10" ht="15.75">
      <c r="B28" s="236"/>
      <c r="C28" s="474" t="s">
        <v>659</v>
      </c>
      <c r="D28" s="617">
        <f>inputOth!$E$23</f>
        <v>0.01</v>
      </c>
      <c r="E28" s="262">
        <f>ROUND(IF(D28&gt;0,($E$27*D28),0),0)</f>
        <v>157</v>
      </c>
      <c r="G28" s="638">
        <f>summ!E39</f>
        <v>83.04799999999999</v>
      </c>
      <c r="H28" s="640" t="str">
        <f>CONCATENATE("Total ",E1-1," Mill Rate")</f>
        <v>Total 2012 Mill Rate</v>
      </c>
      <c r="I28" s="641"/>
      <c r="J28" s="642"/>
    </row>
    <row r="29" spans="2:10" ht="15.75">
      <c r="B29" s="82"/>
      <c r="C29" s="768" t="str">
        <f>CONCATENATE("Amount of  ",$E$1-1," Ad Valorem Tax")</f>
        <v>Amount of  2012 Ad Valorem Tax</v>
      </c>
      <c r="D29" s="769"/>
      <c r="E29" s="334">
        <f>E27+E28</f>
        <v>15899</v>
      </c>
      <c r="G29" s="1"/>
      <c r="H29" s="1"/>
      <c r="I29" s="1"/>
      <c r="J29" s="1"/>
    </row>
    <row r="30" spans="2:11" ht="12.75" customHeight="1">
      <c r="B30" s="82"/>
      <c r="C30" s="323"/>
      <c r="D30" s="323"/>
      <c r="E30" s="323"/>
      <c r="F30" s="316"/>
      <c r="G30" s="1"/>
      <c r="H30" s="1"/>
      <c r="I30" s="1"/>
      <c r="J30" s="1"/>
      <c r="K30" s="632" t="str">
        <f>IF(G17=E29,"","Note: Does not include Delinquent Taxes")</f>
        <v>Note: Does not include Delinquent Taxes</v>
      </c>
    </row>
    <row r="31" spans="2:10" ht="15.75">
      <c r="B31" s="81" t="s">
        <v>153</v>
      </c>
      <c r="C31" s="666" t="str">
        <f aca="true" t="shared" si="0" ref="C31:E32">C4</f>
        <v>Prior Year </v>
      </c>
      <c r="D31" s="667" t="str">
        <f t="shared" si="0"/>
        <v>Current Year </v>
      </c>
      <c r="E31" s="211" t="str">
        <f t="shared" si="0"/>
        <v>Proposed Budget </v>
      </c>
      <c r="F31" s="472">
        <f>IF(E22/0.95-E22&lt;E25,"Exceeds 5%","")</f>
      </c>
      <c r="G31" s="1"/>
      <c r="H31" s="1"/>
      <c r="I31" s="1"/>
      <c r="J31" s="1"/>
    </row>
    <row r="32" spans="2:10" ht="15.75">
      <c r="B32" s="454" t="str">
        <f>inputPrYr!B24</f>
        <v>Hospital Maintenance</v>
      </c>
      <c r="C32" s="437" t="str">
        <f t="shared" si="0"/>
        <v>Actual for 2011</v>
      </c>
      <c r="D32" s="437" t="str">
        <f t="shared" si="0"/>
        <v>Estimate for 2012</v>
      </c>
      <c r="E32" s="312" t="str">
        <f t="shared" si="0"/>
        <v>Year for 2013</v>
      </c>
      <c r="G32" s="1"/>
      <c r="H32" s="1"/>
      <c r="I32" s="1"/>
      <c r="J32" s="1"/>
    </row>
    <row r="33" spans="2:10" ht="15.75">
      <c r="B33" s="145" t="s">
        <v>262</v>
      </c>
      <c r="C33" s="434">
        <v>0</v>
      </c>
      <c r="D33" s="438">
        <f>C51</f>
        <v>0</v>
      </c>
      <c r="E33" s="262">
        <f>D51</f>
        <v>4178</v>
      </c>
      <c r="G33" s="1"/>
      <c r="H33" s="1"/>
      <c r="I33" s="1"/>
      <c r="J33" s="1"/>
    </row>
    <row r="34" spans="2:10" ht="15.75">
      <c r="B34" s="287" t="s">
        <v>264</v>
      </c>
      <c r="C34" s="302"/>
      <c r="D34" s="302"/>
      <c r="E34" s="124"/>
      <c r="G34" s="770" t="str">
        <f>CONCATENATE("Desired Carryover Into ",E1+1,"")</f>
        <v>Desired Carryover Into 2014</v>
      </c>
      <c r="H34" s="771"/>
      <c r="I34" s="771"/>
      <c r="J34" s="772"/>
    </row>
    <row r="35" spans="2:10" ht="15.75">
      <c r="B35" s="145" t="s">
        <v>917</v>
      </c>
      <c r="C35" s="434">
        <v>363314</v>
      </c>
      <c r="D35" s="438">
        <f>IF(inputPrYr!H24&gt;0,inputPrYr!H24,inputPrYr!E24)</f>
        <v>440584</v>
      </c>
      <c r="E35" s="332" t="s">
        <v>140</v>
      </c>
      <c r="G35" s="618"/>
      <c r="H35" s="619"/>
      <c r="I35" s="620"/>
      <c r="J35" s="621"/>
    </row>
    <row r="36" spans="2:10" ht="15.75">
      <c r="B36" s="145" t="s">
        <v>918</v>
      </c>
      <c r="C36" s="434">
        <v>1967</v>
      </c>
      <c r="D36" s="434">
        <v>2186</v>
      </c>
      <c r="E36" s="109">
        <v>2500</v>
      </c>
      <c r="G36" s="622" t="s">
        <v>660</v>
      </c>
      <c r="H36" s="620"/>
      <c r="I36" s="620"/>
      <c r="J36" s="623">
        <v>0</v>
      </c>
    </row>
    <row r="37" spans="2:10" ht="15.75">
      <c r="B37" s="145" t="s">
        <v>919</v>
      </c>
      <c r="C37" s="434">
        <v>39887</v>
      </c>
      <c r="D37" s="434">
        <v>39125</v>
      </c>
      <c r="E37" s="262">
        <f>mvalloc!E15</f>
        <v>39159</v>
      </c>
      <c r="G37" s="618" t="s">
        <v>661</v>
      </c>
      <c r="H37" s="619"/>
      <c r="I37" s="619"/>
      <c r="J37" s="624">
        <f>IF(J36=0,"",ROUND((J36+E57-G49)/inputOth!E6*1000,3)-G54)</f>
      </c>
    </row>
    <row r="38" spans="2:10" ht="15.75">
      <c r="B38" s="145" t="s">
        <v>920</v>
      </c>
      <c r="C38" s="434">
        <v>705</v>
      </c>
      <c r="D38" s="434">
        <v>700</v>
      </c>
      <c r="E38" s="262">
        <f>mvalloc!F15</f>
        <v>716</v>
      </c>
      <c r="G38" s="625" t="str">
        <f>CONCATENATE("",E1," Tot Exp/Non-Appr Must Be:")</f>
        <v>2013 Tot Exp/Non-Appr Must Be:</v>
      </c>
      <c r="H38" s="626"/>
      <c r="I38" s="627"/>
      <c r="J38" s="628">
        <f>IF(J36&gt;0,IF(E54&lt;E44,IF(J36=G49,E54,((J36-G49)*(1-D56))+E44),E54+(J36-G49)),0)</f>
        <v>0</v>
      </c>
    </row>
    <row r="39" spans="2:10" ht="15.75">
      <c r="B39" s="302" t="s">
        <v>995</v>
      </c>
      <c r="C39" s="434">
        <v>6414</v>
      </c>
      <c r="D39" s="434">
        <v>5475</v>
      </c>
      <c r="E39" s="262">
        <f>mvalloc!G15</f>
        <v>5592</v>
      </c>
      <c r="G39" s="629" t="s">
        <v>812</v>
      </c>
      <c r="H39" s="630"/>
      <c r="I39" s="630"/>
      <c r="J39" s="631">
        <f>IF(J36&gt;0,J38-E54,0)</f>
        <v>0</v>
      </c>
    </row>
    <row r="40" spans="2:10" ht="15.75">
      <c r="B40" s="314" t="s">
        <v>923</v>
      </c>
      <c r="C40" s="434">
        <v>353366</v>
      </c>
      <c r="D40" s="434">
        <v>375000</v>
      </c>
      <c r="E40" s="109">
        <v>410000</v>
      </c>
      <c r="G40" s="1"/>
      <c r="H40" s="1"/>
      <c r="I40" s="1"/>
      <c r="J40" s="1"/>
    </row>
    <row r="41" spans="2:10" ht="15.75">
      <c r="B41" s="306" t="s">
        <v>69</v>
      </c>
      <c r="C41" s="434"/>
      <c r="D41" s="434"/>
      <c r="E41" s="109"/>
      <c r="G41" s="770" t="str">
        <f>CONCATENATE("Projected Carryover Into ",E1+1,"")</f>
        <v>Projected Carryover Into 2014</v>
      </c>
      <c r="H41" s="779"/>
      <c r="I41" s="779"/>
      <c r="J41" s="778"/>
    </row>
    <row r="42" spans="2:10" ht="15.75">
      <c r="B42" s="306" t="s">
        <v>655</v>
      </c>
      <c r="C42" s="435">
        <f>IF(C43*0.1&lt;C41,"Exceed 10% Rule","")</f>
      </c>
      <c r="D42" s="435">
        <f>IF(D43*0.1&lt;D41,"Exceed 10% Rule","")</f>
      </c>
      <c r="E42" s="333">
        <f>IF(E43*0.1+E57&lt;E41,"Exceed 10% Rule","")</f>
      </c>
      <c r="G42" s="653"/>
      <c r="H42" s="619"/>
      <c r="I42" s="619"/>
      <c r="J42" s="648"/>
    </row>
    <row r="43" spans="2:10" ht="15.75">
      <c r="B43" s="308" t="s">
        <v>154</v>
      </c>
      <c r="C43" s="436">
        <f>SUM(C35:C41)</f>
        <v>765653</v>
      </c>
      <c r="D43" s="436">
        <f>SUM(D35:D41)</f>
        <v>863070</v>
      </c>
      <c r="E43" s="338">
        <f>SUM(E35:E41)</f>
        <v>457967</v>
      </c>
      <c r="G43" s="644">
        <f>D51</f>
        <v>4178</v>
      </c>
      <c r="H43" s="634" t="str">
        <f>CONCATENATE("",E1-1," Ending Cash Balance (est.)")</f>
        <v>2012 Ending Cash Balance (est.)</v>
      </c>
      <c r="I43" s="645"/>
      <c r="J43" s="648"/>
    </row>
    <row r="44" spans="2:10" ht="15.75">
      <c r="B44" s="308" t="s">
        <v>155</v>
      </c>
      <c r="C44" s="436">
        <f>C33+C43</f>
        <v>765653</v>
      </c>
      <c r="D44" s="436">
        <f>D33+D43</f>
        <v>863070</v>
      </c>
      <c r="E44" s="338">
        <f>E33+E43</f>
        <v>462145</v>
      </c>
      <c r="G44" s="644">
        <f>E43</f>
        <v>457967</v>
      </c>
      <c r="H44" s="620" t="str">
        <f>CONCATENATE("",E1," Non-AV Receipts (est.)")</f>
        <v>2013 Non-AV Receipts (est.)</v>
      </c>
      <c r="I44" s="645"/>
      <c r="J44" s="648"/>
    </row>
    <row r="45" spans="2:10" ht="15.75">
      <c r="B45" s="145" t="s">
        <v>157</v>
      </c>
      <c r="C45" s="306"/>
      <c r="D45" s="306"/>
      <c r="E45" s="105"/>
      <c r="G45" s="646">
        <f>IF(E56&gt;0,E55,E57)</f>
        <v>438703</v>
      </c>
      <c r="H45" s="620" t="str">
        <f>CONCATENATE("",E1," Ad Valorem Tax (est.)")</f>
        <v>2013 Ad Valorem Tax (est.)</v>
      </c>
      <c r="I45" s="645"/>
      <c r="J45" s="648"/>
    </row>
    <row r="46" spans="2:10" ht="15.75">
      <c r="B46" s="314" t="s">
        <v>998</v>
      </c>
      <c r="C46" s="434">
        <v>765653</v>
      </c>
      <c r="D46" s="434">
        <v>858892</v>
      </c>
      <c r="E46" s="109">
        <v>898422</v>
      </c>
      <c r="G46" s="654">
        <f>SUM(G43:G45)</f>
        <v>900848</v>
      </c>
      <c r="H46" s="620" t="str">
        <f>CONCATENATE("Total ",E1," Resources Available")</f>
        <v>Total 2013 Resources Available</v>
      </c>
      <c r="I46" s="655"/>
      <c r="J46" s="648"/>
    </row>
    <row r="47" spans="2:10" ht="15.75">
      <c r="B47" s="306" t="s">
        <v>70</v>
      </c>
      <c r="C47" s="434"/>
      <c r="D47" s="434"/>
      <c r="E47" s="117">
        <f>Nhood!E13</f>
        <v>2426</v>
      </c>
      <c r="G47" s="656"/>
      <c r="H47" s="657"/>
      <c r="I47" s="619"/>
      <c r="J47" s="648"/>
    </row>
    <row r="48" spans="2:10" ht="15.75">
      <c r="B48" s="306" t="s">
        <v>69</v>
      </c>
      <c r="C48" s="434"/>
      <c r="D48" s="434"/>
      <c r="E48" s="109"/>
      <c r="G48" s="658">
        <f>ROUND(C50*0.05+C50,0)</f>
        <v>803936</v>
      </c>
      <c r="H48" s="620" t="str">
        <f>CONCATENATE("Less ",E1-2," Expenditures + 5%")</f>
        <v>Less 2011 Expenditures + 5%</v>
      </c>
      <c r="I48" s="655"/>
      <c r="J48" s="648"/>
    </row>
    <row r="49" spans="2:10" ht="15.75">
      <c r="B49" s="306" t="s">
        <v>654</v>
      </c>
      <c r="C49" s="435">
        <f>IF(C50*0.1&lt;C48,"Exceed 10% Rule","")</f>
      </c>
      <c r="D49" s="435">
        <f>IF(D50*0.1&lt;D48,"Exceed 10% Rule","")</f>
      </c>
      <c r="E49" s="333">
        <f>IF(E50*0.1&lt;E48,"Exceed 10% Rule","")</f>
      </c>
      <c r="G49" s="659">
        <f>G46-G48</f>
        <v>96912</v>
      </c>
      <c r="H49" s="650" t="str">
        <f>CONCATENATE("Projected ",E1+1," carryover (est.)")</f>
        <v>Projected 2014 carryover (est.)</v>
      </c>
      <c r="I49" s="660"/>
      <c r="J49" s="661"/>
    </row>
    <row r="50" spans="2:10" ht="15.75">
      <c r="B50" s="308" t="s">
        <v>158</v>
      </c>
      <c r="C50" s="436">
        <f>SUM(C46:C48)</f>
        <v>765653</v>
      </c>
      <c r="D50" s="436">
        <f>SUM(D46:D48)</f>
        <v>858892</v>
      </c>
      <c r="E50" s="338">
        <f>SUM(E46:E48)</f>
        <v>900848</v>
      </c>
      <c r="G50" s="1"/>
      <c r="H50" s="1"/>
      <c r="I50" s="1"/>
      <c r="J50" s="1"/>
    </row>
    <row r="51" spans="2:10" ht="15.75">
      <c r="B51" s="145" t="s">
        <v>263</v>
      </c>
      <c r="C51" s="439">
        <f>C44-C50</f>
        <v>0</v>
      </c>
      <c r="D51" s="439">
        <f>D44-D50</f>
        <v>4178</v>
      </c>
      <c r="E51" s="332" t="s">
        <v>140</v>
      </c>
      <c r="G51" s="773" t="s">
        <v>813</v>
      </c>
      <c r="H51" s="774"/>
      <c r="I51" s="774"/>
      <c r="J51" s="775"/>
    </row>
    <row r="52" spans="2:10" ht="15.75">
      <c r="B52" s="284" t="str">
        <f>CONCATENATE("",E$1-2,"/",E$1-1," Budget Authority Amount:")</f>
        <v>2011/2012 Budget Authority Amount:</v>
      </c>
      <c r="C52" s="276">
        <f>inputOth!B38</f>
        <v>795000</v>
      </c>
      <c r="D52" s="276">
        <f>inputPrYr!D24</f>
        <v>858892</v>
      </c>
      <c r="E52" s="332" t="s">
        <v>140</v>
      </c>
      <c r="G52" s="633"/>
      <c r="H52" s="634"/>
      <c r="I52" s="635"/>
      <c r="J52" s="636"/>
    </row>
    <row r="53" spans="2:10" ht="15.75">
      <c r="B53" s="284"/>
      <c r="C53" s="761" t="s">
        <v>657</v>
      </c>
      <c r="D53" s="762"/>
      <c r="E53" s="109"/>
      <c r="G53" s="637">
        <f>summ!H23</f>
        <v>10.258</v>
      </c>
      <c r="H53" s="634" t="str">
        <f>CONCATENATE("",E1," Fund Mill Rate")</f>
        <v>2013 Fund Mill Rate</v>
      </c>
      <c r="I53" s="635"/>
      <c r="J53" s="636"/>
    </row>
    <row r="54" spans="2:10" ht="15.75">
      <c r="B54" s="475" t="str">
        <f>CONCATENATE(C70,"     ",D70)</f>
        <v>     </v>
      </c>
      <c r="C54" s="763" t="s">
        <v>658</v>
      </c>
      <c r="D54" s="764"/>
      <c r="E54" s="262">
        <f>E50+E53</f>
        <v>900848</v>
      </c>
      <c r="G54" s="638">
        <f>summ!E23</f>
        <v>9.996</v>
      </c>
      <c r="H54" s="634" t="str">
        <f>CONCATENATE("",E1-1," Fund Mill Rate")</f>
        <v>2012 Fund Mill Rate</v>
      </c>
      <c r="I54" s="635"/>
      <c r="J54" s="636"/>
    </row>
    <row r="55" spans="2:10" ht="15.75">
      <c r="B55" s="475" t="str">
        <f>CONCATENATE(C71,"     ",D71)</f>
        <v>     </v>
      </c>
      <c r="C55" s="317"/>
      <c r="D55" s="236" t="s">
        <v>159</v>
      </c>
      <c r="E55" s="117">
        <f>IF(E54-E44&gt;0,E54-E44,0)</f>
        <v>438703</v>
      </c>
      <c r="G55" s="639">
        <f>summ!H39</f>
        <v>94.09</v>
      </c>
      <c r="H55" s="634" t="str">
        <f>CONCATENATE("Total ",E1," Mill Rate")</f>
        <v>Total 2013 Mill Rate</v>
      </c>
      <c r="I55" s="635"/>
      <c r="J55" s="636"/>
    </row>
    <row r="56" spans="2:10" ht="15.75">
      <c r="B56" s="236"/>
      <c r="C56" s="474" t="s">
        <v>659</v>
      </c>
      <c r="D56" s="617">
        <f>inputOth!$E$23</f>
        <v>0.01</v>
      </c>
      <c r="E56" s="262">
        <f>ROUND(IF(D56&gt;0,($E$55*D56),0),0)</f>
        <v>4387</v>
      </c>
      <c r="G56" s="638">
        <f>summ!E39</f>
        <v>83.04799999999999</v>
      </c>
      <c r="H56" s="640" t="str">
        <f>CONCATENATE("Total ",E1-1," Mill Rate")</f>
        <v>Total 2012 Mill Rate</v>
      </c>
      <c r="I56" s="641"/>
      <c r="J56" s="642"/>
    </row>
    <row r="57" spans="2:5" ht="15.75">
      <c r="B57" s="82"/>
      <c r="C57" s="768" t="str">
        <f>CONCATENATE("Amount of  ",$E$1-1," Ad Valorem Tax")</f>
        <v>Amount of  2012 Ad Valorem Tax</v>
      </c>
      <c r="D57" s="769"/>
      <c r="E57" s="334">
        <f>E55+E56</f>
        <v>443090</v>
      </c>
    </row>
    <row r="58" spans="2:5" ht="22.5" customHeight="1">
      <c r="B58" s="284"/>
      <c r="C58" s="692" t="s">
        <v>1053</v>
      </c>
      <c r="D58" s="82"/>
      <c r="E58" s="82"/>
    </row>
    <row r="64" spans="6:11" ht="15.75">
      <c r="F64" s="316"/>
      <c r="K64" s="632" t="str">
        <f>IF(G45=E57,"","Note: Does not include Delinquent Taxes")</f>
        <v>Note: Does not include Delinquent Taxes</v>
      </c>
    </row>
    <row r="65" ht="15.75">
      <c r="F65" s="472">
        <f>IF(E50/0.95-E50&lt;E53,"Exceeds 5%","")</f>
      </c>
    </row>
    <row r="68" spans="3:4" ht="15.75">
      <c r="C68" s="69">
        <f>IF(C22&gt;C24,"See Tab A","")</f>
      </c>
      <c r="D68" s="69">
        <f>IF(D22&gt;D24,"See Tab C","")</f>
      </c>
    </row>
    <row r="69" spans="3:4" ht="15.75">
      <c r="C69" s="69">
        <f>IF(C23&lt;0,"See Tab B","")</f>
      </c>
      <c r="D69" s="69">
        <f>IF(D23&lt;0,"See Tab D","")</f>
      </c>
    </row>
    <row r="70" spans="3:4" ht="15.75">
      <c r="C70" s="69">
        <f>IF(C50&gt;C52,"See Tab A","")</f>
      </c>
      <c r="D70" s="69">
        <f>IF(D50&gt;D52,"See Tab C","")</f>
      </c>
    </row>
    <row r="71" spans="3:4" ht="15.75">
      <c r="C71" s="69">
        <f>IF(C51&lt;0,"See Tab B","")</f>
      </c>
      <c r="D71" s="69">
        <f>IF(D51&lt;0,"See Tab D","")</f>
      </c>
    </row>
    <row r="80" ht="15.75" hidden="1"/>
    <row r="81" ht="15.75" hidden="1"/>
    <row r="82" ht="15.75" hidden="1"/>
    <row r="83" ht="15.75" hidden="1"/>
  </sheetData>
  <sheetProtection/>
  <mergeCells count="12">
    <mergeCell ref="C25:D25"/>
    <mergeCell ref="C26:D26"/>
    <mergeCell ref="C53:D53"/>
    <mergeCell ref="C54:D54"/>
    <mergeCell ref="C57:D57"/>
    <mergeCell ref="C29:D29"/>
    <mergeCell ref="G6:J6"/>
    <mergeCell ref="G13:J13"/>
    <mergeCell ref="G23:J23"/>
    <mergeCell ref="G34:J34"/>
    <mergeCell ref="G41:J41"/>
    <mergeCell ref="G51:J51"/>
  </mergeCells>
  <conditionalFormatting sqref="E48">
    <cfRule type="cellIs" priority="3" dxfId="175" operator="greaterThan" stopIfTrue="1">
      <formula>$E$50*0.1</formula>
    </cfRule>
  </conditionalFormatting>
  <conditionalFormatting sqref="E53">
    <cfRule type="cellIs" priority="4" dxfId="175" operator="greaterThan" stopIfTrue="1">
      <formula>$E$50/0.95-$E$50</formula>
    </cfRule>
  </conditionalFormatting>
  <conditionalFormatting sqref="E25">
    <cfRule type="cellIs" priority="5" dxfId="175" operator="greaterThan" stopIfTrue="1">
      <formula>$E$22/0.95-$E$22</formula>
    </cfRule>
  </conditionalFormatting>
  <conditionalFormatting sqref="E20">
    <cfRule type="cellIs" priority="6" dxfId="175" operator="greaterThan" stopIfTrue="1">
      <formula>$E$22*0.1</formula>
    </cfRule>
  </conditionalFormatting>
  <conditionalFormatting sqref="C51 C23">
    <cfRule type="cellIs" priority="7" dxfId="1" operator="lessThan" stopIfTrue="1">
      <formula>0</formula>
    </cfRule>
  </conditionalFormatting>
  <conditionalFormatting sqref="C50">
    <cfRule type="cellIs" priority="8" dxfId="1" operator="greaterThan" stopIfTrue="1">
      <formula>$C$52</formula>
    </cfRule>
  </conditionalFormatting>
  <conditionalFormatting sqref="D50">
    <cfRule type="cellIs" priority="9" dxfId="1" operator="greaterThan" stopIfTrue="1">
      <formula>$D$52</formula>
    </cfRule>
  </conditionalFormatting>
  <conditionalFormatting sqref="C48">
    <cfRule type="cellIs" priority="10" dxfId="1" operator="greaterThan" stopIfTrue="1">
      <formula>$C$50*0.1</formula>
    </cfRule>
  </conditionalFormatting>
  <conditionalFormatting sqref="D48">
    <cfRule type="cellIs" priority="11" dxfId="1" operator="greaterThan" stopIfTrue="1">
      <formula>$D$50*0.1</formula>
    </cfRule>
  </conditionalFormatting>
  <conditionalFormatting sqref="E41">
    <cfRule type="cellIs" priority="12" dxfId="175" operator="greaterThan" stopIfTrue="1">
      <formula>$E$43*0.1+E57</formula>
    </cfRule>
  </conditionalFormatting>
  <conditionalFormatting sqref="C41">
    <cfRule type="cellIs" priority="13" dxfId="1" operator="greaterThan" stopIfTrue="1">
      <formula>$C$43*0.1</formula>
    </cfRule>
  </conditionalFormatting>
  <conditionalFormatting sqref="D41">
    <cfRule type="cellIs" priority="14" dxfId="1" operator="greaterThan" stopIfTrue="1">
      <formula>$D$43*0.1</formula>
    </cfRule>
  </conditionalFormatting>
  <conditionalFormatting sqref="C22">
    <cfRule type="cellIs" priority="15" dxfId="1" operator="greaterThan" stopIfTrue="1">
      <formula>$C$24</formula>
    </cfRule>
  </conditionalFormatting>
  <conditionalFormatting sqref="D22">
    <cfRule type="cellIs" priority="16" dxfId="1" operator="greaterThan" stopIfTrue="1">
      <formula>$D$24</formula>
    </cfRule>
  </conditionalFormatting>
  <conditionalFormatting sqref="C20">
    <cfRule type="cellIs" priority="17" dxfId="1" operator="greaterThan" stopIfTrue="1">
      <formula>$C$22*0.1</formula>
    </cfRule>
  </conditionalFormatting>
  <conditionalFormatting sqref="D20">
    <cfRule type="cellIs" priority="18" dxfId="1" operator="greaterThan" stopIfTrue="1">
      <formula>$D$22*0.1</formula>
    </cfRule>
  </conditionalFormatting>
  <conditionalFormatting sqref="E13">
    <cfRule type="cellIs" priority="19" dxfId="175" operator="greaterThan" stopIfTrue="1">
      <formula>$E$15*0.1+E29</formula>
    </cfRule>
  </conditionalFormatting>
  <conditionalFormatting sqref="C13">
    <cfRule type="cellIs" priority="20" dxfId="1" operator="greaterThan" stopIfTrue="1">
      <formula>$C$15*0.1</formula>
    </cfRule>
  </conditionalFormatting>
  <conditionalFormatting sqref="D13">
    <cfRule type="cellIs" priority="21" dxfId="1" operator="greaterThan" stopIfTrue="1">
      <formula>$D$15*0.1</formula>
    </cfRule>
  </conditionalFormatting>
  <conditionalFormatting sqref="D51 D23">
    <cfRule type="cellIs" priority="2" dxfId="0" operator="lessThan" stopIfTrue="1">
      <formula>0</formula>
    </cfRule>
  </conditionalFormatting>
  <printOptions/>
  <pageMargins left="0.84" right="0.5" top="0.71" bottom="0.29" header="0.42" footer="0"/>
  <pageSetup blackAndWhite="1" horizontalDpi="120" verticalDpi="120" orientation="portrait" scale="80" r:id="rId1"/>
  <headerFooter alignWithMargins="0">
    <oddHeader>&amp;RState of Kansas
County
</oddHeader>
  </headerFooter>
</worksheet>
</file>

<file path=xl/worksheets/sheet19.xml><?xml version="1.0" encoding="utf-8"?>
<worksheet xmlns="http://schemas.openxmlformats.org/spreadsheetml/2006/main" xmlns:r="http://schemas.openxmlformats.org/officeDocument/2006/relationships">
  <dimension ref="B1:K76"/>
  <sheetViews>
    <sheetView zoomScalePageLayoutView="0" workbookViewId="0" topLeftCell="A28">
      <selection activeCell="A29" sqref="A29:H37"/>
    </sheetView>
  </sheetViews>
  <sheetFormatPr defaultColWidth="8.796875" defaultRowHeight="15"/>
  <cols>
    <col min="1" max="1" width="2.3984375" style="69" customWidth="1"/>
    <col min="2" max="2" width="31.09765625" style="69" customWidth="1"/>
    <col min="3" max="3" width="15.69921875" style="69" customWidth="1"/>
    <col min="4" max="4" width="15.796875" style="69" customWidth="1"/>
    <col min="5" max="5" width="16.09765625" style="69" customWidth="1"/>
    <col min="6" max="6" width="7.3984375" style="69" customWidth="1"/>
    <col min="7" max="7" width="10.19921875" style="69" customWidth="1"/>
    <col min="8" max="8" width="8.8984375" style="69" customWidth="1"/>
    <col min="9" max="9" width="5" style="69" customWidth="1"/>
    <col min="10" max="10" width="10" style="69" customWidth="1"/>
    <col min="11" max="16384" width="8.8984375" style="69" customWidth="1"/>
  </cols>
  <sheetData>
    <row r="1" spans="2:5" ht="15.75">
      <c r="B1" s="224" t="str">
        <f>inputPrYr!C2</f>
        <v>Sheridan County</v>
      </c>
      <c r="C1" s="82"/>
      <c r="D1" s="82"/>
      <c r="E1" s="283">
        <f>inputPrYr!C4</f>
        <v>2013</v>
      </c>
    </row>
    <row r="2" spans="2:5" ht="7.5" customHeight="1">
      <c r="B2" s="82"/>
      <c r="C2" s="82"/>
      <c r="D2" s="82"/>
      <c r="E2" s="236"/>
    </row>
    <row r="3" spans="2:5" ht="15.75">
      <c r="B3" s="149" t="s">
        <v>222</v>
      </c>
      <c r="C3" s="329"/>
      <c r="D3" s="329"/>
      <c r="E3" s="330"/>
    </row>
    <row r="4" spans="2:5" ht="15.75">
      <c r="B4" s="81" t="s">
        <v>153</v>
      </c>
      <c r="C4" s="666" t="s">
        <v>814</v>
      </c>
      <c r="D4" s="667" t="s">
        <v>815</v>
      </c>
      <c r="E4" s="211" t="s">
        <v>816</v>
      </c>
    </row>
    <row r="5" spans="2:5" ht="15.75">
      <c r="B5" s="454" t="str">
        <f>inputPrYr!B25</f>
        <v>Mental Retardation</v>
      </c>
      <c r="C5" s="437" t="str">
        <f>CONCATENATE("Actual for ",E1-2,"")</f>
        <v>Actual for 2011</v>
      </c>
      <c r="D5" s="437" t="str">
        <f>CONCATENATE("Estimate for ",E1-1,"")</f>
        <v>Estimate for 2012</v>
      </c>
      <c r="E5" s="299" t="str">
        <f>CONCATENATE("Year for ",E1,"")</f>
        <v>Year for 2013</v>
      </c>
    </row>
    <row r="6" spans="2:5" ht="15.75">
      <c r="B6" s="145" t="s">
        <v>262</v>
      </c>
      <c r="C6" s="434">
        <v>0</v>
      </c>
      <c r="D6" s="438">
        <f>C25</f>
        <v>0</v>
      </c>
      <c r="E6" s="262">
        <f>D25</f>
        <v>0</v>
      </c>
    </row>
    <row r="7" spans="2:5" ht="15.75">
      <c r="B7" s="287" t="s">
        <v>264</v>
      </c>
      <c r="C7" s="302"/>
      <c r="D7" s="302"/>
      <c r="E7" s="124"/>
    </row>
    <row r="8" spans="2:10" ht="15.75">
      <c r="B8" s="145" t="s">
        <v>1061</v>
      </c>
      <c r="C8" s="434">
        <v>38344</v>
      </c>
      <c r="D8" s="438">
        <f>IF(inputPrYr!H25&gt;0,inputPrYr!H25,inputPrYr!E25)</f>
        <v>41635</v>
      </c>
      <c r="E8" s="332" t="s">
        <v>140</v>
      </c>
      <c r="G8" s="770" t="str">
        <f>CONCATENATE("Desired Carryover Into ",E1+1,"")</f>
        <v>Desired Carryover Into 2014</v>
      </c>
      <c r="H8" s="780"/>
      <c r="I8" s="780"/>
      <c r="J8" s="781"/>
    </row>
    <row r="9" spans="2:10" ht="15.75">
      <c r="B9" s="145" t="s">
        <v>1062</v>
      </c>
      <c r="C9" s="434">
        <v>224</v>
      </c>
      <c r="D9" s="434">
        <v>239</v>
      </c>
      <c r="E9" s="109">
        <v>350</v>
      </c>
      <c r="G9" s="618"/>
      <c r="H9" s="619"/>
      <c r="I9" s="620"/>
      <c r="J9" s="621"/>
    </row>
    <row r="10" spans="2:10" ht="15.75">
      <c r="B10" s="145" t="s">
        <v>1063</v>
      </c>
      <c r="C10" s="434">
        <v>4352</v>
      </c>
      <c r="D10" s="434">
        <v>3975</v>
      </c>
      <c r="E10" s="262">
        <f>mvalloc!E16</f>
        <v>3701</v>
      </c>
      <c r="G10" s="622" t="s">
        <v>660</v>
      </c>
      <c r="H10" s="620"/>
      <c r="I10" s="620"/>
      <c r="J10" s="623">
        <v>0</v>
      </c>
    </row>
    <row r="11" spans="2:10" ht="15.75">
      <c r="B11" s="145" t="s">
        <v>1064</v>
      </c>
      <c r="C11" s="434">
        <v>77</v>
      </c>
      <c r="D11" s="434">
        <v>70</v>
      </c>
      <c r="E11" s="262">
        <f>mvalloc!F16</f>
        <v>68</v>
      </c>
      <c r="G11" s="618" t="s">
        <v>661</v>
      </c>
      <c r="H11" s="619"/>
      <c r="I11" s="619"/>
      <c r="J11" s="624">
        <f>IF(J10=0,"",ROUND((J10+E31-G23)/'[1]inputOth'!E6*1000,3)-G28)</f>
      </c>
    </row>
    <row r="12" spans="2:10" ht="15.75">
      <c r="B12" s="302" t="s">
        <v>1065</v>
      </c>
      <c r="C12" s="434">
        <v>648</v>
      </c>
      <c r="D12" s="434">
        <v>576</v>
      </c>
      <c r="E12" s="262">
        <f>mvalloc!G16</f>
        <v>528</v>
      </c>
      <c r="G12" s="625" t="str">
        <f>CONCATENATE("",E1," Tot Exp/Non-Appr Must Be:")</f>
        <v>2013 Tot Exp/Non-Appr Must Be:</v>
      </c>
      <c r="H12" s="626"/>
      <c r="I12" s="627"/>
      <c r="J12" s="628">
        <f>IF(J10&gt;0,IF(E28&lt;E17,IF(J10=G23,E28,((J10-G23)*(1-D30))+E17),E28+(J10-G23)),0)</f>
        <v>0</v>
      </c>
    </row>
    <row r="13" spans="2:10" ht="15.75">
      <c r="B13" s="314"/>
      <c r="C13" s="434"/>
      <c r="D13" s="434"/>
      <c r="E13" s="109"/>
      <c r="G13" s="629" t="s">
        <v>812</v>
      </c>
      <c r="H13" s="630"/>
      <c r="I13" s="630"/>
      <c r="J13" s="631">
        <f>IF(J10&gt;0,J12-E28,0)</f>
        <v>0</v>
      </c>
    </row>
    <row r="14" spans="2:10" ht="15.75">
      <c r="B14" s="306" t="s">
        <v>69</v>
      </c>
      <c r="C14" s="434"/>
      <c r="D14" s="434"/>
      <c r="E14" s="109"/>
      <c r="G14" s="1"/>
      <c r="H14" s="1"/>
      <c r="I14" s="1"/>
      <c r="J14" s="1"/>
    </row>
    <row r="15" spans="2:10" ht="15.75">
      <c r="B15" s="306" t="s">
        <v>1066</v>
      </c>
      <c r="C15" s="435">
        <f>IF(C16*0.1&lt;C14,"Exceed 10% Rule","")</f>
      </c>
      <c r="D15" s="435">
        <f>IF(D16*0.1&lt;D14,"Exceed 10% Rule","")</f>
      </c>
      <c r="E15" s="333">
        <f>IF(E16*0.1+E31&lt;E14,"Exceed 10% Rule","")</f>
      </c>
      <c r="G15" s="770" t="str">
        <f>CONCATENATE("Projected Carryover Into ",E1+1,"")</f>
        <v>Projected Carryover Into 2014</v>
      </c>
      <c r="H15" s="777"/>
      <c r="I15" s="777"/>
      <c r="J15" s="778"/>
    </row>
    <row r="16" spans="2:10" ht="15.75">
      <c r="B16" s="308" t="s">
        <v>154</v>
      </c>
      <c r="C16" s="436">
        <f>SUM(C8:C14)</f>
        <v>43645</v>
      </c>
      <c r="D16" s="436">
        <f>SUM(D8:D14)</f>
        <v>46495</v>
      </c>
      <c r="E16" s="338">
        <f>SUM(E8:E14)</f>
        <v>4647</v>
      </c>
      <c r="G16" s="618"/>
      <c r="H16" s="620"/>
      <c r="I16" s="620"/>
      <c r="J16" s="643"/>
    </row>
    <row r="17" spans="2:10" ht="15.75">
      <c r="B17" s="308" t="s">
        <v>155</v>
      </c>
      <c r="C17" s="436">
        <f>C6+C16</f>
        <v>43645</v>
      </c>
      <c r="D17" s="436">
        <f>D6+D16</f>
        <v>46495</v>
      </c>
      <c r="E17" s="338">
        <f>E6+E16</f>
        <v>4647</v>
      </c>
      <c r="G17" s="644">
        <f>D25</f>
        <v>0</v>
      </c>
      <c r="H17" s="634" t="str">
        <f>CONCATENATE("",E1-1," Ending Cash Balance (est.)")</f>
        <v>2012 Ending Cash Balance (est.)</v>
      </c>
      <c r="I17" s="645"/>
      <c r="J17" s="643"/>
    </row>
    <row r="18" spans="2:10" ht="15.75">
      <c r="B18" s="145" t="s">
        <v>157</v>
      </c>
      <c r="C18" s="306"/>
      <c r="D18" s="306"/>
      <c r="E18" s="105"/>
      <c r="G18" s="644">
        <f>E16</f>
        <v>4647</v>
      </c>
      <c r="H18" s="620" t="str">
        <f>CONCATENATE("",E1," Non-AV Receipts (est.)")</f>
        <v>2013 Non-AV Receipts (est.)</v>
      </c>
      <c r="I18" s="645"/>
      <c r="J18" s="643"/>
    </row>
    <row r="19" spans="2:10" ht="15.75">
      <c r="B19" s="314" t="s">
        <v>998</v>
      </c>
      <c r="C19" s="434">
        <v>43645</v>
      </c>
      <c r="D19" s="434">
        <v>46495</v>
      </c>
      <c r="E19" s="109">
        <v>46300</v>
      </c>
      <c r="G19" s="646">
        <f>IF(E30&gt;0,E29,E31)</f>
        <v>41885</v>
      </c>
      <c r="H19" s="620" t="str">
        <f>CONCATENATE("",E1," Ad Valorem Tax (est.)")</f>
        <v>2013 Ad Valorem Tax (est.)</v>
      </c>
      <c r="I19" s="645"/>
      <c r="J19" s="643"/>
    </row>
    <row r="20" spans="2:10" ht="15.75">
      <c r="B20" s="314"/>
      <c r="C20" s="434"/>
      <c r="D20" s="434"/>
      <c r="E20" s="109"/>
      <c r="G20" s="644">
        <f>SUM(G17:G19)</f>
        <v>46532</v>
      </c>
      <c r="H20" s="620" t="str">
        <f>CONCATENATE("Total ",E1," Resources Available")</f>
        <v>Total 2013 Resources Available</v>
      </c>
      <c r="I20" s="645"/>
      <c r="J20" s="643"/>
    </row>
    <row r="21" spans="2:10" ht="15.75">
      <c r="B21" s="306" t="s">
        <v>70</v>
      </c>
      <c r="C21" s="434"/>
      <c r="D21" s="434"/>
      <c r="E21" s="117">
        <f>Nhood!E14</f>
        <v>232</v>
      </c>
      <c r="G21" s="647"/>
      <c r="H21" s="620"/>
      <c r="I21" s="620"/>
      <c r="J21" s="643"/>
    </row>
    <row r="22" spans="2:10" ht="15.75">
      <c r="B22" s="306" t="s">
        <v>69</v>
      </c>
      <c r="C22" s="434"/>
      <c r="D22" s="434"/>
      <c r="E22" s="109"/>
      <c r="G22" s="646">
        <f>ROUND(C24*0.05+C24,0)</f>
        <v>45827</v>
      </c>
      <c r="H22" s="620" t="str">
        <f>CONCATENATE("Less ",E1-2," Expenditures + 5%")</f>
        <v>Less 2011 Expenditures + 5%</v>
      </c>
      <c r="I22" s="645"/>
      <c r="J22" s="648"/>
    </row>
    <row r="23" spans="2:10" ht="15.75">
      <c r="B23" s="306" t="s">
        <v>1067</v>
      </c>
      <c r="C23" s="435">
        <f>IF(C24*0.1&lt;C22,"Exceed 10% Rule","")</f>
      </c>
      <c r="D23" s="435">
        <f>IF(D24*0.1&lt;D22,"Exceed 10% Rule","")</f>
      </c>
      <c r="E23" s="333">
        <f>IF(E24*0.1&lt;E22,"Exceed 10% Rule","")</f>
      </c>
      <c r="G23" s="649">
        <f>G20-G22</f>
        <v>705</v>
      </c>
      <c r="H23" s="650" t="str">
        <f>CONCATENATE("Projected ",E1+1," carryover (est.)")</f>
        <v>Projected 2014 carryover (est.)</v>
      </c>
      <c r="I23" s="651"/>
      <c r="J23" s="652"/>
    </row>
    <row r="24" spans="2:10" ht="15.75">
      <c r="B24" s="308" t="s">
        <v>158</v>
      </c>
      <c r="C24" s="436">
        <f>SUM(C19:C22)</f>
        <v>43645</v>
      </c>
      <c r="D24" s="436">
        <f>SUM(D19:D22)</f>
        <v>46495</v>
      </c>
      <c r="E24" s="338">
        <f>SUM(E19:E22)</f>
        <v>46532</v>
      </c>
      <c r="G24" s="1"/>
      <c r="H24" s="1"/>
      <c r="I24" s="1"/>
      <c r="J24" s="1"/>
    </row>
    <row r="25" spans="2:10" ht="15.75">
      <c r="B25" s="145" t="s">
        <v>263</v>
      </c>
      <c r="C25" s="439">
        <f>C17-C24</f>
        <v>0</v>
      </c>
      <c r="D25" s="439">
        <f>D17-D24</f>
        <v>0</v>
      </c>
      <c r="E25" s="332" t="s">
        <v>140</v>
      </c>
      <c r="G25" s="773" t="s">
        <v>813</v>
      </c>
      <c r="H25" s="774"/>
      <c r="I25" s="774"/>
      <c r="J25" s="775"/>
    </row>
    <row r="26" spans="2:10" ht="15.75">
      <c r="B26" s="284" t="str">
        <f>CONCATENATE("",E$1-2,"/",E$1-1," Budget Authority Amount:")</f>
        <v>2011/2012 Budget Authority Amount:</v>
      </c>
      <c r="C26" s="276">
        <f>inputOth!B39</f>
        <v>44100</v>
      </c>
      <c r="D26" s="276">
        <f>inputPrYr!D25</f>
        <v>46340</v>
      </c>
      <c r="E26" s="332" t="s">
        <v>140</v>
      </c>
      <c r="G26" s="633"/>
      <c r="H26" s="634"/>
      <c r="I26" s="712"/>
      <c r="J26" s="636"/>
    </row>
    <row r="27" spans="2:10" ht="15.75">
      <c r="B27" s="284"/>
      <c r="C27" s="761" t="s">
        <v>657</v>
      </c>
      <c r="D27" s="762"/>
      <c r="E27" s="109"/>
      <c r="G27" s="637" t="str">
        <f>'[1]summ'!H29</f>
        <v>  </v>
      </c>
      <c r="H27" s="634" t="str">
        <f>CONCATENATE("",E1," Fund Mill Rate")</f>
        <v>2013 Fund Mill Rate</v>
      </c>
      <c r="I27" s="712"/>
      <c r="J27" s="636"/>
    </row>
    <row r="28" spans="2:10" ht="15.75">
      <c r="B28" s="476" t="s">
        <v>1050</v>
      </c>
      <c r="C28" s="763" t="s">
        <v>658</v>
      </c>
      <c r="D28" s="764"/>
      <c r="E28" s="262">
        <f>E24+E27</f>
        <v>46532</v>
      </c>
      <c r="G28" s="638" t="str">
        <f>'[1]summ'!E29</f>
        <v>  </v>
      </c>
      <c r="H28" s="634" t="str">
        <f>CONCATENATE("",E1-1," Fund Mill Rate")</f>
        <v>2012 Fund Mill Rate</v>
      </c>
      <c r="I28" s="712"/>
      <c r="J28" s="636"/>
    </row>
    <row r="29" spans="2:10" ht="15.75">
      <c r="B29" s="476" t="str">
        <f>CONCATENATE(C72,"     ",D72)</f>
        <v>     </v>
      </c>
      <c r="C29" s="317"/>
      <c r="D29" s="236" t="s">
        <v>159</v>
      </c>
      <c r="E29" s="117">
        <f>IF(E28-E17&gt;0,E28-E17,0)</f>
        <v>41885</v>
      </c>
      <c r="G29" s="639">
        <f>'[1]summ'!H61</f>
        <v>0</v>
      </c>
      <c r="H29" s="634" t="str">
        <f>CONCATENATE("Total ",E1," Mill Rate")</f>
        <v>Total 2013 Mill Rate</v>
      </c>
      <c r="I29" s="712"/>
      <c r="J29" s="636"/>
    </row>
    <row r="30" spans="2:10" ht="15.75">
      <c r="B30" s="236"/>
      <c r="C30" s="474" t="s">
        <v>659</v>
      </c>
      <c r="D30" s="617">
        <f>inputOth!$E$23</f>
        <v>0.01</v>
      </c>
      <c r="E30" s="262">
        <f>ROUND(IF(D30&gt;0,($E$29*D30),0),0)</f>
        <v>419</v>
      </c>
      <c r="G30" s="638">
        <f>'[1]summ'!E61</f>
        <v>0</v>
      </c>
      <c r="H30" s="640" t="str">
        <f>CONCATENATE("Total ",E1-1," Mill Rate")</f>
        <v>Total 2012 Mill Rate</v>
      </c>
      <c r="I30" s="641"/>
      <c r="J30" s="642"/>
    </row>
    <row r="31" spans="2:10" ht="15.75">
      <c r="B31" s="82"/>
      <c r="C31" s="768" t="str">
        <f>CONCATENATE("Amount of  ",$E$1-1," Ad Valorem Tax")</f>
        <v>Amount of  2012 Ad Valorem Tax</v>
      </c>
      <c r="D31" s="769"/>
      <c r="E31" s="334">
        <f>E29+E30</f>
        <v>42304</v>
      </c>
      <c r="G31" s="1"/>
      <c r="H31" s="1"/>
      <c r="I31" s="1"/>
      <c r="J31" s="1"/>
    </row>
    <row r="32" spans="2:10" ht="10.5" customHeight="1">
      <c r="B32" s="82"/>
      <c r="C32" s="323"/>
      <c r="D32" s="323"/>
      <c r="E32" s="323"/>
      <c r="G32" s="1"/>
      <c r="H32" s="1"/>
      <c r="I32" s="1"/>
      <c r="J32" s="1"/>
    </row>
    <row r="33" spans="2:10" ht="15.75">
      <c r="B33" s="81" t="s">
        <v>153</v>
      </c>
      <c r="C33" s="666" t="str">
        <f aca="true" t="shared" si="0" ref="C33:E34">C4</f>
        <v>Prior Year </v>
      </c>
      <c r="D33" s="667" t="str">
        <f t="shared" si="0"/>
        <v>Current Year </v>
      </c>
      <c r="E33" s="211" t="str">
        <f t="shared" si="0"/>
        <v>Proposed Budget </v>
      </c>
      <c r="G33" s="1"/>
      <c r="H33" s="1"/>
      <c r="I33" s="1"/>
      <c r="J33" s="1"/>
    </row>
    <row r="34" spans="2:10" ht="15.75">
      <c r="B34" s="453" t="str">
        <f>inputPrYr!B26</f>
        <v>Pool Lease-Purchase</v>
      </c>
      <c r="C34" s="437" t="str">
        <f t="shared" si="0"/>
        <v>Actual for 2011</v>
      </c>
      <c r="D34" s="437" t="str">
        <f t="shared" si="0"/>
        <v>Estimate for 2012</v>
      </c>
      <c r="E34" s="299" t="str">
        <f t="shared" si="0"/>
        <v>Year for 2013</v>
      </c>
      <c r="G34" s="1"/>
      <c r="H34" s="1"/>
      <c r="I34" s="1"/>
      <c r="J34" s="1"/>
    </row>
    <row r="35" spans="2:11" ht="15.75">
      <c r="B35" s="145" t="s">
        <v>262</v>
      </c>
      <c r="C35" s="434">
        <v>0</v>
      </c>
      <c r="D35" s="438">
        <f>C54</f>
        <v>0</v>
      </c>
      <c r="E35" s="262">
        <f>D54</f>
        <v>0</v>
      </c>
      <c r="F35" s="316"/>
      <c r="G35" s="1"/>
      <c r="H35" s="1"/>
      <c r="I35" s="1"/>
      <c r="J35" s="1"/>
      <c r="K35" s="632" t="str">
        <f>IF(G19=E31,"","Note: Does not include Delinquent Taxes")</f>
        <v>Note: Does not include Delinquent Taxes</v>
      </c>
    </row>
    <row r="36" spans="2:10" ht="15.75">
      <c r="B36" s="300" t="s">
        <v>264</v>
      </c>
      <c r="C36" s="302"/>
      <c r="D36" s="302"/>
      <c r="E36" s="124"/>
      <c r="F36" s="472">
        <f>IF(E24/0.95-E24&lt;E27,"Exceeds 5%","")</f>
      </c>
      <c r="G36" s="1"/>
      <c r="H36" s="1"/>
      <c r="I36" s="1"/>
      <c r="J36" s="1"/>
    </row>
    <row r="37" spans="2:10" ht="15.75">
      <c r="B37" s="145" t="s">
        <v>1061</v>
      </c>
      <c r="C37" s="434"/>
      <c r="D37" s="438">
        <f>IF('[1]inputPrYr'!H30&gt;0,'[1]inputPrYr'!H30,'[1]inputPrYr'!E30)</f>
        <v>0</v>
      </c>
      <c r="E37" s="332" t="s">
        <v>140</v>
      </c>
      <c r="G37" s="770" t="str">
        <f>CONCATENATE("Desired Carryover Into ",E1+1,"")</f>
        <v>Desired Carryover Into 2014</v>
      </c>
      <c r="H37" s="771"/>
      <c r="I37" s="771"/>
      <c r="J37" s="772"/>
    </row>
    <row r="38" spans="2:10" ht="15.75">
      <c r="B38" s="145" t="s">
        <v>1062</v>
      </c>
      <c r="C38" s="434"/>
      <c r="D38" s="434"/>
      <c r="E38" s="109"/>
      <c r="G38" s="618"/>
      <c r="H38" s="619"/>
      <c r="I38" s="620"/>
      <c r="J38" s="621"/>
    </row>
    <row r="39" spans="2:10" ht="15.75">
      <c r="B39" s="145" t="s">
        <v>1063</v>
      </c>
      <c r="C39" s="434"/>
      <c r="D39" s="434"/>
      <c r="E39" s="262" t="str">
        <f>'[1]mvalloc'!E21</f>
        <v>  </v>
      </c>
      <c r="G39" s="622" t="s">
        <v>660</v>
      </c>
      <c r="H39" s="620"/>
      <c r="I39" s="620"/>
      <c r="J39" s="623">
        <v>0</v>
      </c>
    </row>
    <row r="40" spans="2:10" ht="15.75">
      <c r="B40" s="145" t="s">
        <v>1064</v>
      </c>
      <c r="C40" s="434"/>
      <c r="D40" s="434"/>
      <c r="E40" s="262" t="str">
        <f>'[1]mvalloc'!F21</f>
        <v>  </v>
      </c>
      <c r="G40" s="618" t="s">
        <v>661</v>
      </c>
      <c r="H40" s="619"/>
      <c r="I40" s="619"/>
      <c r="J40" s="624">
        <f>IF(J39=0,"",ROUND((J39+E60-G52)/'[1]inputOth'!E6*1000,3)-G57)</f>
      </c>
    </row>
    <row r="41" spans="2:10" ht="15.75">
      <c r="B41" s="302" t="s">
        <v>1065</v>
      </c>
      <c r="C41" s="434"/>
      <c r="D41" s="434"/>
      <c r="E41" s="262" t="str">
        <f>'[1]mvalloc'!G21</f>
        <v>  </v>
      </c>
      <c r="G41" s="625" t="str">
        <f>CONCATENATE("",E1," Tot Exp/Non-Appr Must Be:")</f>
        <v>2013 Tot Exp/Non-Appr Must Be:</v>
      </c>
      <c r="H41" s="626"/>
      <c r="I41" s="627"/>
      <c r="J41" s="628">
        <f>IF(J39&gt;0,IF(E57&lt;E46,IF(J39=G52,E57,((J39-G52)*(1-D59))+E46),E57+(J39-G52)),0)</f>
        <v>0</v>
      </c>
    </row>
    <row r="42" spans="2:10" ht="15.75">
      <c r="B42" s="314"/>
      <c r="C42" s="434"/>
      <c r="D42" s="434"/>
      <c r="E42" s="109"/>
      <c r="G42" s="629" t="s">
        <v>812</v>
      </c>
      <c r="H42" s="630"/>
      <c r="I42" s="630"/>
      <c r="J42" s="631">
        <f>IF(J39&gt;0,J41-E57,0)</f>
        <v>0</v>
      </c>
    </row>
    <row r="43" spans="2:10" ht="15.75">
      <c r="B43" s="306" t="s">
        <v>69</v>
      </c>
      <c r="C43" s="434"/>
      <c r="D43" s="434"/>
      <c r="E43" s="109"/>
      <c r="G43" s="1"/>
      <c r="H43" s="1"/>
      <c r="I43" s="1"/>
      <c r="J43" s="1"/>
    </row>
    <row r="44" spans="2:10" ht="15.75">
      <c r="B44" s="306" t="s">
        <v>1066</v>
      </c>
      <c r="C44" s="435">
        <f>IF(C45*0.1&lt;C43,"Exceed 10% Rule","")</f>
      </c>
      <c r="D44" s="435">
        <f>IF(D45*0.1&lt;D43,"Exceed 10% Rule","")</f>
      </c>
      <c r="E44" s="333">
        <f>IF(E45*0.1+E60&lt;E43,"Exceed 10% Rule","")</f>
      </c>
      <c r="G44" s="770" t="str">
        <f>CONCATENATE("Projected Carryover Into ",E1+1,"")</f>
        <v>Projected Carryover Into 2014</v>
      </c>
      <c r="H44" s="779"/>
      <c r="I44" s="779"/>
      <c r="J44" s="778"/>
    </row>
    <row r="45" spans="2:10" ht="15.75">
      <c r="B45" s="308" t="s">
        <v>154</v>
      </c>
      <c r="C45" s="436">
        <f>SUM(C37:C43)</f>
        <v>0</v>
      </c>
      <c r="D45" s="436">
        <f>SUM(D37:D43)</f>
        <v>0</v>
      </c>
      <c r="E45" s="338">
        <f>SUM(E37:E43)</f>
        <v>0</v>
      </c>
      <c r="G45" s="653"/>
      <c r="H45" s="619"/>
      <c r="I45" s="619"/>
      <c r="J45" s="648"/>
    </row>
    <row r="46" spans="2:10" ht="15.75">
      <c r="B46" s="308" t="s">
        <v>155</v>
      </c>
      <c r="C46" s="436">
        <f>C35+C45</f>
        <v>0</v>
      </c>
      <c r="D46" s="436">
        <f>D35+D45</f>
        <v>0</v>
      </c>
      <c r="E46" s="338">
        <f>E35+E45</f>
        <v>0</v>
      </c>
      <c r="G46" s="644">
        <f>D54</f>
        <v>0</v>
      </c>
      <c r="H46" s="634" t="str">
        <f>CONCATENATE("",E1-1," Ending Cash Balance (est.)")</f>
        <v>2012 Ending Cash Balance (est.)</v>
      </c>
      <c r="I46" s="645"/>
      <c r="J46" s="648"/>
    </row>
    <row r="47" spans="2:10" ht="15.75">
      <c r="B47" s="145" t="s">
        <v>157</v>
      </c>
      <c r="C47" s="306"/>
      <c r="D47" s="306"/>
      <c r="E47" s="105"/>
      <c r="G47" s="644">
        <f>E45</f>
        <v>0</v>
      </c>
      <c r="H47" s="620" t="str">
        <f>CONCATENATE("",E1," Non-AV Receipts (est.)")</f>
        <v>2013 Non-AV Receipts (est.)</v>
      </c>
      <c r="I47" s="645"/>
      <c r="J47" s="648"/>
    </row>
    <row r="48" spans="2:10" ht="15.75">
      <c r="B48" s="314" t="s">
        <v>1069</v>
      </c>
      <c r="C48" s="434"/>
      <c r="D48" s="434"/>
      <c r="E48" s="109">
        <v>138000</v>
      </c>
      <c r="G48" s="646">
        <f>IF(E59&gt;0,E58,E60)</f>
        <v>138000</v>
      </c>
      <c r="H48" s="620" t="str">
        <f>CONCATENATE("",E1," Ad Valorem Tax (est.)")</f>
        <v>2013 Ad Valorem Tax (est.)</v>
      </c>
      <c r="I48" s="645"/>
      <c r="J48" s="648"/>
    </row>
    <row r="49" spans="2:10" ht="15.75">
      <c r="B49" s="314"/>
      <c r="C49" s="434"/>
      <c r="D49" s="434"/>
      <c r="E49" s="109"/>
      <c r="G49" s="654">
        <f>SUM(G46:G48)</f>
        <v>138000</v>
      </c>
      <c r="H49" s="620" t="str">
        <f>CONCATENATE("Total ",E1," Resources Available")</f>
        <v>Total 2013 Resources Available</v>
      </c>
      <c r="I49" s="655"/>
      <c r="J49" s="648"/>
    </row>
    <row r="50" spans="2:10" ht="15.75">
      <c r="B50" s="306" t="s">
        <v>70</v>
      </c>
      <c r="C50" s="434"/>
      <c r="D50" s="434"/>
      <c r="E50" s="117">
        <f>'[1]Nhood'!E20</f>
      </c>
      <c r="G50" s="656"/>
      <c r="H50" s="657"/>
      <c r="I50" s="619"/>
      <c r="J50" s="648"/>
    </row>
    <row r="51" spans="2:10" ht="15.75">
      <c r="B51" s="306" t="s">
        <v>69</v>
      </c>
      <c r="C51" s="434"/>
      <c r="D51" s="434"/>
      <c r="E51" s="109"/>
      <c r="G51" s="658">
        <f>ROUND(C53*0.05+C53,0)</f>
        <v>0</v>
      </c>
      <c r="H51" s="620" t="str">
        <f>CONCATENATE("Less ",E1-2," Expenditures + 5%")</f>
        <v>Less 2011 Expenditures + 5%</v>
      </c>
      <c r="I51" s="655"/>
      <c r="J51" s="648"/>
    </row>
    <row r="52" spans="2:10" ht="15.75">
      <c r="B52" s="306" t="s">
        <v>1067</v>
      </c>
      <c r="C52" s="435">
        <f>IF(C53*0.1&lt;C51,"Exceed 10% Rule","")</f>
      </c>
      <c r="D52" s="435">
        <f>IF(D53*0.1&lt;D51,"Exceed 10% Rule","")</f>
      </c>
      <c r="E52" s="333">
        <f>IF(E53*0.1&lt;E51,"Exceed 10% Rule","")</f>
      </c>
      <c r="G52" s="659">
        <f>G49-G51</f>
        <v>138000</v>
      </c>
      <c r="H52" s="650" t="str">
        <f>CONCATENATE("Projected ",E1+1," carryover (est.)")</f>
        <v>Projected 2014 carryover (est.)</v>
      </c>
      <c r="I52" s="660"/>
      <c r="J52" s="661"/>
    </row>
    <row r="53" spans="2:10" ht="15.75">
      <c r="B53" s="308" t="s">
        <v>158</v>
      </c>
      <c r="C53" s="436">
        <f>SUM(C48:C51)</f>
        <v>0</v>
      </c>
      <c r="D53" s="436">
        <f>SUM(D48:D51)</f>
        <v>0</v>
      </c>
      <c r="E53" s="338">
        <f>SUM(E48:E51)</f>
        <v>138000</v>
      </c>
      <c r="G53" s="1"/>
      <c r="H53" s="1"/>
      <c r="I53" s="1"/>
      <c r="J53" s="1"/>
    </row>
    <row r="54" spans="2:10" ht="15.75">
      <c r="B54" s="145" t="s">
        <v>263</v>
      </c>
      <c r="C54" s="439">
        <f>C46-C53</f>
        <v>0</v>
      </c>
      <c r="D54" s="439">
        <f>D46-D53</f>
        <v>0</v>
      </c>
      <c r="E54" s="332" t="s">
        <v>140</v>
      </c>
      <c r="G54" s="773" t="s">
        <v>813</v>
      </c>
      <c r="H54" s="774"/>
      <c r="I54" s="774"/>
      <c r="J54" s="775"/>
    </row>
    <row r="55" spans="2:10" ht="15.75">
      <c r="B55" s="284" t="str">
        <f>CONCATENATE("",E$1-2,"/",E$1-1," Budget Authority Amount:")</f>
        <v>2011/2012 Budget Authority Amount:</v>
      </c>
      <c r="C55" s="276">
        <f>inputOth!B40</f>
        <v>0</v>
      </c>
      <c r="D55" s="276">
        <f>inputPrYr!D26</f>
        <v>0</v>
      </c>
      <c r="E55" s="332" t="s">
        <v>140</v>
      </c>
      <c r="G55" s="633"/>
      <c r="H55" s="634"/>
      <c r="I55" s="712"/>
      <c r="J55" s="636"/>
    </row>
    <row r="56" spans="2:10" ht="15.75">
      <c r="B56" s="284"/>
      <c r="C56" s="761" t="s">
        <v>657</v>
      </c>
      <c r="D56" s="762"/>
      <c r="E56" s="109"/>
      <c r="G56" s="637" t="str">
        <f>'[1]summ'!H30</f>
        <v>  </v>
      </c>
      <c r="H56" s="634" t="str">
        <f>CONCATENATE("",E1," Fund Mill Rate")</f>
        <v>2013 Fund Mill Rate</v>
      </c>
      <c r="I56" s="712"/>
      <c r="J56" s="636"/>
    </row>
    <row r="57" spans="2:10" ht="15.75">
      <c r="B57" s="475" t="str">
        <f>CONCATENATE(C73,"     ",D73)</f>
        <v>     </v>
      </c>
      <c r="C57" s="763" t="s">
        <v>658</v>
      </c>
      <c r="D57" s="764"/>
      <c r="E57" s="262">
        <f>E53+E56</f>
        <v>138000</v>
      </c>
      <c r="G57" s="638" t="str">
        <f>'[1]summ'!E30</f>
        <v>  </v>
      </c>
      <c r="H57" s="634" t="str">
        <f>CONCATENATE("",E1-1," Fund Mill Rate")</f>
        <v>2012 Fund Mill Rate</v>
      </c>
      <c r="I57" s="712"/>
      <c r="J57" s="636"/>
    </row>
    <row r="58" spans="2:10" ht="15.75">
      <c r="B58" s="475" t="str">
        <f>CONCATENATE(C74,"     ",D74)</f>
        <v>     </v>
      </c>
      <c r="C58" s="317"/>
      <c r="D58" s="236" t="s">
        <v>159</v>
      </c>
      <c r="E58" s="117">
        <f>IF(E57-E46&gt;0,E57-E46,0)</f>
        <v>138000</v>
      </c>
      <c r="G58" s="639">
        <f>'[1]summ'!H61</f>
        <v>0</v>
      </c>
      <c r="H58" s="634" t="str">
        <f>CONCATENATE("Total ",E1," Mill Rate")</f>
        <v>Total 2013 Mill Rate</v>
      </c>
      <c r="I58" s="712"/>
      <c r="J58" s="636"/>
    </row>
    <row r="59" spans="2:10" ht="15.75">
      <c r="B59" s="236"/>
      <c r="C59" s="474" t="s">
        <v>659</v>
      </c>
      <c r="D59" s="617">
        <f>inputOth!$E$23</f>
        <v>0.01</v>
      </c>
      <c r="E59" s="262">
        <f>ROUND(IF(D59&gt;0,($E$58*D59),0),0)</f>
        <v>1380</v>
      </c>
      <c r="G59" s="638">
        <f>'[1]summ'!E61</f>
        <v>0</v>
      </c>
      <c r="H59" s="640" t="str">
        <f>CONCATENATE("Total ",E1-1," Mill Rate")</f>
        <v>Total 2012 Mill Rate</v>
      </c>
      <c r="I59" s="641"/>
      <c r="J59" s="642"/>
    </row>
    <row r="60" spans="2:5" ht="15.75">
      <c r="B60" s="82"/>
      <c r="C60" s="768" t="str">
        <f>CONCATENATE("Amount of  ",$E$1-1," Ad Valorem Tax")</f>
        <v>Amount of  2012 Ad Valorem Tax</v>
      </c>
      <c r="D60" s="769"/>
      <c r="E60" s="334">
        <f>E58+E59</f>
        <v>139380</v>
      </c>
    </row>
    <row r="61" spans="2:5" ht="15.75">
      <c r="B61" s="284"/>
      <c r="C61" s="692" t="s">
        <v>1052</v>
      </c>
      <c r="D61" s="82"/>
      <c r="E61" s="82"/>
    </row>
    <row r="71" spans="3:4" ht="15.75">
      <c r="C71" s="69">
        <f>IF(C24&gt;C26,"See Tab A","")</f>
      </c>
      <c r="D71" s="69" t="str">
        <f>IF(D24&gt;D26,"See Tab C","")</f>
        <v>See Tab C</v>
      </c>
    </row>
    <row r="72" spans="3:4" ht="15.75">
      <c r="C72" s="69">
        <f>IF(C25&lt;0,"See Tab B","")</f>
      </c>
      <c r="D72" s="69">
        <f>IF(D25&lt;0,"See Tab D","")</f>
      </c>
    </row>
    <row r="73" spans="3:4" ht="15.75">
      <c r="C73" s="69">
        <f>IF(C53&gt;C55,"See Tab A","")</f>
      </c>
      <c r="D73" s="69">
        <f>IF(D53&gt;D55,"See Tab C","")</f>
      </c>
    </row>
    <row r="74" spans="3:4" ht="15.75">
      <c r="C74" s="69">
        <f>IF(C54&lt;0,"See Tab B","")</f>
      </c>
      <c r="D74" s="69">
        <f>IF(D54&lt;0,"See Tab D","")</f>
      </c>
    </row>
    <row r="75" spans="6:11" ht="15.75">
      <c r="F75" s="316"/>
      <c r="K75" s="632" t="str">
        <f>IF(G48=E60,"","Note: Does not include Delinquent Taxes")</f>
        <v>Note: Does not include Delinquent Taxes</v>
      </c>
    </row>
    <row r="76" ht="15.75">
      <c r="F76" s="472">
        <f>IF(E53/0.95-E53&lt;E56,"Exceeds 5%","")</f>
      </c>
    </row>
    <row r="91" ht="15.75" hidden="1"/>
    <row r="92" ht="15.75" hidden="1"/>
    <row r="93" ht="15.75" hidden="1"/>
    <row r="94" ht="15.75" hidden="1"/>
  </sheetData>
  <sheetProtection/>
  <mergeCells count="12">
    <mergeCell ref="G37:J37"/>
    <mergeCell ref="G44:J44"/>
    <mergeCell ref="C56:D56"/>
    <mergeCell ref="C57:D57"/>
    <mergeCell ref="C60:D60"/>
    <mergeCell ref="G54:J54"/>
    <mergeCell ref="G8:J8"/>
    <mergeCell ref="G15:J15"/>
    <mergeCell ref="C27:D27"/>
    <mergeCell ref="C28:D28"/>
    <mergeCell ref="C31:D31"/>
    <mergeCell ref="G25:J25"/>
  </mergeCells>
  <conditionalFormatting sqref="E51">
    <cfRule type="cellIs" priority="20" dxfId="175" operator="greaterThan" stopIfTrue="1">
      <formula>$E$53*0.1</formula>
    </cfRule>
  </conditionalFormatting>
  <conditionalFormatting sqref="E56">
    <cfRule type="cellIs" priority="19" dxfId="175" operator="greaterThan" stopIfTrue="1">
      <formula>$E$53/0.95-$E$53</formula>
    </cfRule>
  </conditionalFormatting>
  <conditionalFormatting sqref="E27">
    <cfRule type="cellIs" priority="18" dxfId="175" operator="greaterThan" stopIfTrue="1">
      <formula>$E$24/0.95-$E$24</formula>
    </cfRule>
  </conditionalFormatting>
  <conditionalFormatting sqref="E22">
    <cfRule type="cellIs" priority="17" dxfId="175" operator="greaterThan" stopIfTrue="1">
      <formula>$E$24*0.1</formula>
    </cfRule>
  </conditionalFormatting>
  <conditionalFormatting sqref="C54 C25">
    <cfRule type="cellIs" priority="16" dxfId="1" operator="lessThan" stopIfTrue="1">
      <formula>0</formula>
    </cfRule>
  </conditionalFormatting>
  <conditionalFormatting sqref="C53">
    <cfRule type="cellIs" priority="15" dxfId="1" operator="greaterThan" stopIfTrue="1">
      <formula>$C$55</formula>
    </cfRule>
  </conditionalFormatting>
  <conditionalFormatting sqref="D53">
    <cfRule type="cellIs" priority="14" dxfId="1" operator="greaterThan" stopIfTrue="1">
      <formula>$D$55</formula>
    </cfRule>
  </conditionalFormatting>
  <conditionalFormatting sqref="C51">
    <cfRule type="cellIs" priority="13" dxfId="1" operator="greaterThan" stopIfTrue="1">
      <formula>$C$53*0.1</formula>
    </cfRule>
  </conditionalFormatting>
  <conditionalFormatting sqref="D51">
    <cfRule type="cellIs" priority="12" dxfId="1" operator="greaterThan" stopIfTrue="1">
      <formula>$D$53*0.1</formula>
    </cfRule>
  </conditionalFormatting>
  <conditionalFormatting sqref="E43">
    <cfRule type="cellIs" priority="11" dxfId="175" operator="greaterThan" stopIfTrue="1">
      <formula>$E$45*0.1+E60</formula>
    </cfRule>
  </conditionalFormatting>
  <conditionalFormatting sqref="C43">
    <cfRule type="cellIs" priority="10" dxfId="1" operator="greaterThan" stopIfTrue="1">
      <formula>$C$45*0.1</formula>
    </cfRule>
  </conditionalFormatting>
  <conditionalFormatting sqref="D43">
    <cfRule type="cellIs" priority="9" dxfId="1" operator="greaterThan" stopIfTrue="1">
      <formula>$D$45*0.1</formula>
    </cfRule>
  </conditionalFormatting>
  <conditionalFormatting sqref="C24">
    <cfRule type="cellIs" priority="8" dxfId="1" operator="greaterThan" stopIfTrue="1">
      <formula>$C$26</formula>
    </cfRule>
  </conditionalFormatting>
  <conditionalFormatting sqref="D24">
    <cfRule type="cellIs" priority="7" dxfId="1" operator="greaterThan" stopIfTrue="1">
      <formula>$D$26</formula>
    </cfRule>
  </conditionalFormatting>
  <conditionalFormatting sqref="C22">
    <cfRule type="cellIs" priority="6" dxfId="1" operator="greaterThan" stopIfTrue="1">
      <formula>$C$24*0.1</formula>
    </cfRule>
  </conditionalFormatting>
  <conditionalFormatting sqref="D22">
    <cfRule type="cellIs" priority="5" dxfId="1" operator="greaterThan" stopIfTrue="1">
      <formula>$D$24*0.1</formula>
    </cfRule>
  </conditionalFormatting>
  <conditionalFormatting sqref="E14">
    <cfRule type="cellIs" priority="4" dxfId="175" operator="greaterThan" stopIfTrue="1">
      <formula>$E$16*0.1+E31</formula>
    </cfRule>
  </conditionalFormatting>
  <conditionalFormatting sqref="C14">
    <cfRule type="cellIs" priority="3" dxfId="1" operator="greaterThan" stopIfTrue="1">
      <formula>$C$16*0.1</formula>
    </cfRule>
  </conditionalFormatting>
  <conditionalFormatting sqref="D14">
    <cfRule type="cellIs" priority="2" dxfId="1" operator="greaterThan" stopIfTrue="1">
      <formula>$D$16*0.1</formula>
    </cfRule>
  </conditionalFormatting>
  <conditionalFormatting sqref="D54 D25">
    <cfRule type="cellIs" priority="1" dxfId="0" operator="lessThan" stopIfTrue="1">
      <formula>0</formula>
    </cfRule>
  </conditionalFormatting>
  <printOptions/>
  <pageMargins left="0.96" right="0.5" top="0.57" bottom="0.34" header="0.26" footer="0"/>
  <pageSetup blackAndWhite="1" horizontalDpi="120" verticalDpi="120" orientation="portrait" scale="77" r:id="rId1"/>
  <headerFooter alignWithMargins="0">
    <oddHeader>&amp;RState of Kansas
County
</oddHeader>
  </headerFooter>
  <rowBreaks count="1" manualBreakCount="1">
    <brk id="61" max="4" man="1"/>
  </rowBreaks>
</worksheet>
</file>

<file path=xl/worksheets/sheet2.xml><?xml version="1.0" encoding="utf-8"?>
<worksheet xmlns="http://schemas.openxmlformats.org/spreadsheetml/2006/main" xmlns:r="http://schemas.openxmlformats.org/officeDocument/2006/relationships">
  <sheetPr>
    <pageSetUpPr fitToPage="1"/>
  </sheetPr>
  <dimension ref="A1:I125"/>
  <sheetViews>
    <sheetView zoomScalePageLayoutView="0" workbookViewId="0" topLeftCell="A13">
      <selection activeCell="D26" sqref="D26"/>
    </sheetView>
  </sheetViews>
  <sheetFormatPr defaultColWidth="8.796875" defaultRowHeight="15"/>
  <cols>
    <col min="1" max="1" width="15.796875" style="69" customWidth="1"/>
    <col min="2" max="2" width="20.796875" style="69" customWidth="1"/>
    <col min="3" max="3" width="8.796875" style="69" customWidth="1"/>
    <col min="4" max="5" width="13.296875" style="69" customWidth="1"/>
    <col min="6" max="6" width="10.796875" style="69" customWidth="1"/>
    <col min="7" max="7" width="1.796875" style="69" customWidth="1"/>
    <col min="8" max="8" width="18.69921875" style="69" customWidth="1"/>
    <col min="9" max="16384" width="8.8984375" style="69" customWidth="1"/>
  </cols>
  <sheetData>
    <row r="1" spans="1:9" ht="15.75">
      <c r="A1" s="720" t="s">
        <v>301</v>
      </c>
      <c r="B1" s="721"/>
      <c r="C1" s="721"/>
      <c r="D1" s="721"/>
      <c r="E1" s="721"/>
      <c r="F1" s="721"/>
      <c r="G1" s="82"/>
      <c r="H1" s="82"/>
      <c r="I1" s="82"/>
    </row>
    <row r="2" spans="1:9" ht="15.75">
      <c r="A2" s="81" t="s">
        <v>302</v>
      </c>
      <c r="B2" s="82"/>
      <c r="C2" s="431" t="s">
        <v>870</v>
      </c>
      <c r="D2" s="83"/>
      <c r="E2" s="84"/>
      <c r="F2" s="85"/>
      <c r="G2" s="82"/>
      <c r="H2" s="82"/>
      <c r="I2" s="82"/>
    </row>
    <row r="3" spans="1:9" ht="15.75">
      <c r="A3" s="81"/>
      <c r="B3" s="82"/>
      <c r="C3" s="82"/>
      <c r="D3" s="82"/>
      <c r="E3" s="86"/>
      <c r="F3" s="85"/>
      <c r="G3" s="82"/>
      <c r="H3" s="82"/>
      <c r="I3" s="82"/>
    </row>
    <row r="4" spans="1:9" ht="15.75">
      <c r="A4" s="81" t="s">
        <v>303</v>
      </c>
      <c r="B4" s="82"/>
      <c r="C4" s="87">
        <v>2013</v>
      </c>
      <c r="D4" s="88"/>
      <c r="E4" s="86"/>
      <c r="F4" s="85"/>
      <c r="G4" s="82"/>
      <c r="H4" s="82"/>
      <c r="I4" s="82"/>
    </row>
    <row r="5" spans="1:9" ht="15.75">
      <c r="A5" s="82"/>
      <c r="B5" s="82"/>
      <c r="C5" s="82"/>
      <c r="D5" s="82"/>
      <c r="E5" s="82"/>
      <c r="F5" s="82"/>
      <c r="G5" s="82"/>
      <c r="H5" s="82"/>
      <c r="I5" s="82"/>
    </row>
    <row r="6" spans="1:9" ht="18.75" customHeight="1">
      <c r="A6" s="89" t="s">
        <v>645</v>
      </c>
      <c r="B6" s="90"/>
      <c r="C6" s="90"/>
      <c r="D6" s="90"/>
      <c r="E6" s="90"/>
      <c r="F6" s="90"/>
      <c r="G6" s="82"/>
      <c r="H6" s="722" t="s">
        <v>807</v>
      </c>
      <c r="I6" s="722"/>
    </row>
    <row r="7" spans="1:9" ht="15.75">
      <c r="A7" s="89" t="s">
        <v>644</v>
      </c>
      <c r="B7" s="90"/>
      <c r="C7" s="90"/>
      <c r="D7" s="90"/>
      <c r="E7" s="90"/>
      <c r="F7" s="90"/>
      <c r="G7" s="82"/>
      <c r="H7" s="722"/>
      <c r="I7" s="722"/>
    </row>
    <row r="8" spans="1:9" ht="15.75">
      <c r="A8" s="89"/>
      <c r="B8" s="90"/>
      <c r="C8" s="90"/>
      <c r="D8" s="90"/>
      <c r="E8" s="90"/>
      <c r="F8" s="90"/>
      <c r="G8" s="82"/>
      <c r="H8" s="722"/>
      <c r="I8" s="722"/>
    </row>
    <row r="9" spans="1:9" ht="15.75">
      <c r="A9" s="718" t="s">
        <v>54</v>
      </c>
      <c r="B9" s="719"/>
      <c r="C9" s="719"/>
      <c r="D9" s="719"/>
      <c r="E9" s="719"/>
      <c r="F9" s="719"/>
      <c r="G9" s="82"/>
      <c r="H9" s="722"/>
      <c r="I9" s="722"/>
    </row>
    <row r="10" spans="1:9" ht="15.75">
      <c r="A10" s="82"/>
      <c r="B10" s="82"/>
      <c r="C10" s="82"/>
      <c r="D10" s="82"/>
      <c r="E10" s="82"/>
      <c r="F10" s="82"/>
      <c r="G10" s="82"/>
      <c r="H10" s="722"/>
      <c r="I10" s="722"/>
    </row>
    <row r="11" spans="1:9" ht="15.75">
      <c r="A11" s="91" t="str">
        <f>CONCATENATE("The input for the following comes directly from the ",C4-1," Budget:")</f>
        <v>The input for the following comes directly from the 2012 Budget:</v>
      </c>
      <c r="B11" s="92"/>
      <c r="C11" s="92"/>
      <c r="D11" s="92"/>
      <c r="E11" s="82"/>
      <c r="F11" s="82"/>
      <c r="G11" s="82"/>
      <c r="H11" s="722"/>
      <c r="I11" s="722"/>
    </row>
    <row r="12" spans="1:9" ht="15.75">
      <c r="A12" s="93" t="s">
        <v>304</v>
      </c>
      <c r="B12" s="92"/>
      <c r="C12" s="92"/>
      <c r="D12" s="92"/>
      <c r="E12" s="82"/>
      <c r="F12" s="82"/>
      <c r="G12" s="82"/>
      <c r="H12" s="85"/>
      <c r="I12" s="611"/>
    </row>
    <row r="13" spans="1:9" ht="15.75">
      <c r="A13" s="93" t="s">
        <v>327</v>
      </c>
      <c r="B13" s="92"/>
      <c r="C13" s="92"/>
      <c r="D13" s="92"/>
      <c r="E13" s="82"/>
      <c r="F13" s="82"/>
      <c r="G13" s="82"/>
      <c r="H13" s="82"/>
      <c r="I13" s="82"/>
    </row>
    <row r="14" spans="1:9" ht="15.75">
      <c r="A14" s="82"/>
      <c r="B14" s="82"/>
      <c r="C14" s="94"/>
      <c r="D14" s="95">
        <f>C4-1</f>
        <v>2012</v>
      </c>
      <c r="E14" s="96" t="str">
        <f>CONCATENATE("",C4-2,"")</f>
        <v>2011</v>
      </c>
      <c r="F14" s="97">
        <f>C4-2</f>
        <v>2011</v>
      </c>
      <c r="H14" s="254" t="s">
        <v>808</v>
      </c>
      <c r="I14" s="249" t="s">
        <v>160</v>
      </c>
    </row>
    <row r="15" spans="1:9" ht="15.75">
      <c r="A15" s="81" t="s">
        <v>305</v>
      </c>
      <c r="B15" s="82"/>
      <c r="C15" s="98" t="s">
        <v>122</v>
      </c>
      <c r="D15" s="99" t="s">
        <v>326</v>
      </c>
      <c r="E15" s="99" t="s">
        <v>91</v>
      </c>
      <c r="F15" s="99" t="s">
        <v>68</v>
      </c>
      <c r="H15" s="260" t="str">
        <f>CONCATENATE("",E14," Ad Valorem Tax")</f>
        <v>2011 Ad Valorem Tax</v>
      </c>
      <c r="I15" s="612">
        <v>0</v>
      </c>
    </row>
    <row r="16" spans="1:8" ht="15.75">
      <c r="A16" s="82"/>
      <c r="B16" s="100" t="s">
        <v>123</v>
      </c>
      <c r="C16" s="250" t="s">
        <v>266</v>
      </c>
      <c r="D16" s="102">
        <v>2650960</v>
      </c>
      <c r="E16" s="103">
        <v>1510151</v>
      </c>
      <c r="F16" s="104">
        <v>34.262</v>
      </c>
      <c r="H16" s="262">
        <f>IF($I$15&gt;0,ROUND(E16-(E16*$I$15),0),0)</f>
        <v>0</v>
      </c>
    </row>
    <row r="17" spans="1:8" ht="15.75">
      <c r="A17" s="82"/>
      <c r="B17" s="100" t="s">
        <v>166</v>
      </c>
      <c r="C17" s="250" t="s">
        <v>306</v>
      </c>
      <c r="D17" s="102"/>
      <c r="E17" s="103"/>
      <c r="F17" s="104"/>
      <c r="H17" s="262">
        <f aca="true" t="shared" si="0" ref="H17:H40">IF($I$15&gt;0,ROUND(E17-(E17*$I$15),0),0)</f>
        <v>0</v>
      </c>
    </row>
    <row r="18" spans="1:8" ht="15.75">
      <c r="A18" s="81"/>
      <c r="B18" s="105" t="s">
        <v>174</v>
      </c>
      <c r="C18" s="249" t="s">
        <v>266</v>
      </c>
      <c r="D18" s="102">
        <v>2063737</v>
      </c>
      <c r="E18" s="102">
        <v>1485972</v>
      </c>
      <c r="F18" s="106">
        <v>33.714</v>
      </c>
      <c r="H18" s="262">
        <f t="shared" si="0"/>
        <v>0</v>
      </c>
    </row>
    <row r="19" spans="1:8" ht="15.75">
      <c r="A19" s="82"/>
      <c r="B19" s="107" t="s">
        <v>871</v>
      </c>
      <c r="C19" s="440" t="s">
        <v>876</v>
      </c>
      <c r="D19" s="102">
        <v>164975</v>
      </c>
      <c r="E19" s="109">
        <v>96681</v>
      </c>
      <c r="F19" s="104">
        <v>2.194</v>
      </c>
      <c r="H19" s="262">
        <f t="shared" si="0"/>
        <v>0</v>
      </c>
    </row>
    <row r="20" spans="1:8" ht="15.75">
      <c r="A20" s="82"/>
      <c r="B20" s="107" t="s">
        <v>145</v>
      </c>
      <c r="C20" s="440" t="s">
        <v>877</v>
      </c>
      <c r="D20" s="102">
        <v>16512</v>
      </c>
      <c r="E20" s="109">
        <v>14708</v>
      </c>
      <c r="F20" s="104">
        <v>0.334</v>
      </c>
      <c r="H20" s="262">
        <f t="shared" si="0"/>
        <v>0</v>
      </c>
    </row>
    <row r="21" spans="1:8" ht="15.75">
      <c r="A21" s="82"/>
      <c r="B21" s="107" t="s">
        <v>872</v>
      </c>
      <c r="C21" s="440" t="s">
        <v>878</v>
      </c>
      <c r="D21" s="102">
        <v>125825</v>
      </c>
      <c r="E21" s="109">
        <v>22028</v>
      </c>
      <c r="F21" s="104">
        <v>0.5</v>
      </c>
      <c r="H21" s="262">
        <f t="shared" si="0"/>
        <v>0</v>
      </c>
    </row>
    <row r="22" spans="1:8" ht="15.75">
      <c r="A22" s="82"/>
      <c r="B22" s="107" t="s">
        <v>873</v>
      </c>
      <c r="C22" s="440" t="s">
        <v>878</v>
      </c>
      <c r="D22" s="102">
        <v>36890</v>
      </c>
      <c r="E22" s="109">
        <v>33043</v>
      </c>
      <c r="F22" s="104">
        <v>0.75</v>
      </c>
      <c r="H22" s="262">
        <f t="shared" si="0"/>
        <v>0</v>
      </c>
    </row>
    <row r="23" spans="1:8" ht="15.75">
      <c r="A23" s="82"/>
      <c r="B23" s="107" t="s">
        <v>874</v>
      </c>
      <c r="C23" s="440" t="s">
        <v>879</v>
      </c>
      <c r="D23" s="102">
        <v>17513</v>
      </c>
      <c r="E23" s="109">
        <v>15560</v>
      </c>
      <c r="F23" s="104">
        <v>0.353</v>
      </c>
      <c r="H23" s="262">
        <f t="shared" si="0"/>
        <v>0</v>
      </c>
    </row>
    <row r="24" spans="1:8" ht="15.75">
      <c r="A24" s="82"/>
      <c r="B24" s="107" t="s">
        <v>875</v>
      </c>
      <c r="C24" s="440" t="s">
        <v>880</v>
      </c>
      <c r="D24" s="102">
        <v>858892</v>
      </c>
      <c r="E24" s="109">
        <v>440584</v>
      </c>
      <c r="F24" s="104">
        <v>9.996</v>
      </c>
      <c r="H24" s="262">
        <f t="shared" si="0"/>
        <v>0</v>
      </c>
    </row>
    <row r="25" spans="1:8" ht="15.75">
      <c r="A25" s="82"/>
      <c r="B25" s="107" t="s">
        <v>173</v>
      </c>
      <c r="C25" s="440" t="s">
        <v>877</v>
      </c>
      <c r="D25" s="102">
        <v>46340</v>
      </c>
      <c r="E25" s="109">
        <v>41635</v>
      </c>
      <c r="F25" s="104">
        <v>0.945</v>
      </c>
      <c r="H25" s="262">
        <f t="shared" si="0"/>
        <v>0</v>
      </c>
    </row>
    <row r="26" spans="1:8" ht="15.75">
      <c r="A26" s="82"/>
      <c r="B26" s="107" t="s">
        <v>1068</v>
      </c>
      <c r="C26" s="440" t="s">
        <v>1070</v>
      </c>
      <c r="D26" s="102"/>
      <c r="E26" s="109"/>
      <c r="F26" s="104"/>
      <c r="H26" s="262">
        <f t="shared" si="0"/>
        <v>0</v>
      </c>
    </row>
    <row r="27" spans="1:8" ht="15.75">
      <c r="A27" s="82"/>
      <c r="B27" s="107"/>
      <c r="C27" s="440"/>
      <c r="D27" s="102"/>
      <c r="E27" s="109"/>
      <c r="F27" s="104"/>
      <c r="H27" s="262">
        <f t="shared" si="0"/>
        <v>0</v>
      </c>
    </row>
    <row r="28" spans="1:8" ht="15.75">
      <c r="A28" s="82"/>
      <c r="B28" s="107"/>
      <c r="C28" s="440"/>
      <c r="D28" s="102"/>
      <c r="E28" s="109"/>
      <c r="F28" s="104"/>
      <c r="H28" s="262">
        <f t="shared" si="0"/>
        <v>0</v>
      </c>
    </row>
    <row r="29" spans="1:8" ht="15.75">
      <c r="A29" s="82"/>
      <c r="B29" s="107"/>
      <c r="C29" s="440"/>
      <c r="D29" s="102"/>
      <c r="E29" s="109"/>
      <c r="F29" s="104"/>
      <c r="H29" s="262">
        <f t="shared" si="0"/>
        <v>0</v>
      </c>
    </row>
    <row r="30" spans="1:8" ht="15.75">
      <c r="A30" s="82"/>
      <c r="B30" s="107"/>
      <c r="C30" s="440"/>
      <c r="D30" s="102"/>
      <c r="E30" s="109"/>
      <c r="F30" s="104"/>
      <c r="H30" s="262">
        <f t="shared" si="0"/>
        <v>0</v>
      </c>
    </row>
    <row r="31" spans="1:8" ht="15.75">
      <c r="A31" s="82"/>
      <c r="B31" s="107"/>
      <c r="C31" s="440"/>
      <c r="D31" s="102"/>
      <c r="E31" s="109"/>
      <c r="F31" s="104"/>
      <c r="H31" s="262">
        <f t="shared" si="0"/>
        <v>0</v>
      </c>
    </row>
    <row r="32" spans="1:8" ht="15.75">
      <c r="A32" s="82"/>
      <c r="B32" s="107"/>
      <c r="C32" s="440"/>
      <c r="D32" s="102"/>
      <c r="E32" s="109"/>
      <c r="F32" s="104"/>
      <c r="H32" s="262">
        <f t="shared" si="0"/>
        <v>0</v>
      </c>
    </row>
    <row r="33" spans="1:8" ht="15.75">
      <c r="A33" s="82"/>
      <c r="B33" s="107"/>
      <c r="C33" s="440"/>
      <c r="D33" s="102"/>
      <c r="E33" s="109"/>
      <c r="F33" s="104"/>
      <c r="H33" s="262">
        <f t="shared" si="0"/>
        <v>0</v>
      </c>
    </row>
    <row r="34" spans="1:8" ht="15.75">
      <c r="A34" s="82"/>
      <c r="B34" s="107"/>
      <c r="C34" s="440"/>
      <c r="D34" s="102"/>
      <c r="E34" s="109"/>
      <c r="F34" s="104"/>
      <c r="H34" s="262">
        <f t="shared" si="0"/>
        <v>0</v>
      </c>
    </row>
    <row r="35" spans="1:8" ht="15.75">
      <c r="A35" s="82"/>
      <c r="B35" s="107"/>
      <c r="C35" s="440"/>
      <c r="D35" s="102"/>
      <c r="E35" s="109"/>
      <c r="F35" s="104"/>
      <c r="H35" s="262">
        <f t="shared" si="0"/>
        <v>0</v>
      </c>
    </row>
    <row r="36" spans="1:8" ht="15.75">
      <c r="A36" s="82"/>
      <c r="B36" s="107"/>
      <c r="C36" s="440"/>
      <c r="D36" s="102"/>
      <c r="E36" s="109"/>
      <c r="F36" s="104"/>
      <c r="H36" s="262">
        <f t="shared" si="0"/>
        <v>0</v>
      </c>
    </row>
    <row r="37" spans="1:8" ht="15.75">
      <c r="A37" s="82"/>
      <c r="B37" s="107"/>
      <c r="C37" s="440"/>
      <c r="D37" s="102"/>
      <c r="E37" s="109"/>
      <c r="F37" s="104"/>
      <c r="H37" s="262">
        <f t="shared" si="0"/>
        <v>0</v>
      </c>
    </row>
    <row r="38" spans="1:8" ht="15.75">
      <c r="A38" s="82"/>
      <c r="B38" s="107"/>
      <c r="C38" s="440"/>
      <c r="D38" s="102"/>
      <c r="E38" s="109"/>
      <c r="F38" s="104"/>
      <c r="H38" s="262">
        <f t="shared" si="0"/>
        <v>0</v>
      </c>
    </row>
    <row r="39" spans="1:8" ht="15.75">
      <c r="A39" s="82"/>
      <c r="B39" s="107"/>
      <c r="C39" s="440"/>
      <c r="D39" s="102"/>
      <c r="E39" s="109"/>
      <c r="F39" s="104"/>
      <c r="H39" s="262">
        <f t="shared" si="0"/>
        <v>0</v>
      </c>
    </row>
    <row r="40" spans="1:8" ht="15.75">
      <c r="A40" s="82"/>
      <c r="B40" s="107"/>
      <c r="C40" s="440"/>
      <c r="D40" s="102"/>
      <c r="E40" s="109"/>
      <c r="F40" s="104"/>
      <c r="H40" s="262">
        <f t="shared" si="0"/>
        <v>0</v>
      </c>
    </row>
    <row r="41" spans="1:6" ht="15.75">
      <c r="A41" s="110" t="str">
        <f>CONCATENATE("Total Tax Levy Funds Levy Amounts and Levy Rates for ",C4-1," Budget")</f>
        <v>Total Tax Levy Funds Levy Amounts and Levy Rates for 2012 Budget</v>
      </c>
      <c r="B41" s="111"/>
      <c r="C41" s="111"/>
      <c r="D41" s="112"/>
      <c r="E41" s="113">
        <f>SUM(E16:E40)</f>
        <v>3660362</v>
      </c>
      <c r="F41" s="114">
        <f>SUM(F16:F40)</f>
        <v>83.04799999999999</v>
      </c>
    </row>
    <row r="42" spans="1:6" ht="15.75">
      <c r="A42" s="81" t="s">
        <v>25</v>
      </c>
      <c r="B42" s="82"/>
      <c r="C42" s="82"/>
      <c r="D42" s="82"/>
      <c r="E42" s="82"/>
      <c r="F42" s="82"/>
    </row>
    <row r="43" spans="1:6" ht="15.75">
      <c r="A43" s="82"/>
      <c r="B43" s="104" t="s">
        <v>881</v>
      </c>
      <c r="C43" s="82"/>
      <c r="D43" s="102">
        <v>66088</v>
      </c>
      <c r="E43" s="82"/>
      <c r="F43" s="82"/>
    </row>
    <row r="44" spans="1:6" ht="15.75">
      <c r="A44" s="82"/>
      <c r="B44" s="104" t="s">
        <v>882</v>
      </c>
      <c r="C44" s="82"/>
      <c r="D44" s="102">
        <v>34024</v>
      </c>
      <c r="E44" s="82"/>
      <c r="F44" s="82"/>
    </row>
    <row r="45" spans="1:6" ht="15.75">
      <c r="A45" s="82"/>
      <c r="B45" s="104" t="s">
        <v>883</v>
      </c>
      <c r="C45" s="82"/>
      <c r="D45" s="102">
        <v>3800</v>
      </c>
      <c r="E45" s="82"/>
      <c r="F45" s="82"/>
    </row>
    <row r="46" spans="1:6" ht="15.75">
      <c r="A46" s="82"/>
      <c r="B46" s="104" t="s">
        <v>884</v>
      </c>
      <c r="C46" s="82"/>
      <c r="D46" s="102">
        <v>136369</v>
      </c>
      <c r="E46" s="82"/>
      <c r="F46" s="82"/>
    </row>
    <row r="47" spans="1:6" ht="15.75">
      <c r="A47" s="82"/>
      <c r="B47" s="104" t="s">
        <v>885</v>
      </c>
      <c r="C47" s="82"/>
      <c r="D47" s="102">
        <v>34605</v>
      </c>
      <c r="E47" s="82"/>
      <c r="F47" s="82"/>
    </row>
    <row r="48" spans="1:6" ht="15.75">
      <c r="A48" s="82"/>
      <c r="B48" s="104" t="s">
        <v>886</v>
      </c>
      <c r="C48" s="82"/>
      <c r="D48" s="102">
        <v>230494</v>
      </c>
      <c r="E48" s="82"/>
      <c r="F48" s="82"/>
    </row>
    <row r="49" spans="1:6" ht="15.75">
      <c r="A49" s="82"/>
      <c r="B49" s="104" t="s">
        <v>887</v>
      </c>
      <c r="C49" s="82"/>
      <c r="D49" s="102">
        <v>72741</v>
      </c>
      <c r="E49" s="82"/>
      <c r="F49" s="82"/>
    </row>
    <row r="50" spans="1:6" ht="15.75">
      <c r="A50" s="82"/>
      <c r="B50" s="104"/>
      <c r="C50" s="82"/>
      <c r="D50" s="102"/>
      <c r="E50" s="82"/>
      <c r="F50" s="82"/>
    </row>
    <row r="51" spans="1:6" ht="15.75">
      <c r="A51" s="82"/>
      <c r="B51" s="104"/>
      <c r="C51" s="82"/>
      <c r="D51" s="102"/>
      <c r="E51" s="82"/>
      <c r="F51" s="82"/>
    </row>
    <row r="52" spans="1:6" ht="15.75">
      <c r="A52" s="82"/>
      <c r="B52" s="104"/>
      <c r="C52" s="82"/>
      <c r="D52" s="102"/>
      <c r="E52" s="82"/>
      <c r="F52" s="82"/>
    </row>
    <row r="53" spans="1:6" ht="15.75">
      <c r="A53" s="82"/>
      <c r="B53" s="104"/>
      <c r="C53" s="82"/>
      <c r="D53" s="102"/>
      <c r="E53" s="82"/>
      <c r="F53" s="82"/>
    </row>
    <row r="54" spans="1:6" ht="15.75">
      <c r="A54" s="82"/>
      <c r="B54" s="104"/>
      <c r="C54" s="82"/>
      <c r="D54" s="102"/>
      <c r="E54" s="82"/>
      <c r="F54" s="82"/>
    </row>
    <row r="55" spans="1:6" ht="15.75">
      <c r="A55" s="82"/>
      <c r="B55" s="104"/>
      <c r="C55" s="82"/>
      <c r="D55" s="102"/>
      <c r="E55" s="82"/>
      <c r="F55" s="82"/>
    </row>
    <row r="56" spans="1:6" ht="15.75">
      <c r="A56" s="82"/>
      <c r="B56" s="104"/>
      <c r="C56" s="82"/>
      <c r="D56" s="102"/>
      <c r="E56" s="82"/>
      <c r="F56" s="82"/>
    </row>
    <row r="57" spans="1:6" ht="15.75">
      <c r="A57" s="82"/>
      <c r="B57" s="104"/>
      <c r="C57" s="82"/>
      <c r="D57" s="102"/>
      <c r="E57" s="82"/>
      <c r="F57" s="82"/>
    </row>
    <row r="58" spans="1:6" ht="15.75">
      <c r="A58" s="82"/>
      <c r="B58" s="104"/>
      <c r="C58" s="82"/>
      <c r="D58" s="102"/>
      <c r="E58" s="82"/>
      <c r="F58" s="82"/>
    </row>
    <row r="59" spans="1:6" ht="15.75">
      <c r="A59" s="110" t="str">
        <f>CONCATENATE("Total Expenditures for ",C4-1," Budgeted Year")</f>
        <v>Total Expenditures for 2012 Budgeted Year</v>
      </c>
      <c r="B59" s="115"/>
      <c r="C59" s="116"/>
      <c r="D59" s="117">
        <f>SUM(D16:D40,D43:D58)</f>
        <v>6559765</v>
      </c>
      <c r="E59" s="82"/>
      <c r="F59" s="82"/>
    </row>
    <row r="60" spans="1:6" ht="15.75">
      <c r="A60" s="118"/>
      <c r="B60" s="119"/>
      <c r="C60" s="82"/>
      <c r="D60" s="120"/>
      <c r="E60" s="82"/>
      <c r="F60" s="82"/>
    </row>
    <row r="61" spans="1:6" ht="15.75">
      <c r="A61" s="82" t="s">
        <v>12</v>
      </c>
      <c r="B61" s="119"/>
      <c r="C61" s="82"/>
      <c r="D61" s="82"/>
      <c r="E61" s="82"/>
      <c r="F61" s="82"/>
    </row>
    <row r="62" spans="1:6" ht="15.75">
      <c r="A62" s="82">
        <v>1</v>
      </c>
      <c r="B62" s="104" t="s">
        <v>888</v>
      </c>
      <c r="C62" s="82"/>
      <c r="D62" s="82"/>
      <c r="E62" s="82"/>
      <c r="F62" s="82"/>
    </row>
    <row r="63" spans="1:6" ht="15.75">
      <c r="A63" s="82">
        <v>2</v>
      </c>
      <c r="B63" s="104" t="s">
        <v>889</v>
      </c>
      <c r="C63" s="82"/>
      <c r="D63" s="82"/>
      <c r="E63" s="82"/>
      <c r="F63" s="82"/>
    </row>
    <row r="64" spans="1:6" ht="15.75">
      <c r="A64" s="82">
        <v>3</v>
      </c>
      <c r="B64" s="104" t="s">
        <v>890</v>
      </c>
      <c r="C64" s="82"/>
      <c r="D64" s="82"/>
      <c r="E64" s="82"/>
      <c r="F64" s="82"/>
    </row>
    <row r="65" spans="1:6" ht="15.75">
      <c r="A65" s="82">
        <v>4</v>
      </c>
      <c r="B65" s="104" t="s">
        <v>891</v>
      </c>
      <c r="C65" s="82"/>
      <c r="D65" s="82"/>
      <c r="E65" s="82"/>
      <c r="F65" s="82"/>
    </row>
    <row r="66" spans="1:6" ht="15.75">
      <c r="A66" s="82">
        <v>5</v>
      </c>
      <c r="B66" s="104" t="s">
        <v>892</v>
      </c>
      <c r="C66" s="82"/>
      <c r="D66" s="82"/>
      <c r="E66" s="82"/>
      <c r="F66" s="82"/>
    </row>
    <row r="67" spans="1:6" ht="15.75">
      <c r="A67" s="82" t="s">
        <v>21</v>
      </c>
      <c r="B67" s="119"/>
      <c r="C67" s="82"/>
      <c r="D67" s="82"/>
      <c r="E67" s="82"/>
      <c r="F67" s="82"/>
    </row>
    <row r="68" spans="1:6" ht="15.75">
      <c r="A68" s="82">
        <v>1</v>
      </c>
      <c r="B68" s="104" t="s">
        <v>893</v>
      </c>
      <c r="C68" s="82"/>
      <c r="D68" s="82"/>
      <c r="E68" s="82"/>
      <c r="F68" s="82"/>
    </row>
    <row r="69" spans="1:6" ht="15.75">
      <c r="A69" s="82">
        <v>2</v>
      </c>
      <c r="B69" s="104" t="s">
        <v>894</v>
      </c>
      <c r="C69" s="82"/>
      <c r="D69" s="82"/>
      <c r="E69" s="82"/>
      <c r="F69" s="82"/>
    </row>
    <row r="70" spans="1:6" ht="15.75">
      <c r="A70" s="82">
        <v>3</v>
      </c>
      <c r="B70" s="104" t="s">
        <v>895</v>
      </c>
      <c r="C70" s="82"/>
      <c r="D70" s="82"/>
      <c r="E70" s="82"/>
      <c r="F70" s="82"/>
    </row>
    <row r="71" spans="1:6" ht="15.75">
      <c r="A71" s="82">
        <v>4</v>
      </c>
      <c r="B71" s="104" t="s">
        <v>896</v>
      </c>
      <c r="C71" s="82"/>
      <c r="D71" s="82"/>
      <c r="E71" s="82"/>
      <c r="F71" s="82"/>
    </row>
    <row r="72" spans="1:6" ht="15.75">
      <c r="A72" s="82">
        <v>5</v>
      </c>
      <c r="B72" s="104" t="s">
        <v>897</v>
      </c>
      <c r="C72" s="82"/>
      <c r="D72" s="82"/>
      <c r="E72" s="82"/>
      <c r="F72" s="82"/>
    </row>
    <row r="73" spans="1:6" ht="15.75">
      <c r="A73" s="82" t="s">
        <v>23</v>
      </c>
      <c r="B73" s="119"/>
      <c r="C73" s="82"/>
      <c r="D73" s="82"/>
      <c r="E73" s="82"/>
      <c r="F73" s="82"/>
    </row>
    <row r="74" spans="1:6" ht="15.75">
      <c r="A74" s="82">
        <v>1</v>
      </c>
      <c r="B74" s="104" t="s">
        <v>898</v>
      </c>
      <c r="C74" s="82"/>
      <c r="D74" s="82"/>
      <c r="E74" s="82"/>
      <c r="F74" s="82"/>
    </row>
    <row r="75" spans="1:6" ht="15.75">
      <c r="A75" s="82">
        <v>2</v>
      </c>
      <c r="B75" s="104" t="s">
        <v>899</v>
      </c>
      <c r="C75" s="82"/>
      <c r="D75" s="82"/>
      <c r="E75" s="82"/>
      <c r="F75" s="82"/>
    </row>
    <row r="76" spans="1:6" ht="15.75">
      <c r="A76" s="82">
        <v>3</v>
      </c>
      <c r="B76" s="104" t="s">
        <v>900</v>
      </c>
      <c r="C76" s="82"/>
      <c r="D76" s="82"/>
      <c r="E76" s="82"/>
      <c r="F76" s="82"/>
    </row>
    <row r="77" spans="1:6" ht="15.75">
      <c r="A77" s="82">
        <v>4</v>
      </c>
      <c r="B77" s="104" t="s">
        <v>901</v>
      </c>
      <c r="C77" s="82"/>
      <c r="D77" s="82"/>
      <c r="E77" s="82"/>
      <c r="F77" s="82"/>
    </row>
    <row r="78" spans="1:6" ht="15.75">
      <c r="A78" s="82">
        <v>5</v>
      </c>
      <c r="B78" s="104" t="s">
        <v>1046</v>
      </c>
      <c r="C78" s="82"/>
      <c r="D78" s="82"/>
      <c r="E78" s="82"/>
      <c r="F78" s="82"/>
    </row>
    <row r="79" spans="1:6" ht="15.75">
      <c r="A79" s="82" t="s">
        <v>24</v>
      </c>
      <c r="B79" s="119"/>
      <c r="C79" s="82"/>
      <c r="D79" s="82"/>
      <c r="E79" s="82"/>
      <c r="F79" s="82"/>
    </row>
    <row r="80" spans="1:6" ht="15.75">
      <c r="A80" s="82">
        <v>1</v>
      </c>
      <c r="B80" s="104"/>
      <c r="C80" s="82"/>
      <c r="D80" s="82"/>
      <c r="E80" s="82"/>
      <c r="F80" s="82"/>
    </row>
    <row r="81" spans="1:6" ht="15.75">
      <c r="A81" s="82">
        <v>2</v>
      </c>
      <c r="B81" s="104"/>
      <c r="C81" s="82"/>
      <c r="D81" s="82"/>
      <c r="E81" s="82"/>
      <c r="F81" s="82"/>
    </row>
    <row r="82" spans="1:6" ht="15.75">
      <c r="A82" s="82">
        <v>3</v>
      </c>
      <c r="B82" s="104"/>
      <c r="C82" s="82"/>
      <c r="D82" s="82"/>
      <c r="E82" s="82"/>
      <c r="F82" s="82"/>
    </row>
    <row r="83" spans="1:6" ht="15.75">
      <c r="A83" s="82">
        <v>4</v>
      </c>
      <c r="B83" s="104"/>
      <c r="C83" s="82"/>
      <c r="D83" s="82"/>
      <c r="E83" s="82"/>
      <c r="F83" s="82"/>
    </row>
    <row r="84" spans="1:6" ht="15.75">
      <c r="A84" s="82">
        <v>5</v>
      </c>
      <c r="B84" s="104"/>
      <c r="C84" s="82"/>
      <c r="D84" s="82"/>
      <c r="E84" s="82"/>
      <c r="F84" s="82"/>
    </row>
    <row r="85" spans="1:6" ht="15.75">
      <c r="A85" s="110" t="str">
        <f>CONCATENATE("County's Final Assessed Valuation for ",C4-1," (November 1,",C4-2," Abstract):")</f>
        <v>County's Final Assessed Valuation for 2012 (November 1,2011 Abstract):</v>
      </c>
      <c r="B85" s="111"/>
      <c r="C85" s="111"/>
      <c r="D85" s="111"/>
      <c r="E85" s="116"/>
      <c r="F85" s="109">
        <v>44076247</v>
      </c>
    </row>
    <row r="86" spans="1:6" ht="15.75">
      <c r="A86" s="81"/>
      <c r="B86" s="82"/>
      <c r="C86" s="82"/>
      <c r="D86" s="82"/>
      <c r="E86" s="82"/>
      <c r="F86" s="82"/>
    </row>
    <row r="87" spans="1:6" ht="15.75">
      <c r="A87" s="82"/>
      <c r="B87" s="82"/>
      <c r="C87" s="82"/>
      <c r="D87" s="82"/>
      <c r="E87" s="82"/>
      <c r="F87" s="82"/>
    </row>
    <row r="88" spans="1:6" ht="15.75">
      <c r="A88" s="121" t="str">
        <f>CONCATENATE("From the ",C4-1," Budget:")</f>
        <v>From the 2012 Budget:</v>
      </c>
      <c r="B88" s="92"/>
      <c r="C88" s="82"/>
      <c r="D88" s="716" t="str">
        <f>CONCATENATE("",C4-3," Tax Rate (",C4-2," Column)")</f>
        <v>2010 Tax Rate (2011 Column)</v>
      </c>
      <c r="E88" s="122"/>
      <c r="F88" s="82"/>
    </row>
    <row r="89" spans="1:6" ht="15.75">
      <c r="A89" s="121" t="s">
        <v>114</v>
      </c>
      <c r="B89" s="123"/>
      <c r="C89" s="82"/>
      <c r="D89" s="717"/>
      <c r="E89" s="122"/>
      <c r="F89" s="82"/>
    </row>
    <row r="90" spans="1:6" ht="15.75">
      <c r="A90" s="82"/>
      <c r="B90" s="124" t="str">
        <f>B16</f>
        <v>General</v>
      </c>
      <c r="C90" s="82"/>
      <c r="D90" s="104">
        <v>47.351</v>
      </c>
      <c r="E90" s="122"/>
      <c r="F90" s="82"/>
    </row>
    <row r="91" spans="1:6" ht="15.75">
      <c r="A91" s="82"/>
      <c r="B91" s="124" t="str">
        <f>B17</f>
        <v>Debt Service</v>
      </c>
      <c r="C91" s="82"/>
      <c r="D91" s="104"/>
      <c r="E91" s="122"/>
      <c r="F91" s="82"/>
    </row>
    <row r="92" spans="1:6" ht="15.75">
      <c r="A92" s="82"/>
      <c r="B92" s="124" t="str">
        <f>B18</f>
        <v>Road &amp; Bridge</v>
      </c>
      <c r="C92" s="82"/>
      <c r="D92" s="104">
        <v>22.134</v>
      </c>
      <c r="E92" s="122"/>
      <c r="F92" s="82"/>
    </row>
    <row r="93" spans="1:6" ht="15.75">
      <c r="A93" s="82"/>
      <c r="B93" s="124" t="str">
        <f aca="true" t="shared" si="1" ref="B93:B114">B19</f>
        <v>Noxious Weed</v>
      </c>
      <c r="C93" s="82"/>
      <c r="D93" s="104">
        <v>1.897</v>
      </c>
      <c r="E93" s="122"/>
      <c r="F93" s="82"/>
    </row>
    <row r="94" spans="1:6" ht="15.75">
      <c r="A94" s="82"/>
      <c r="B94" s="124" t="str">
        <f t="shared" si="1"/>
        <v>Mental Health</v>
      </c>
      <c r="C94" s="82"/>
      <c r="D94" s="104">
        <v>0.389</v>
      </c>
      <c r="E94" s="122"/>
      <c r="F94" s="82"/>
    </row>
    <row r="95" spans="1:6" ht="15.75">
      <c r="A95" s="82"/>
      <c r="B95" s="124" t="str">
        <f t="shared" si="1"/>
        <v>Public Health</v>
      </c>
      <c r="C95" s="82"/>
      <c r="D95" s="104">
        <v>0.569</v>
      </c>
      <c r="E95" s="122"/>
      <c r="F95" s="82"/>
    </row>
    <row r="96" spans="1:6" ht="15.75">
      <c r="A96" s="82"/>
      <c r="B96" s="124" t="str">
        <f t="shared" si="1"/>
        <v>Council on Aging</v>
      </c>
      <c r="C96" s="82"/>
      <c r="D96" s="104">
        <v>0.751</v>
      </c>
      <c r="E96" s="122"/>
      <c r="F96" s="82"/>
    </row>
    <row r="97" spans="1:6" ht="15.75">
      <c r="A97" s="82"/>
      <c r="B97" s="124" t="str">
        <f t="shared" si="1"/>
        <v>Library Service Contract</v>
      </c>
      <c r="C97" s="82"/>
      <c r="D97" s="104">
        <v>0.416</v>
      </c>
      <c r="E97" s="122"/>
      <c r="F97" s="82"/>
    </row>
    <row r="98" spans="1:6" ht="15.75">
      <c r="A98" s="82"/>
      <c r="B98" s="124" t="str">
        <f t="shared" si="1"/>
        <v>Hospital Maintenance</v>
      </c>
      <c r="C98" s="82"/>
      <c r="D98" s="104">
        <v>9.93</v>
      </c>
      <c r="E98" s="122"/>
      <c r="F98" s="82"/>
    </row>
    <row r="99" spans="1:6" ht="15.75">
      <c r="A99" s="82"/>
      <c r="B99" s="124" t="str">
        <f t="shared" si="1"/>
        <v>Mental Retardation</v>
      </c>
      <c r="C99" s="82"/>
      <c r="D99" s="104">
        <v>1.048</v>
      </c>
      <c r="E99" s="122"/>
      <c r="F99" s="82"/>
    </row>
    <row r="100" spans="1:6" ht="15.75">
      <c r="A100" s="82"/>
      <c r="B100" s="124" t="str">
        <f t="shared" si="1"/>
        <v>Pool Lease-Purchase</v>
      </c>
      <c r="C100" s="82"/>
      <c r="D100" s="104"/>
      <c r="E100" s="122"/>
      <c r="F100" s="82"/>
    </row>
    <row r="101" spans="1:6" ht="15.75">
      <c r="A101" s="82"/>
      <c r="B101" s="124">
        <f t="shared" si="1"/>
        <v>0</v>
      </c>
      <c r="C101" s="82"/>
      <c r="D101" s="104"/>
      <c r="E101" s="122"/>
      <c r="F101" s="82"/>
    </row>
    <row r="102" spans="1:6" ht="15.75">
      <c r="A102" s="82"/>
      <c r="B102" s="124">
        <f t="shared" si="1"/>
        <v>0</v>
      </c>
      <c r="C102" s="82"/>
      <c r="D102" s="104"/>
      <c r="E102" s="122"/>
      <c r="F102" s="82"/>
    </row>
    <row r="103" spans="1:6" ht="15.75">
      <c r="A103" s="82"/>
      <c r="B103" s="124">
        <f t="shared" si="1"/>
        <v>0</v>
      </c>
      <c r="C103" s="82"/>
      <c r="D103" s="104"/>
      <c r="E103" s="122"/>
      <c r="F103" s="82"/>
    </row>
    <row r="104" spans="1:6" ht="15.75">
      <c r="A104" s="82"/>
      <c r="B104" s="124">
        <f t="shared" si="1"/>
        <v>0</v>
      </c>
      <c r="C104" s="82"/>
      <c r="D104" s="104"/>
      <c r="E104" s="122"/>
      <c r="F104" s="82"/>
    </row>
    <row r="105" spans="1:6" ht="15.75">
      <c r="A105" s="82"/>
      <c r="B105" s="124">
        <f t="shared" si="1"/>
        <v>0</v>
      </c>
      <c r="C105" s="82"/>
      <c r="D105" s="104"/>
      <c r="E105" s="122"/>
      <c r="F105" s="82"/>
    </row>
    <row r="106" spans="1:6" ht="15.75">
      <c r="A106" s="82"/>
      <c r="B106" s="124">
        <f t="shared" si="1"/>
        <v>0</v>
      </c>
      <c r="C106" s="82"/>
      <c r="D106" s="104"/>
      <c r="E106" s="122"/>
      <c r="F106" s="82"/>
    </row>
    <row r="107" spans="1:6" ht="15.75">
      <c r="A107" s="82"/>
      <c r="B107" s="124">
        <f t="shared" si="1"/>
        <v>0</v>
      </c>
      <c r="C107" s="82"/>
      <c r="D107" s="104"/>
      <c r="E107" s="122"/>
      <c r="F107" s="82"/>
    </row>
    <row r="108" spans="1:6" ht="15.75">
      <c r="A108" s="82"/>
      <c r="B108" s="124">
        <f t="shared" si="1"/>
        <v>0</v>
      </c>
      <c r="C108" s="82"/>
      <c r="D108" s="104"/>
      <c r="E108" s="122"/>
      <c r="F108" s="82"/>
    </row>
    <row r="109" spans="1:6" ht="15.75">
      <c r="A109" s="82"/>
      <c r="B109" s="124">
        <f t="shared" si="1"/>
        <v>0</v>
      </c>
      <c r="C109" s="82"/>
      <c r="D109" s="104"/>
      <c r="E109" s="122"/>
      <c r="F109" s="82"/>
    </row>
    <row r="110" spans="1:6" ht="15.75">
      <c r="A110" s="82"/>
      <c r="B110" s="124">
        <f t="shared" si="1"/>
        <v>0</v>
      </c>
      <c r="C110" s="82"/>
      <c r="D110" s="104"/>
      <c r="E110" s="122"/>
      <c r="F110" s="82"/>
    </row>
    <row r="111" spans="1:6" ht="15.75">
      <c r="A111" s="82"/>
      <c r="B111" s="124">
        <f t="shared" si="1"/>
        <v>0</v>
      </c>
      <c r="C111" s="82"/>
      <c r="D111" s="104"/>
      <c r="E111" s="122"/>
      <c r="F111" s="82"/>
    </row>
    <row r="112" spans="1:6" ht="15.75">
      <c r="A112" s="82"/>
      <c r="B112" s="124">
        <f t="shared" si="1"/>
        <v>0</v>
      </c>
      <c r="C112" s="82"/>
      <c r="D112" s="104"/>
      <c r="E112" s="122"/>
      <c r="F112" s="82"/>
    </row>
    <row r="113" spans="1:6" ht="15.75">
      <c r="A113" s="82"/>
      <c r="B113" s="124">
        <f t="shared" si="1"/>
        <v>0</v>
      </c>
      <c r="C113" s="82"/>
      <c r="D113" s="104"/>
      <c r="E113" s="122"/>
      <c r="F113" s="82"/>
    </row>
    <row r="114" spans="1:6" ht="15.75">
      <c r="A114" s="82"/>
      <c r="B114" s="124">
        <f t="shared" si="1"/>
        <v>0</v>
      </c>
      <c r="C114" s="82"/>
      <c r="D114" s="104"/>
      <c r="E114" s="122"/>
      <c r="F114" s="82"/>
    </row>
    <row r="115" spans="1:6" ht="15.75">
      <c r="A115" s="111" t="s">
        <v>124</v>
      </c>
      <c r="B115" s="111"/>
      <c r="C115" s="116"/>
      <c r="D115" s="114">
        <f>SUM(D90:D114)</f>
        <v>84.48500000000001</v>
      </c>
      <c r="E115" s="122"/>
      <c r="F115" s="82"/>
    </row>
    <row r="116" spans="1:6" ht="15.75">
      <c r="A116" s="82"/>
      <c r="B116" s="82"/>
      <c r="C116" s="82"/>
      <c r="D116" s="82"/>
      <c r="E116" s="82"/>
      <c r="F116" s="82"/>
    </row>
    <row r="117" spans="1:6" ht="15.75">
      <c r="A117" s="125" t="str">
        <f>CONCATENATE("Total Tax Levied (",C4-2," budget column)")</f>
        <v>Total Tax Levied (2011 budget column)</v>
      </c>
      <c r="B117" s="126"/>
      <c r="C117" s="111"/>
      <c r="D117" s="111"/>
      <c r="E117" s="116"/>
      <c r="F117" s="109">
        <v>3149161</v>
      </c>
    </row>
    <row r="118" spans="1:6" ht="15.75">
      <c r="A118" s="127" t="str">
        <f>CONCATENATE("Assessed Valuation  (",C4-2," budget column)")</f>
        <v>Assessed Valuation  (2011 budget column)</v>
      </c>
      <c r="B118" s="128"/>
      <c r="C118" s="129"/>
      <c r="D118" s="129"/>
      <c r="E118" s="112"/>
      <c r="F118" s="109">
        <v>37275050</v>
      </c>
    </row>
    <row r="119" spans="1:6" ht="15.75">
      <c r="A119" s="118"/>
      <c r="B119" s="85"/>
      <c r="C119" s="85"/>
      <c r="D119" s="85"/>
      <c r="E119" s="85"/>
      <c r="F119" s="130"/>
    </row>
    <row r="120" spans="1:6" ht="15.75">
      <c r="A120" s="131" t="str">
        <f>CONCATENATE("From the ",C4-1," Budget, Budget Summary Page:")</f>
        <v>From the 2012 Budget, Budget Summary Page:</v>
      </c>
      <c r="B120" s="132"/>
      <c r="C120" s="122"/>
      <c r="D120" s="122"/>
      <c r="E120" s="122"/>
      <c r="F120" s="122"/>
    </row>
    <row r="121" spans="1:6" ht="15.75">
      <c r="A121" s="133" t="s">
        <v>0</v>
      </c>
      <c r="B121" s="133"/>
      <c r="C121" s="134"/>
      <c r="D121" s="135">
        <f>C4-3</f>
        <v>2010</v>
      </c>
      <c r="E121" s="136">
        <f>C4-2</f>
        <v>2011</v>
      </c>
      <c r="F121" s="122"/>
    </row>
    <row r="122" spans="1:6" ht="15.75">
      <c r="A122" s="137" t="s">
        <v>1</v>
      </c>
      <c r="B122" s="137"/>
      <c r="C122" s="138"/>
      <c r="D122" s="102">
        <v>0</v>
      </c>
      <c r="E122" s="102">
        <v>0</v>
      </c>
      <c r="F122" s="122"/>
    </row>
    <row r="123" spans="1:6" s="140" customFormat="1" ht="15.75">
      <c r="A123" s="139" t="s">
        <v>2</v>
      </c>
      <c r="B123" s="139"/>
      <c r="C123" s="138"/>
      <c r="D123" s="102">
        <v>0</v>
      </c>
      <c r="E123" s="102">
        <v>0</v>
      </c>
      <c r="F123" s="134"/>
    </row>
    <row r="124" spans="1:6" s="140" customFormat="1" ht="15.75">
      <c r="A124" s="139" t="s">
        <v>3</v>
      </c>
      <c r="B124" s="139"/>
      <c r="C124" s="138"/>
      <c r="D124" s="102">
        <v>0</v>
      </c>
      <c r="E124" s="102">
        <v>0</v>
      </c>
      <c r="F124" s="134"/>
    </row>
    <row r="125" spans="1:6" s="140" customFormat="1" ht="15.75">
      <c r="A125" s="139" t="s">
        <v>4</v>
      </c>
      <c r="B125" s="139"/>
      <c r="C125" s="138"/>
      <c r="D125" s="102">
        <v>0</v>
      </c>
      <c r="E125" s="102">
        <v>0</v>
      </c>
      <c r="F125" s="134"/>
    </row>
    <row r="126" s="140" customFormat="1" ht="15.75"/>
  </sheetData>
  <sheetProtection sheet="1"/>
  <mergeCells count="4">
    <mergeCell ref="D88:D89"/>
    <mergeCell ref="A9:F9"/>
    <mergeCell ref="A1:F1"/>
    <mergeCell ref="H6:I11"/>
  </mergeCells>
  <printOptions/>
  <pageMargins left="0.5" right="0.5" top="1" bottom="0.5" header="0.5" footer="0.25"/>
  <pageSetup blackAndWhite="1" fitToHeight="3" fitToWidth="1" horizontalDpi="120" verticalDpi="120" orientation="portrait" scale="96" r:id="rId1"/>
</worksheet>
</file>

<file path=xl/worksheets/sheet20.xml><?xml version="1.0" encoding="utf-8"?>
<worksheet xmlns="http://schemas.openxmlformats.org/spreadsheetml/2006/main" xmlns:r="http://schemas.openxmlformats.org/officeDocument/2006/relationships">
  <sheetPr>
    <pageSetUpPr fitToPage="1"/>
  </sheetPr>
  <dimension ref="B1:E54"/>
  <sheetViews>
    <sheetView zoomScalePageLayoutView="0" workbookViewId="0" topLeftCell="A34">
      <selection activeCell="A29" sqref="A29:H37"/>
    </sheetView>
  </sheetViews>
  <sheetFormatPr defaultColWidth="8.796875" defaultRowHeight="15"/>
  <cols>
    <col min="1" max="1" width="2.3984375" style="69" customWidth="1"/>
    <col min="2" max="2" width="31.09765625" style="69" customWidth="1"/>
    <col min="3" max="4" width="15.796875" style="69" customWidth="1"/>
    <col min="5" max="5" width="16.09765625" style="69" customWidth="1"/>
    <col min="6" max="16384" width="8.8984375" style="69" customWidth="1"/>
  </cols>
  <sheetData>
    <row r="1" spans="2:5" ht="15.75">
      <c r="B1" s="224" t="str">
        <f>(inputPrYr!C2)</f>
        <v>Sheridan County</v>
      </c>
      <c r="C1" s="82"/>
      <c r="D1" s="82"/>
      <c r="E1" s="283">
        <f>inputPrYr!C4</f>
        <v>2013</v>
      </c>
    </row>
    <row r="2" spans="2:5" ht="15.75">
      <c r="B2" s="82"/>
      <c r="C2" s="82"/>
      <c r="D2" s="82"/>
      <c r="E2" s="236"/>
    </row>
    <row r="3" spans="2:5" ht="15.75">
      <c r="B3" s="149" t="s">
        <v>223</v>
      </c>
      <c r="C3" s="329"/>
      <c r="D3" s="329"/>
      <c r="E3" s="330"/>
    </row>
    <row r="4" spans="2:5" ht="15.75">
      <c r="B4" s="82"/>
      <c r="C4" s="323"/>
      <c r="D4" s="323"/>
      <c r="E4" s="323"/>
    </row>
    <row r="5" spans="2:5" ht="15.75">
      <c r="B5" s="81" t="s">
        <v>153</v>
      </c>
      <c r="C5" s="319" t="str">
        <f>general!C4</f>
        <v>Prior Year </v>
      </c>
      <c r="D5" s="211" t="str">
        <f>general!D4</f>
        <v>Current Year </v>
      </c>
      <c r="E5" s="211" t="str">
        <f>general!E4</f>
        <v>Proposed Budget </v>
      </c>
    </row>
    <row r="6" spans="2:5" ht="15.75">
      <c r="B6" s="454" t="str">
        <f>inputPrYr!B43</f>
        <v>Noxious Weed Capital Outlay</v>
      </c>
      <c r="C6" s="312" t="str">
        <f>general!C5</f>
        <v>Actual for 2011</v>
      </c>
      <c r="D6" s="312" t="str">
        <f>general!D5</f>
        <v>Estimate for 2012</v>
      </c>
      <c r="E6" s="299" t="str">
        <f>general!E5</f>
        <v>Year for 2013</v>
      </c>
    </row>
    <row r="7" spans="2:5" ht="15.75">
      <c r="B7" s="145" t="s">
        <v>262</v>
      </c>
      <c r="C7" s="109">
        <v>46088</v>
      </c>
      <c r="D7" s="262">
        <f>C23</f>
        <v>56088</v>
      </c>
      <c r="E7" s="262">
        <f>D23</f>
        <v>65231</v>
      </c>
    </row>
    <row r="8" spans="2:5" ht="15.75">
      <c r="B8" s="331" t="s">
        <v>264</v>
      </c>
      <c r="C8" s="105"/>
      <c r="D8" s="105"/>
      <c r="E8" s="105"/>
    </row>
    <row r="9" spans="2:5" ht="15.75">
      <c r="B9" s="314" t="s">
        <v>1003</v>
      </c>
      <c r="C9" s="109">
        <v>10000</v>
      </c>
      <c r="D9" s="109">
        <v>10000</v>
      </c>
      <c r="E9" s="109">
        <v>10000</v>
      </c>
    </row>
    <row r="10" spans="2:5" ht="15.75">
      <c r="B10" s="314"/>
      <c r="C10" s="109"/>
      <c r="D10" s="109"/>
      <c r="E10" s="109"/>
    </row>
    <row r="11" spans="2:5" ht="15.75">
      <c r="B11" s="306" t="s">
        <v>69</v>
      </c>
      <c r="C11" s="109"/>
      <c r="D11" s="301"/>
      <c r="E11" s="301"/>
    </row>
    <row r="12" spans="2:5" ht="15.75">
      <c r="B12" s="306" t="s">
        <v>655</v>
      </c>
      <c r="C12" s="451">
        <f>IF(C13*0.1&lt;C11,"Exceed 10% Rule","")</f>
      </c>
      <c r="D12" s="307">
        <f>IF(D13*0.1&lt;D11,"Exceed 10% Rule","")</f>
      </c>
      <c r="E12" s="307">
        <f>IF(E13*0.1&lt;E11,"Exceed 10% Rule","")</f>
      </c>
    </row>
    <row r="13" spans="2:5" ht="15.75">
      <c r="B13" s="308" t="s">
        <v>154</v>
      </c>
      <c r="C13" s="338">
        <f>SUM(C9:C11)</f>
        <v>10000</v>
      </c>
      <c r="D13" s="338">
        <f>SUM(D9:D11)</f>
        <v>10000</v>
      </c>
      <c r="E13" s="338">
        <f>SUM(E9:E11)</f>
        <v>10000</v>
      </c>
    </row>
    <row r="14" spans="2:5" ht="15.75">
      <c r="B14" s="308" t="s">
        <v>155</v>
      </c>
      <c r="C14" s="338">
        <f>C13+C7</f>
        <v>56088</v>
      </c>
      <c r="D14" s="338">
        <f>D13+D7</f>
        <v>66088</v>
      </c>
      <c r="E14" s="338">
        <f>E13+E7</f>
        <v>75231</v>
      </c>
    </row>
    <row r="15" spans="2:5" ht="15.75">
      <c r="B15" s="145" t="s">
        <v>157</v>
      </c>
      <c r="C15" s="262"/>
      <c r="D15" s="262"/>
      <c r="E15" s="262"/>
    </row>
    <row r="16" spans="2:5" ht="15.75">
      <c r="B16" s="314" t="s">
        <v>163</v>
      </c>
      <c r="C16" s="109"/>
      <c r="D16" s="109">
        <v>857</v>
      </c>
      <c r="E16" s="109">
        <v>75231</v>
      </c>
    </row>
    <row r="17" spans="2:5" ht="15.75">
      <c r="B17" s="314"/>
      <c r="C17" s="109"/>
      <c r="D17" s="109"/>
      <c r="E17" s="109"/>
    </row>
    <row r="18" spans="2:5" ht="15.75">
      <c r="B18" s="314"/>
      <c r="C18" s="109"/>
      <c r="D18" s="109"/>
      <c r="E18" s="109"/>
    </row>
    <row r="19" spans="2:5" ht="15.75">
      <c r="B19" s="314"/>
      <c r="C19" s="109"/>
      <c r="D19" s="109"/>
      <c r="E19" s="109"/>
    </row>
    <row r="20" spans="2:5" ht="15.75">
      <c r="B20" s="306" t="s">
        <v>69</v>
      </c>
      <c r="C20" s="109"/>
      <c r="D20" s="301"/>
      <c r="E20" s="301"/>
    </row>
    <row r="21" spans="2:5" ht="15.75">
      <c r="B21" s="306" t="s">
        <v>654</v>
      </c>
      <c r="C21" s="451">
        <f>IF(C22*0.1&lt;C20,"Exceed 10% Rule","")</f>
      </c>
      <c r="D21" s="307">
        <f>IF(D22*0.1&lt;D20,"Exceed 10% Rule","")</f>
      </c>
      <c r="E21" s="307">
        <f>IF(E22*0.1&lt;E20,"Exceed 10% Rule","")</f>
      </c>
    </row>
    <row r="22" spans="2:5" ht="15.75">
      <c r="B22" s="308" t="s">
        <v>158</v>
      </c>
      <c r="C22" s="338">
        <f>SUM(C16:C20)</f>
        <v>0</v>
      </c>
      <c r="D22" s="338">
        <f>SUM(D16:D20)</f>
        <v>857</v>
      </c>
      <c r="E22" s="338">
        <f>SUM(E16:E20)</f>
        <v>75231</v>
      </c>
    </row>
    <row r="23" spans="2:5" ht="15.75">
      <c r="B23" s="145" t="s">
        <v>263</v>
      </c>
      <c r="C23" s="117">
        <f>C14-C22</f>
        <v>56088</v>
      </c>
      <c r="D23" s="117">
        <f>D14-D22</f>
        <v>65231</v>
      </c>
      <c r="E23" s="117">
        <f>E14-E22</f>
        <v>0</v>
      </c>
    </row>
    <row r="24" spans="2:5" ht="15.75">
      <c r="B24" s="284" t="str">
        <f>CONCATENATE("",E$1-2,"/",E$1-1," Budget Authority Amount:")</f>
        <v>2011/2012 Budget Authority Amount:</v>
      </c>
      <c r="C24" s="276">
        <f>inputOth!B55</f>
        <v>56088</v>
      </c>
      <c r="D24" s="276">
        <f>inputPrYr!D43</f>
        <v>66088</v>
      </c>
      <c r="E24" s="450">
        <f>IF(E23&lt;0,"See Tab E","")</f>
      </c>
    </row>
    <row r="25" spans="2:5" ht="15.75">
      <c r="B25" s="284"/>
      <c r="C25" s="317">
        <f>IF(C22&gt;C24,"See Tab A","")</f>
      </c>
      <c r="D25" s="317">
        <f>IF(D22&gt;D24,"See Tab C","")</f>
      </c>
      <c r="E25" s="142"/>
    </row>
    <row r="26" spans="2:5" ht="15.75">
      <c r="B26" s="284"/>
      <c r="C26" s="317">
        <f>IF(C23&lt;0,"See Tab B","")</f>
      </c>
      <c r="D26" s="317">
        <f>IF(D23&lt;0,"See Tab D","")</f>
      </c>
      <c r="E26" s="142"/>
    </row>
    <row r="27" spans="2:5" ht="15.75">
      <c r="B27" s="82"/>
      <c r="C27" s="142"/>
      <c r="D27" s="142"/>
      <c r="E27" s="142"/>
    </row>
    <row r="28" spans="2:5" ht="15.75">
      <c r="B28" s="81" t="s">
        <v>153</v>
      </c>
      <c r="C28" s="323"/>
      <c r="D28" s="323"/>
      <c r="E28" s="323"/>
    </row>
    <row r="29" spans="2:5" ht="15.75">
      <c r="B29" s="82"/>
      <c r="C29" s="319" t="str">
        <f aca="true" t="shared" si="0" ref="C29:E30">C5</f>
        <v>Prior Year </v>
      </c>
      <c r="D29" s="211" t="str">
        <f t="shared" si="0"/>
        <v>Current Year </v>
      </c>
      <c r="E29" s="211" t="str">
        <f t="shared" si="0"/>
        <v>Proposed Budget </v>
      </c>
    </row>
    <row r="30" spans="2:5" ht="15.75">
      <c r="B30" s="453" t="str">
        <f>inputPrYr!B44</f>
        <v>911 Emergency Tax</v>
      </c>
      <c r="C30" s="312" t="str">
        <f t="shared" si="0"/>
        <v>Actual for 2011</v>
      </c>
      <c r="D30" s="312" t="str">
        <f t="shared" si="0"/>
        <v>Estimate for 2012</v>
      </c>
      <c r="E30" s="299" t="str">
        <f t="shared" si="0"/>
        <v>Year for 2013</v>
      </c>
    </row>
    <row r="31" spans="2:5" ht="15.75">
      <c r="B31" s="145" t="s">
        <v>262</v>
      </c>
      <c r="C31" s="109">
        <v>17642</v>
      </c>
      <c r="D31" s="262">
        <f>C49</f>
        <v>17779</v>
      </c>
      <c r="E31" s="262">
        <f>D49</f>
        <v>22279</v>
      </c>
    </row>
    <row r="32" spans="2:5" ht="15.75">
      <c r="B32" s="145" t="s">
        <v>264</v>
      </c>
      <c r="C32" s="105"/>
      <c r="D32" s="105"/>
      <c r="E32" s="105"/>
    </row>
    <row r="33" spans="2:5" ht="15.75">
      <c r="B33" s="314" t="s">
        <v>1004</v>
      </c>
      <c r="C33" s="109">
        <v>10288</v>
      </c>
      <c r="D33" s="109">
        <v>14500</v>
      </c>
      <c r="E33" s="109">
        <v>17500</v>
      </c>
    </row>
    <row r="34" spans="2:5" ht="15.75">
      <c r="B34" s="314" t="s">
        <v>999</v>
      </c>
      <c r="C34" s="109"/>
      <c r="D34" s="109"/>
      <c r="E34" s="109"/>
    </row>
    <row r="35" spans="2:5" ht="15.75">
      <c r="B35" s="314"/>
      <c r="C35" s="109"/>
      <c r="D35" s="109"/>
      <c r="E35" s="109"/>
    </row>
    <row r="36" spans="2:5" ht="15.75">
      <c r="B36" s="305"/>
      <c r="C36" s="109"/>
      <c r="D36" s="109"/>
      <c r="E36" s="109"/>
    </row>
    <row r="37" spans="2:5" ht="15.75">
      <c r="B37" s="306" t="s">
        <v>69</v>
      </c>
      <c r="C37" s="109"/>
      <c r="D37" s="301"/>
      <c r="E37" s="301"/>
    </row>
    <row r="38" spans="2:5" ht="15.75">
      <c r="B38" s="306" t="s">
        <v>655</v>
      </c>
      <c r="C38" s="451">
        <f>IF(C39*0.1&lt;C37,"Exceed 10% Rule","")</f>
      </c>
      <c r="D38" s="307">
        <f>IF(D39*0.1&lt;D37,"Exceed 10% Rule","")</f>
      </c>
      <c r="E38" s="307">
        <f>IF(E39*0.1&lt;E37,"Exceed 10% Rule","")</f>
      </c>
    </row>
    <row r="39" spans="2:5" ht="15.75">
      <c r="B39" s="308" t="s">
        <v>154</v>
      </c>
      <c r="C39" s="338">
        <f>SUM(C33:C37)</f>
        <v>10288</v>
      </c>
      <c r="D39" s="338">
        <f>SUM(D33:D37)</f>
        <v>14500</v>
      </c>
      <c r="E39" s="338">
        <f>SUM(E33:E37)</f>
        <v>17500</v>
      </c>
    </row>
    <row r="40" spans="2:5" ht="15.75">
      <c r="B40" s="308" t="s">
        <v>155</v>
      </c>
      <c r="C40" s="338">
        <f>C31+C39</f>
        <v>27930</v>
      </c>
      <c r="D40" s="338">
        <f>D31+D39</f>
        <v>32279</v>
      </c>
      <c r="E40" s="338">
        <f>E31+E39</f>
        <v>39779</v>
      </c>
    </row>
    <row r="41" spans="2:5" ht="15.75">
      <c r="B41" s="145" t="s">
        <v>157</v>
      </c>
      <c r="C41" s="262"/>
      <c r="D41" s="262"/>
      <c r="E41" s="262"/>
    </row>
    <row r="42" spans="2:5" ht="15.75">
      <c r="B42" s="314" t="s">
        <v>1005</v>
      </c>
      <c r="C42" s="109">
        <v>10151</v>
      </c>
      <c r="D42" s="109">
        <v>10000</v>
      </c>
      <c r="E42" s="109">
        <v>39779</v>
      </c>
    </row>
    <row r="43" spans="2:5" ht="15.75">
      <c r="B43" s="314"/>
      <c r="C43" s="109"/>
      <c r="D43" s="109"/>
      <c r="E43" s="109"/>
    </row>
    <row r="44" spans="2:5" ht="15.75">
      <c r="B44" s="314"/>
      <c r="C44" s="109"/>
      <c r="D44" s="109"/>
      <c r="E44" s="109"/>
    </row>
    <row r="45" spans="2:5" ht="15.75">
      <c r="B45" s="314"/>
      <c r="C45" s="109"/>
      <c r="D45" s="109"/>
      <c r="E45" s="109"/>
    </row>
    <row r="46" spans="2:5" ht="15.75">
      <c r="B46" s="306" t="s">
        <v>69</v>
      </c>
      <c r="C46" s="109"/>
      <c r="D46" s="301"/>
      <c r="E46" s="301"/>
    </row>
    <row r="47" spans="2:5" ht="15.75">
      <c r="B47" s="306" t="s">
        <v>654</v>
      </c>
      <c r="C47" s="451">
        <f>IF(C48*0.1&lt;C46,"Exceed 10% Rule","")</f>
      </c>
      <c r="D47" s="307">
        <f>IF(D48*0.1&lt;D46,"Exceed 10% Rule","")</f>
      </c>
      <c r="E47" s="307">
        <f>IF(E48*0.1&lt;E46,"Exceed 10% Rule","")</f>
      </c>
    </row>
    <row r="48" spans="2:5" ht="15.75">
      <c r="B48" s="308" t="s">
        <v>158</v>
      </c>
      <c r="C48" s="338">
        <f>SUM(C42:C46)</f>
        <v>10151</v>
      </c>
      <c r="D48" s="338">
        <f>SUM(D42:D46)</f>
        <v>10000</v>
      </c>
      <c r="E48" s="338">
        <f>SUM(E42:E46)</f>
        <v>39779</v>
      </c>
    </row>
    <row r="49" spans="2:5" ht="15.75">
      <c r="B49" s="145" t="s">
        <v>263</v>
      </c>
      <c r="C49" s="117">
        <f>C40-C48</f>
        <v>17779</v>
      </c>
      <c r="D49" s="117">
        <f>D40-D48</f>
        <v>22279</v>
      </c>
      <c r="E49" s="117">
        <f>E40-E48</f>
        <v>0</v>
      </c>
    </row>
    <row r="50" spans="2:5" ht="15.75">
      <c r="B50" s="284" t="str">
        <f>CONCATENATE("",E$1-2,"/",E$1-1," Budget Authority Amount:")</f>
        <v>2011/2012 Budget Authority Amount:</v>
      </c>
      <c r="C50" s="276">
        <f>inputOth!B56</f>
        <v>40211</v>
      </c>
      <c r="D50" s="276">
        <f>inputPrYr!D44</f>
        <v>34024</v>
      </c>
      <c r="E50" s="449">
        <f>IF(E49&lt;0,"See Tab E","")</f>
      </c>
    </row>
    <row r="51" spans="2:5" ht="15.75">
      <c r="B51" s="284"/>
      <c r="C51" s="317">
        <f>IF(C48&gt;C50,"See Tab A","")</f>
      </c>
      <c r="D51" s="317">
        <f>IF(D48&gt;D50,"See Tab C","")</f>
      </c>
      <c r="E51" s="82"/>
    </row>
    <row r="52" spans="2:5" ht="15.75">
      <c r="B52" s="284"/>
      <c r="C52" s="317">
        <f>IF(C49&lt;0,"See Tab B","")</f>
      </c>
      <c r="D52" s="317">
        <f>IF(D49&lt;0,"See Tab D","")</f>
      </c>
      <c r="E52" s="82"/>
    </row>
    <row r="53" spans="2:5" ht="15.75">
      <c r="B53" s="82"/>
      <c r="C53" s="82"/>
      <c r="D53" s="82"/>
      <c r="E53" s="82"/>
    </row>
    <row r="54" spans="2:5" ht="15.75">
      <c r="B54" s="284"/>
      <c r="C54" s="692" t="s">
        <v>1051</v>
      </c>
      <c r="D54" s="82"/>
      <c r="E54" s="82"/>
    </row>
  </sheetData>
  <sheetProtection/>
  <conditionalFormatting sqref="C20">
    <cfRule type="cellIs" priority="7" dxfId="175" operator="greaterThan" stopIfTrue="1">
      <formula>$C$22*0.1</formula>
    </cfRule>
  </conditionalFormatting>
  <conditionalFormatting sqref="D20">
    <cfRule type="cellIs" priority="8" dxfId="175" operator="greaterThan" stopIfTrue="1">
      <formula>$D$22*0.1</formula>
    </cfRule>
  </conditionalFormatting>
  <conditionalFormatting sqref="E20">
    <cfRule type="cellIs" priority="9" dxfId="175" operator="greaterThan" stopIfTrue="1">
      <formula>$E$22*0.1</formula>
    </cfRule>
  </conditionalFormatting>
  <conditionalFormatting sqref="C11">
    <cfRule type="cellIs" priority="10" dxfId="175" operator="greaterThan" stopIfTrue="1">
      <formula>$C$13*0.1</formula>
    </cfRule>
  </conditionalFormatting>
  <conditionalFormatting sqref="D11">
    <cfRule type="cellIs" priority="11" dxfId="175" operator="greaterThan" stopIfTrue="1">
      <formula>$D$13*0.1</formula>
    </cfRule>
  </conditionalFormatting>
  <conditionalFormatting sqref="E11">
    <cfRule type="cellIs" priority="12" dxfId="175" operator="greaterThan" stopIfTrue="1">
      <formula>$E$13*0.1</formula>
    </cfRule>
  </conditionalFormatting>
  <conditionalFormatting sqref="C37">
    <cfRule type="cellIs" priority="13" dxfId="175" operator="greaterThan" stopIfTrue="1">
      <formula>$C$39*0.1</formula>
    </cfRule>
  </conditionalFormatting>
  <conditionalFormatting sqref="D37">
    <cfRule type="cellIs" priority="14" dxfId="175" operator="greaterThan" stopIfTrue="1">
      <formula>$D$39*0.1</formula>
    </cfRule>
  </conditionalFormatting>
  <conditionalFormatting sqref="E37">
    <cfRule type="cellIs" priority="15" dxfId="175" operator="greaterThan" stopIfTrue="1">
      <formula>$E$39*0.1</formula>
    </cfRule>
  </conditionalFormatting>
  <conditionalFormatting sqref="C46">
    <cfRule type="cellIs" priority="16" dxfId="175" operator="greaterThan" stopIfTrue="1">
      <formula>$C$48*0.1</formula>
    </cfRule>
  </conditionalFormatting>
  <conditionalFormatting sqref="D46">
    <cfRule type="cellIs" priority="17" dxfId="175" operator="greaterThan" stopIfTrue="1">
      <formula>$D$48*0.1</formula>
    </cfRule>
  </conditionalFormatting>
  <conditionalFormatting sqref="E46">
    <cfRule type="cellIs" priority="18" dxfId="175" operator="greaterThan" stopIfTrue="1">
      <formula>$E$48*0.1</formula>
    </cfRule>
  </conditionalFormatting>
  <conditionalFormatting sqref="E49 C49 E23">
    <cfRule type="cellIs" priority="19" dxfId="1" operator="lessThan" stopIfTrue="1">
      <formula>0</formula>
    </cfRule>
  </conditionalFormatting>
  <conditionalFormatting sqref="D48">
    <cfRule type="cellIs" priority="20" dxfId="1" operator="greaterThan" stopIfTrue="1">
      <formula>$D$50</formula>
    </cfRule>
  </conditionalFormatting>
  <conditionalFormatting sqref="C48">
    <cfRule type="cellIs" priority="21" dxfId="1" operator="greaterThan" stopIfTrue="1">
      <formula>$C$50</formula>
    </cfRule>
  </conditionalFormatting>
  <conditionalFormatting sqref="C22">
    <cfRule type="cellIs" priority="6" dxfId="0" operator="greaterThan" stopIfTrue="1">
      <formula>$C$24</formula>
    </cfRule>
  </conditionalFormatting>
  <conditionalFormatting sqref="D22">
    <cfRule type="cellIs" priority="5" dxfId="0" operator="greaterThan" stopIfTrue="1">
      <formula>$D$24</formula>
    </cfRule>
  </conditionalFormatting>
  <conditionalFormatting sqref="C23">
    <cfRule type="cellIs" priority="4" dxfId="0" operator="lessThan" stopIfTrue="1">
      <formula>0</formula>
    </cfRule>
  </conditionalFormatting>
  <conditionalFormatting sqref="D23">
    <cfRule type="cellIs" priority="2" dxfId="0" operator="lessThan" stopIfTrue="1">
      <formula>0</formula>
    </cfRule>
    <cfRule type="cellIs" priority="3" dxfId="0" operator="lessThan" stopIfTrue="1">
      <formula>0</formula>
    </cfRule>
  </conditionalFormatting>
  <conditionalFormatting sqref="D49">
    <cfRule type="cellIs" priority="1" dxfId="0" operator="lessThan" stopIfTrue="1">
      <formula>0</formula>
    </cfRule>
  </conditionalFormatting>
  <printOptions/>
  <pageMargins left="0.78" right="0.5" top="0.74" bottom="0.34" header="0.5" footer="0"/>
  <pageSetup blackAndWhite="1" fitToHeight="1" fitToWidth="1" horizontalDpi="120" verticalDpi="120" orientation="portrait" scale="85" r:id="rId1"/>
  <headerFooter alignWithMargins="0">
    <oddHeader>&amp;RState of Kansas
County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4"/>
  <sheetViews>
    <sheetView zoomScalePageLayoutView="0" workbookViewId="0" topLeftCell="A28">
      <selection activeCell="A29" sqref="A29:H37"/>
    </sheetView>
  </sheetViews>
  <sheetFormatPr defaultColWidth="8.796875" defaultRowHeight="15"/>
  <cols>
    <col min="1" max="1" width="2.3984375" style="69" customWidth="1"/>
    <col min="2" max="2" width="31.09765625" style="69" customWidth="1"/>
    <col min="3" max="4" width="15.796875" style="69" customWidth="1"/>
    <col min="5" max="5" width="16.09765625" style="69" customWidth="1"/>
    <col min="6" max="16384" width="8.8984375" style="69" customWidth="1"/>
  </cols>
  <sheetData>
    <row r="1" spans="2:5" ht="15.75">
      <c r="B1" s="224" t="str">
        <f>(inputPrYr!C2)</f>
        <v>Sheridan County</v>
      </c>
      <c r="C1" s="82"/>
      <c r="D1" s="82"/>
      <c r="E1" s="283">
        <f>inputPrYr!C4</f>
        <v>2013</v>
      </c>
    </row>
    <row r="2" spans="2:5" ht="15.75">
      <c r="B2" s="82"/>
      <c r="C2" s="82"/>
      <c r="D2" s="82"/>
      <c r="E2" s="236"/>
    </row>
    <row r="3" spans="2:5" ht="15.75">
      <c r="B3" s="149" t="s">
        <v>223</v>
      </c>
      <c r="C3" s="329"/>
      <c r="D3" s="329"/>
      <c r="E3" s="330"/>
    </row>
    <row r="4" spans="2:5" ht="15.75">
      <c r="B4" s="82"/>
      <c r="C4" s="323"/>
      <c r="D4" s="323"/>
      <c r="E4" s="323"/>
    </row>
    <row r="5" spans="2:5" ht="15.75">
      <c r="B5" s="81" t="s">
        <v>153</v>
      </c>
      <c r="C5" s="319" t="str">
        <f>general!C4</f>
        <v>Prior Year </v>
      </c>
      <c r="D5" s="211" t="str">
        <f>general!D4</f>
        <v>Current Year </v>
      </c>
      <c r="E5" s="211" t="str">
        <f>general!E4</f>
        <v>Proposed Budget </v>
      </c>
    </row>
    <row r="6" spans="2:5" ht="15.75">
      <c r="B6" s="454" t="str">
        <f>inputPrYr!B45</f>
        <v>Parks &amp; Recreation</v>
      </c>
      <c r="C6" s="312" t="str">
        <f>general!C5</f>
        <v>Actual for 2011</v>
      </c>
      <c r="D6" s="312" t="str">
        <f>general!D5</f>
        <v>Estimate for 2012</v>
      </c>
      <c r="E6" s="299" t="str">
        <f>general!E5</f>
        <v>Year for 2013</v>
      </c>
    </row>
    <row r="7" spans="2:5" ht="15.75">
      <c r="B7" s="145" t="s">
        <v>262</v>
      </c>
      <c r="C7" s="109">
        <v>2021</v>
      </c>
      <c r="D7" s="262">
        <f>C23</f>
        <v>232</v>
      </c>
      <c r="E7" s="262">
        <f>D23</f>
        <v>132</v>
      </c>
    </row>
    <row r="8" spans="2:5" ht="15.75">
      <c r="B8" s="331" t="s">
        <v>264</v>
      </c>
      <c r="C8" s="105"/>
      <c r="D8" s="105"/>
      <c r="E8" s="105"/>
    </row>
    <row r="9" spans="2:5" ht="15.75">
      <c r="B9" s="314" t="s">
        <v>1006</v>
      </c>
      <c r="C9" s="109">
        <v>779</v>
      </c>
      <c r="D9" s="109">
        <v>1500</v>
      </c>
      <c r="E9" s="109">
        <v>2500</v>
      </c>
    </row>
    <row r="10" spans="2:5" ht="15.75">
      <c r="B10" s="314"/>
      <c r="C10" s="109"/>
      <c r="D10" s="109"/>
      <c r="E10" s="109"/>
    </row>
    <row r="11" spans="2:5" ht="15.75">
      <c r="B11" s="306" t="s">
        <v>69</v>
      </c>
      <c r="C11" s="109"/>
      <c r="D11" s="301"/>
      <c r="E11" s="301"/>
    </row>
    <row r="12" spans="2:5" ht="15.75">
      <c r="B12" s="306" t="s">
        <v>655</v>
      </c>
      <c r="C12" s="451">
        <f>IF(C13*0.1&lt;C11,"Exceed 10% Rule","")</f>
      </c>
      <c r="D12" s="307">
        <f>IF(D13*0.1&lt;D11,"Exceed 10% Rule","")</f>
      </c>
      <c r="E12" s="307">
        <f>IF(E13*0.1&lt;E11,"Exceed 10% Rule","")</f>
      </c>
    </row>
    <row r="13" spans="2:5" ht="15.75">
      <c r="B13" s="308" t="s">
        <v>154</v>
      </c>
      <c r="C13" s="338">
        <f>SUM(C9:C11)</f>
        <v>779</v>
      </c>
      <c r="D13" s="338">
        <f>SUM(D9:D11)</f>
        <v>1500</v>
      </c>
      <c r="E13" s="338">
        <f>SUM(E9:E11)</f>
        <v>2500</v>
      </c>
    </row>
    <row r="14" spans="2:5" ht="15.75">
      <c r="B14" s="308" t="s">
        <v>155</v>
      </c>
      <c r="C14" s="338">
        <f>C13+C7</f>
        <v>2800</v>
      </c>
      <c r="D14" s="338">
        <f>D13+D7</f>
        <v>1732</v>
      </c>
      <c r="E14" s="338">
        <f>E13+E7</f>
        <v>2632</v>
      </c>
    </row>
    <row r="15" spans="2:5" ht="15.75">
      <c r="B15" s="145" t="s">
        <v>157</v>
      </c>
      <c r="C15" s="262"/>
      <c r="D15" s="262"/>
      <c r="E15" s="262"/>
    </row>
    <row r="16" spans="2:5" ht="15.75">
      <c r="B16" s="314" t="s">
        <v>1007</v>
      </c>
      <c r="C16" s="109">
        <v>1284</v>
      </c>
      <c r="D16" s="109">
        <v>800</v>
      </c>
      <c r="E16" s="109">
        <v>1316</v>
      </c>
    </row>
    <row r="17" spans="2:5" ht="15.75">
      <c r="B17" s="314" t="s">
        <v>1008</v>
      </c>
      <c r="C17" s="109">
        <v>1284</v>
      </c>
      <c r="D17" s="109">
        <v>800</v>
      </c>
      <c r="E17" s="109">
        <v>1316</v>
      </c>
    </row>
    <row r="18" spans="2:5" ht="15.75">
      <c r="B18" s="314"/>
      <c r="C18" s="109"/>
      <c r="D18" s="109"/>
      <c r="E18" s="109"/>
    </row>
    <row r="19" spans="2:5" ht="15.75">
      <c r="B19" s="314"/>
      <c r="C19" s="109"/>
      <c r="D19" s="109"/>
      <c r="E19" s="109"/>
    </row>
    <row r="20" spans="2:5" ht="15.75">
      <c r="B20" s="306" t="s">
        <v>69</v>
      </c>
      <c r="C20" s="109"/>
      <c r="D20" s="301"/>
      <c r="E20" s="301"/>
    </row>
    <row r="21" spans="2:5" ht="15.75">
      <c r="B21" s="306" t="s">
        <v>654</v>
      </c>
      <c r="C21" s="451">
        <f>IF(C22*0.1&lt;C20,"Exceed 10% Rule","")</f>
      </c>
      <c r="D21" s="307">
        <f>IF(D22*0.1&lt;D20,"Exceed 10% Rule","")</f>
      </c>
      <c r="E21" s="307">
        <f>IF(E22*0.1&lt;E20,"Exceed 10% Rule","")</f>
      </c>
    </row>
    <row r="22" spans="2:5" ht="15.75">
      <c r="B22" s="308" t="s">
        <v>158</v>
      </c>
      <c r="C22" s="338">
        <f>SUM(C16:C20)</f>
        <v>2568</v>
      </c>
      <c r="D22" s="338">
        <f>SUM(D16:D20)</f>
        <v>1600</v>
      </c>
      <c r="E22" s="338">
        <f>SUM(E16:E20)</f>
        <v>2632</v>
      </c>
    </row>
    <row r="23" spans="2:5" ht="15.75">
      <c r="B23" s="145" t="s">
        <v>263</v>
      </c>
      <c r="C23" s="117">
        <f>C14-C22</f>
        <v>232</v>
      </c>
      <c r="D23" s="117">
        <f>D14-D22</f>
        <v>132</v>
      </c>
      <c r="E23" s="117">
        <f>E14-E22</f>
        <v>0</v>
      </c>
    </row>
    <row r="24" spans="2:5" ht="15.75">
      <c r="B24" s="284" t="str">
        <f>CONCATENATE("",E$1-2,"/",E$1-1," Budget Authority Amount:")</f>
        <v>2011/2012 Budget Authority Amount:</v>
      </c>
      <c r="C24" s="276">
        <f>inputOth!B57</f>
        <v>3200</v>
      </c>
      <c r="D24" s="276">
        <f>inputPrYr!D45</f>
        <v>3800</v>
      </c>
      <c r="E24" s="450">
        <f>IF(E23&lt;0,"See Tab E","")</f>
      </c>
    </row>
    <row r="25" spans="2:5" ht="15.75">
      <c r="B25" s="284"/>
      <c r="C25" s="317">
        <f>IF(C22&gt;C24,"See Tab A","")</f>
      </c>
      <c r="D25" s="317">
        <f>IF(D22&gt;D24,"See Tab C","")</f>
      </c>
      <c r="E25" s="142"/>
    </row>
    <row r="26" spans="2:5" ht="15.75">
      <c r="B26" s="284"/>
      <c r="C26" s="317">
        <f>IF(C23&lt;0,"See Tab B","")</f>
      </c>
      <c r="D26" s="317">
        <f>IF(D23&lt;0,"See Tab D","")</f>
      </c>
      <c r="E26" s="142"/>
    </row>
    <row r="27" spans="2:5" ht="15.75">
      <c r="B27" s="82"/>
      <c r="C27" s="142"/>
      <c r="D27" s="142"/>
      <c r="E27" s="142"/>
    </row>
    <row r="28" spans="2:5" ht="15.75">
      <c r="B28" s="81" t="s">
        <v>153</v>
      </c>
      <c r="C28" s="323"/>
      <c r="D28" s="323"/>
      <c r="E28" s="323"/>
    </row>
    <row r="29" spans="2:5" ht="15.75">
      <c r="B29" s="82"/>
      <c r="C29" s="319" t="str">
        <f aca="true" t="shared" si="0" ref="C29:E30">C5</f>
        <v>Prior Year </v>
      </c>
      <c r="D29" s="211" t="str">
        <f t="shared" si="0"/>
        <v>Current Year </v>
      </c>
      <c r="E29" s="211" t="str">
        <f t="shared" si="0"/>
        <v>Proposed Budget </v>
      </c>
    </row>
    <row r="30" spans="2:5" ht="15.75">
      <c r="B30" s="453" t="str">
        <f>inputPrYr!B46</f>
        <v>Solid Waste Disposal</v>
      </c>
      <c r="C30" s="312" t="str">
        <f t="shared" si="0"/>
        <v>Actual for 2011</v>
      </c>
      <c r="D30" s="312" t="str">
        <f t="shared" si="0"/>
        <v>Estimate for 2012</v>
      </c>
      <c r="E30" s="312" t="str">
        <f t="shared" si="0"/>
        <v>Year for 2013</v>
      </c>
    </row>
    <row r="31" spans="2:5" ht="15.75">
      <c r="B31" s="145" t="s">
        <v>262</v>
      </c>
      <c r="C31" s="109">
        <v>75918</v>
      </c>
      <c r="D31" s="262">
        <f>C49</f>
        <v>56085</v>
      </c>
      <c r="E31" s="262">
        <f>D49</f>
        <v>74545</v>
      </c>
    </row>
    <row r="32" spans="2:5" ht="15.75">
      <c r="B32" s="145" t="s">
        <v>264</v>
      </c>
      <c r="C32" s="105"/>
      <c r="D32" s="105"/>
      <c r="E32" s="105"/>
    </row>
    <row r="33" spans="2:5" ht="15.75">
      <c r="B33" s="314" t="s">
        <v>1009</v>
      </c>
      <c r="C33" s="109">
        <v>15595</v>
      </c>
      <c r="D33" s="109">
        <v>18000</v>
      </c>
      <c r="E33" s="109">
        <v>20000</v>
      </c>
    </row>
    <row r="34" spans="2:5" ht="15.75">
      <c r="B34" s="314" t="s">
        <v>1010</v>
      </c>
      <c r="C34" s="109">
        <v>47650</v>
      </c>
      <c r="D34" s="109">
        <v>48960</v>
      </c>
      <c r="E34" s="109">
        <v>50000</v>
      </c>
    </row>
    <row r="35" spans="2:5" ht="15.75">
      <c r="B35" s="314" t="s">
        <v>1011</v>
      </c>
      <c r="C35" s="109">
        <v>2800</v>
      </c>
      <c r="D35" s="109">
        <v>3000</v>
      </c>
      <c r="E35" s="109">
        <v>7500</v>
      </c>
    </row>
    <row r="36" spans="2:5" ht="15.75">
      <c r="B36" s="305"/>
      <c r="C36" s="109"/>
      <c r="D36" s="109"/>
      <c r="E36" s="109"/>
    </row>
    <row r="37" spans="2:5" ht="15.75">
      <c r="B37" s="306" t="s">
        <v>69</v>
      </c>
      <c r="C37" s="109"/>
      <c r="D37" s="301"/>
      <c r="E37" s="301"/>
    </row>
    <row r="38" spans="2:5" ht="15.75">
      <c r="B38" s="306" t="s">
        <v>655</v>
      </c>
      <c r="C38" s="451">
        <f>IF(C39*0.1&lt;C37,"Exceed 10% Rule","")</f>
      </c>
      <c r="D38" s="307">
        <f>IF(D39*0.1&lt;D37,"Exceed 10% Rule","")</f>
      </c>
      <c r="E38" s="307">
        <f>IF(E39*0.1&lt;E37,"Exceed 10% Rule","")</f>
      </c>
    </row>
    <row r="39" spans="2:5" ht="15.75">
      <c r="B39" s="308" t="s">
        <v>154</v>
      </c>
      <c r="C39" s="338">
        <f>SUM(C33:C37)</f>
        <v>66045</v>
      </c>
      <c r="D39" s="338">
        <f>SUM(D33:D37)</f>
        <v>69960</v>
      </c>
      <c r="E39" s="338">
        <f>SUM(E33:E37)</f>
        <v>77500</v>
      </c>
    </row>
    <row r="40" spans="2:5" ht="15.75">
      <c r="B40" s="308" t="s">
        <v>155</v>
      </c>
      <c r="C40" s="338">
        <f>C31+C39</f>
        <v>141963</v>
      </c>
      <c r="D40" s="338">
        <f>D31+D39</f>
        <v>126045</v>
      </c>
      <c r="E40" s="338">
        <f>E31+E39</f>
        <v>152045</v>
      </c>
    </row>
    <row r="41" spans="2:5" ht="15.75">
      <c r="B41" s="145" t="s">
        <v>157</v>
      </c>
      <c r="C41" s="262"/>
      <c r="D41" s="262"/>
      <c r="E41" s="262"/>
    </row>
    <row r="42" spans="2:5" ht="15.75">
      <c r="B42" s="314" t="s">
        <v>962</v>
      </c>
      <c r="C42" s="109">
        <v>36510</v>
      </c>
      <c r="D42" s="109">
        <v>36500</v>
      </c>
      <c r="E42" s="109">
        <v>40000</v>
      </c>
    </row>
    <row r="43" spans="2:5" ht="15.75">
      <c r="B43" s="314" t="s">
        <v>966</v>
      </c>
      <c r="C43" s="109">
        <v>49368</v>
      </c>
      <c r="D43" s="109">
        <v>15000</v>
      </c>
      <c r="E43" s="109">
        <v>112045</v>
      </c>
    </row>
    <row r="44" spans="2:5" ht="15.75">
      <c r="B44" s="314"/>
      <c r="C44" s="109"/>
      <c r="D44" s="109"/>
      <c r="E44" s="109"/>
    </row>
    <row r="45" spans="2:5" ht="15.75">
      <c r="B45" s="314"/>
      <c r="C45" s="109"/>
      <c r="D45" s="109"/>
      <c r="E45" s="109"/>
    </row>
    <row r="46" spans="2:5" ht="15.75">
      <c r="B46" s="306" t="s">
        <v>69</v>
      </c>
      <c r="C46" s="109"/>
      <c r="D46" s="301"/>
      <c r="E46" s="301"/>
    </row>
    <row r="47" spans="2:5" ht="15.75">
      <c r="B47" s="306" t="s">
        <v>654</v>
      </c>
      <c r="C47" s="451">
        <f>IF(C48*0.1&lt;C46,"Exceed 10% Rule","")</f>
      </c>
      <c r="D47" s="307">
        <f>IF(D48*0.1&lt;D46,"Exceed 10% Rule","")</f>
      </c>
      <c r="E47" s="307">
        <f>IF(E48*0.1&lt;E46,"Exceed 10% Rule","")</f>
      </c>
    </row>
    <row r="48" spans="2:5" ht="15.75">
      <c r="B48" s="308" t="s">
        <v>158</v>
      </c>
      <c r="C48" s="338">
        <f>SUM(C42:C46)</f>
        <v>85878</v>
      </c>
      <c r="D48" s="338">
        <f>SUM(D42:D46)</f>
        <v>51500</v>
      </c>
      <c r="E48" s="338">
        <f>SUM(E42:E46)</f>
        <v>152045</v>
      </c>
    </row>
    <row r="49" spans="2:5" ht="15.75">
      <c r="B49" s="145" t="s">
        <v>263</v>
      </c>
      <c r="C49" s="117">
        <f>C40-C48</f>
        <v>56085</v>
      </c>
      <c r="D49" s="117">
        <f>D40-D48</f>
        <v>74545</v>
      </c>
      <c r="E49" s="117">
        <f>E40-E48</f>
        <v>0</v>
      </c>
    </row>
    <row r="50" spans="2:5" ht="15.75">
      <c r="B50" s="284" t="str">
        <f>CONCATENATE("",E$1-2,"/",E$1-1," Budget Authority Amount:")</f>
        <v>2011/2012 Budget Authority Amount:</v>
      </c>
      <c r="C50" s="276">
        <f>inputOth!B58</f>
        <v>151541</v>
      </c>
      <c r="D50" s="276">
        <f>inputPrYr!D46</f>
        <v>136369</v>
      </c>
      <c r="E50" s="449">
        <f>IF(E49&lt;0,"See Tab E","")</f>
      </c>
    </row>
    <row r="51" spans="2:5" ht="15.75">
      <c r="B51" s="284"/>
      <c r="C51" s="317">
        <f>IF(C48&gt;C50,"See Tab A","")</f>
      </c>
      <c r="D51" s="317">
        <f>IF(D48&gt;D50,"See Tab C","")</f>
      </c>
      <c r="E51" s="82"/>
    </row>
    <row r="52" spans="2:5" ht="15.75">
      <c r="B52" s="284"/>
      <c r="C52" s="317">
        <f>IF(C49&lt;0,"See Tab B","")</f>
      </c>
      <c r="D52" s="317">
        <f>IF(D49&lt;0,"See Tab D","")</f>
      </c>
      <c r="E52" s="82"/>
    </row>
    <row r="53" spans="2:5" ht="15.75">
      <c r="B53" s="82"/>
      <c r="C53" s="82"/>
      <c r="D53" s="82"/>
      <c r="E53" s="82"/>
    </row>
    <row r="54" spans="2:5" ht="15.75">
      <c r="B54" s="284"/>
      <c r="C54" s="692" t="s">
        <v>1055</v>
      </c>
      <c r="D54" s="82"/>
      <c r="E54" s="82"/>
    </row>
  </sheetData>
  <sheetProtection/>
  <conditionalFormatting sqref="C20">
    <cfRule type="cellIs" priority="3" dxfId="175" operator="greaterThan" stopIfTrue="1">
      <formula>$C$22*0.1</formula>
    </cfRule>
  </conditionalFormatting>
  <conditionalFormatting sqref="D20">
    <cfRule type="cellIs" priority="4" dxfId="175" operator="greaterThan" stopIfTrue="1">
      <formula>$D$22*0.1</formula>
    </cfRule>
  </conditionalFormatting>
  <conditionalFormatting sqref="E20">
    <cfRule type="cellIs" priority="5" dxfId="175" operator="greaterThan" stopIfTrue="1">
      <formula>$E$22*0.1</formula>
    </cfRule>
  </conditionalFormatting>
  <conditionalFormatting sqref="C11">
    <cfRule type="cellIs" priority="6" dxfId="175" operator="greaterThan" stopIfTrue="1">
      <formula>$C$13*0.1</formula>
    </cfRule>
  </conditionalFormatting>
  <conditionalFormatting sqref="D11">
    <cfRule type="cellIs" priority="7" dxfId="175" operator="greaterThan" stopIfTrue="1">
      <formula>$D$13*0.1</formula>
    </cfRule>
  </conditionalFormatting>
  <conditionalFormatting sqref="E11">
    <cfRule type="cellIs" priority="8" dxfId="175" operator="greaterThan" stopIfTrue="1">
      <formula>$E$13*0.1</formula>
    </cfRule>
  </conditionalFormatting>
  <conditionalFormatting sqref="C37">
    <cfRule type="cellIs" priority="9" dxfId="175" operator="greaterThan" stopIfTrue="1">
      <formula>$C$39*0.1</formula>
    </cfRule>
  </conditionalFormatting>
  <conditionalFormatting sqref="D37">
    <cfRule type="cellIs" priority="10" dxfId="175" operator="greaterThan" stopIfTrue="1">
      <formula>$D$39*0.1</formula>
    </cfRule>
  </conditionalFormatting>
  <conditionalFormatting sqref="E37">
    <cfRule type="cellIs" priority="11" dxfId="175" operator="greaterThan" stopIfTrue="1">
      <formula>$E$39*0.1</formula>
    </cfRule>
  </conditionalFormatting>
  <conditionalFormatting sqref="C46">
    <cfRule type="cellIs" priority="12" dxfId="175" operator="greaterThan" stopIfTrue="1">
      <formula>$C$48*0.1</formula>
    </cfRule>
  </conditionalFormatting>
  <conditionalFormatting sqref="D46">
    <cfRule type="cellIs" priority="13" dxfId="175" operator="greaterThan" stopIfTrue="1">
      <formula>$D$48*0.1</formula>
    </cfRule>
  </conditionalFormatting>
  <conditionalFormatting sqref="E46">
    <cfRule type="cellIs" priority="14" dxfId="175" operator="greaterThan" stopIfTrue="1">
      <formula>$E$48*0.1</formula>
    </cfRule>
  </conditionalFormatting>
  <conditionalFormatting sqref="E49 C49 E23 C23">
    <cfRule type="cellIs" priority="15" dxfId="1" operator="lessThan" stopIfTrue="1">
      <formula>0</formula>
    </cfRule>
  </conditionalFormatting>
  <conditionalFormatting sqref="D22">
    <cfRule type="cellIs" priority="16" dxfId="1" operator="greaterThan" stopIfTrue="1">
      <formula>$D$24</formula>
    </cfRule>
  </conditionalFormatting>
  <conditionalFormatting sqref="C22">
    <cfRule type="cellIs" priority="17" dxfId="1" operator="greaterThan" stopIfTrue="1">
      <formula>$C$24</formula>
    </cfRule>
  </conditionalFormatting>
  <conditionalFormatting sqref="D48">
    <cfRule type="cellIs" priority="18" dxfId="1" operator="greaterThan" stopIfTrue="1">
      <formula>$D$50</formula>
    </cfRule>
  </conditionalFormatting>
  <conditionalFormatting sqref="C48">
    <cfRule type="cellIs" priority="19" dxfId="1" operator="greaterThan" stopIfTrue="1">
      <formula>$C$50</formula>
    </cfRule>
  </conditionalFormatting>
  <conditionalFormatting sqref="D23">
    <cfRule type="cellIs" priority="2" dxfId="0" operator="lessThan" stopIfTrue="1">
      <formula>0</formula>
    </cfRule>
  </conditionalFormatting>
  <conditionalFormatting sqref="D49">
    <cfRule type="cellIs" priority="1" dxfId="0" operator="lessThan" stopIfTrue="1">
      <formula>0</formula>
    </cfRule>
  </conditionalFormatting>
  <printOptions/>
  <pageMargins left="0.84" right="0.5" top="0.74" bottom="0.34" header="0.5" footer="0"/>
  <pageSetup blackAndWhite="1" fitToHeight="1" fitToWidth="1" horizontalDpi="120" verticalDpi="120" orientation="portrait" scale="85" r:id="rId1"/>
  <headerFooter alignWithMargins="0">
    <oddHeader>&amp;RState of Kansas
County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4"/>
  <sheetViews>
    <sheetView zoomScalePageLayoutView="0" workbookViewId="0" topLeftCell="A40">
      <selection activeCell="A29" sqref="A29:H37"/>
    </sheetView>
  </sheetViews>
  <sheetFormatPr defaultColWidth="8.796875" defaultRowHeight="15"/>
  <cols>
    <col min="1" max="1" width="2.3984375" style="69" customWidth="1"/>
    <col min="2" max="2" width="31.09765625" style="69" customWidth="1"/>
    <col min="3" max="4" width="15.796875" style="69" customWidth="1"/>
    <col min="5" max="5" width="16.19921875" style="69" customWidth="1"/>
    <col min="6" max="16384" width="8.8984375" style="69" customWidth="1"/>
  </cols>
  <sheetData>
    <row r="1" spans="2:5" ht="15.75">
      <c r="B1" s="224" t="str">
        <f>(inputPrYr!C2)</f>
        <v>Sheridan County</v>
      </c>
      <c r="C1" s="82"/>
      <c r="D1" s="82"/>
      <c r="E1" s="283">
        <f>inputPrYr!C4</f>
        <v>2013</v>
      </c>
    </row>
    <row r="2" spans="2:5" ht="15.75">
      <c r="B2" s="82"/>
      <c r="C2" s="82"/>
      <c r="D2" s="82"/>
      <c r="E2" s="236"/>
    </row>
    <row r="3" spans="2:5" ht="15.75">
      <c r="B3" s="149" t="s">
        <v>223</v>
      </c>
      <c r="C3" s="329"/>
      <c r="D3" s="329"/>
      <c r="E3" s="330"/>
    </row>
    <row r="4" spans="2:5" ht="15.75">
      <c r="B4" s="82"/>
      <c r="C4" s="323"/>
      <c r="D4" s="323"/>
      <c r="E4" s="323"/>
    </row>
    <row r="5" spans="2:5" ht="15.75">
      <c r="B5" s="81" t="s">
        <v>153</v>
      </c>
      <c r="C5" s="319" t="str">
        <f>general!C4</f>
        <v>Prior Year </v>
      </c>
      <c r="D5" s="211" t="str">
        <f>general!D4</f>
        <v>Current Year </v>
      </c>
      <c r="E5" s="211" t="str">
        <f>general!E4</f>
        <v>Proposed Budget </v>
      </c>
    </row>
    <row r="6" spans="2:5" ht="15.75">
      <c r="B6" s="454" t="str">
        <f>inputPrYr!B47</f>
        <v>Alcohol Program</v>
      </c>
      <c r="C6" s="312" t="str">
        <f>general!C5</f>
        <v>Actual for 2011</v>
      </c>
      <c r="D6" s="312" t="str">
        <f>general!D5</f>
        <v>Estimate for 2012</v>
      </c>
      <c r="E6" s="299" t="str">
        <f>general!E5</f>
        <v>Year for 2013</v>
      </c>
    </row>
    <row r="7" spans="2:5" ht="15.75">
      <c r="B7" s="145" t="s">
        <v>262</v>
      </c>
      <c r="C7" s="109">
        <v>30104</v>
      </c>
      <c r="D7" s="262">
        <f>C24</f>
        <v>31261</v>
      </c>
      <c r="E7" s="262">
        <f>D24</f>
        <v>33761</v>
      </c>
    </row>
    <row r="8" spans="2:5" ht="15.75">
      <c r="B8" s="331" t="s">
        <v>264</v>
      </c>
      <c r="C8" s="105"/>
      <c r="D8" s="105"/>
      <c r="E8" s="105"/>
    </row>
    <row r="9" spans="2:5" ht="15.75">
      <c r="B9" s="314" t="s">
        <v>1006</v>
      </c>
      <c r="C9" s="109">
        <v>1535</v>
      </c>
      <c r="D9" s="109">
        <v>2850</v>
      </c>
      <c r="E9" s="109">
        <v>2850</v>
      </c>
    </row>
    <row r="10" spans="2:5" ht="15.75">
      <c r="B10" s="314"/>
      <c r="C10" s="109"/>
      <c r="D10" s="109"/>
      <c r="E10" s="109"/>
    </row>
    <row r="11" spans="2:5" ht="15.75">
      <c r="B11" s="314"/>
      <c r="C11" s="109"/>
      <c r="D11" s="109"/>
      <c r="E11" s="109"/>
    </row>
    <row r="12" spans="2:5" ht="15.75">
      <c r="B12" s="306" t="s">
        <v>69</v>
      </c>
      <c r="C12" s="109"/>
      <c r="D12" s="301"/>
      <c r="E12" s="301"/>
    </row>
    <row r="13" spans="2:5" ht="15.75">
      <c r="B13" s="306" t="s">
        <v>655</v>
      </c>
      <c r="C13" s="451">
        <f>IF(C14*0.1&lt;C12,"Exceed 10% Rule","")</f>
      </c>
      <c r="D13" s="307">
        <f>IF(D14*0.1&lt;D12,"Exceed 10% Rule","")</f>
      </c>
      <c r="E13" s="307">
        <f>IF(E14*0.1&lt;E12,"Exceed 10% Rule","")</f>
      </c>
    </row>
    <row r="14" spans="2:5" ht="15.75">
      <c r="B14" s="308" t="s">
        <v>154</v>
      </c>
      <c r="C14" s="338">
        <f>SUM(C9:C12)</f>
        <v>1535</v>
      </c>
      <c r="D14" s="338">
        <f>SUM(D9:D12)</f>
        <v>2850</v>
      </c>
      <c r="E14" s="338">
        <f>SUM(E9:E12)</f>
        <v>2850</v>
      </c>
    </row>
    <row r="15" spans="2:5" ht="15.75">
      <c r="B15" s="308" t="s">
        <v>155</v>
      </c>
      <c r="C15" s="338">
        <f>C14+C7</f>
        <v>31639</v>
      </c>
      <c r="D15" s="338">
        <f>D14+D7</f>
        <v>34111</v>
      </c>
      <c r="E15" s="338">
        <f>E14+E7</f>
        <v>36611</v>
      </c>
    </row>
    <row r="16" spans="2:5" ht="15.75">
      <c r="B16" s="145" t="s">
        <v>157</v>
      </c>
      <c r="C16" s="262"/>
      <c r="D16" s="262"/>
      <c r="E16" s="262"/>
    </row>
    <row r="17" spans="2:5" ht="15.75">
      <c r="B17" s="314" t="s">
        <v>1012</v>
      </c>
      <c r="C17" s="109">
        <v>378</v>
      </c>
      <c r="D17" s="109">
        <v>350</v>
      </c>
      <c r="E17" s="109">
        <v>36611</v>
      </c>
    </row>
    <row r="18" spans="2:5" ht="15.75">
      <c r="B18" s="314"/>
      <c r="C18" s="109"/>
      <c r="D18" s="109"/>
      <c r="E18" s="109"/>
    </row>
    <row r="19" spans="2:5" ht="15.75">
      <c r="B19" s="314"/>
      <c r="C19" s="109"/>
      <c r="D19" s="109"/>
      <c r="E19" s="109"/>
    </row>
    <row r="20" spans="2:5" ht="15.75">
      <c r="B20" s="314"/>
      <c r="C20" s="109"/>
      <c r="D20" s="109"/>
      <c r="E20" s="109"/>
    </row>
    <row r="21" spans="2:5" ht="15.75">
      <c r="B21" s="306" t="s">
        <v>69</v>
      </c>
      <c r="C21" s="109"/>
      <c r="D21" s="301"/>
      <c r="E21" s="301"/>
    </row>
    <row r="22" spans="2:5" ht="15.75">
      <c r="B22" s="306" t="s">
        <v>654</v>
      </c>
      <c r="C22" s="451">
        <f>IF(C23*0.1&lt;C21,"Exceed 10% Rule","")</f>
      </c>
      <c r="D22" s="307">
        <f>IF(D23*0.1&lt;D21,"Exceed 10% Rule","")</f>
      </c>
      <c r="E22" s="307">
        <f>IF(E23*0.1&lt;E21,"Exceed 10% Rule","")</f>
      </c>
    </row>
    <row r="23" spans="2:5" ht="15.75">
      <c r="B23" s="308" t="s">
        <v>158</v>
      </c>
      <c r="C23" s="338">
        <f>SUM(C17:C21)</f>
        <v>378</v>
      </c>
      <c r="D23" s="338">
        <f>SUM(D17:D21)</f>
        <v>350</v>
      </c>
      <c r="E23" s="338">
        <f>SUM(E17:E21)</f>
        <v>36611</v>
      </c>
    </row>
    <row r="24" spans="2:5" ht="15.75">
      <c r="B24" s="145" t="s">
        <v>263</v>
      </c>
      <c r="C24" s="117">
        <f>C15-C23</f>
        <v>31261</v>
      </c>
      <c r="D24" s="117">
        <f>D15-D23</f>
        <v>33761</v>
      </c>
      <c r="E24" s="117">
        <f>E15-E23</f>
        <v>0</v>
      </c>
    </row>
    <row r="25" spans="2:5" ht="15.75">
      <c r="B25" s="284" t="str">
        <f>CONCATENATE("",E$1-2,"/",E$1-1," Budget Authority Amount:")</f>
        <v>2011/2012 Budget Authority Amount:</v>
      </c>
      <c r="C25" s="276">
        <f>inputOth!B59</f>
        <v>34537</v>
      </c>
      <c r="D25" s="276">
        <f>inputPrYr!D47</f>
        <v>34605</v>
      </c>
      <c r="E25" s="450">
        <f>IF(E24&lt;0,"See Tab E","")</f>
      </c>
    </row>
    <row r="26" spans="2:5" ht="15.75">
      <c r="B26" s="284"/>
      <c r="C26" s="317">
        <f>IF(C23&gt;C25,"See Tab A","")</f>
      </c>
      <c r="D26" s="317">
        <f>IF(D23&gt;D25,"See Tab C","")</f>
      </c>
      <c r="E26" s="142"/>
    </row>
    <row r="27" spans="2:5" ht="15.75">
      <c r="B27" s="284"/>
      <c r="C27" s="317">
        <f>IF(C24&lt;0,"See Tab B","")</f>
      </c>
      <c r="D27" s="317">
        <f>IF(D24&lt;0,"See Tab D","")</f>
      </c>
      <c r="E27" s="142"/>
    </row>
    <row r="28" spans="2:5" ht="15.75">
      <c r="B28" s="82"/>
      <c r="C28" s="142"/>
      <c r="D28" s="142"/>
      <c r="E28" s="142"/>
    </row>
    <row r="29" spans="2:5" ht="15.75">
      <c r="B29" s="81" t="s">
        <v>153</v>
      </c>
      <c r="C29" s="323"/>
      <c r="D29" s="323"/>
      <c r="E29" s="323"/>
    </row>
    <row r="30" spans="2:5" ht="15.75">
      <c r="B30" s="82"/>
      <c r="C30" s="319" t="str">
        <f aca="true" t="shared" si="0" ref="C30:E31">C5</f>
        <v>Prior Year </v>
      </c>
      <c r="D30" s="211" t="str">
        <f t="shared" si="0"/>
        <v>Current Year </v>
      </c>
      <c r="E30" s="211" t="str">
        <f t="shared" si="0"/>
        <v>Proposed Budget </v>
      </c>
    </row>
    <row r="31" spans="2:5" ht="15.75">
      <c r="B31" s="453" t="str">
        <f>inputPrYr!B48</f>
        <v>Special Ambulance</v>
      </c>
      <c r="C31" s="312" t="str">
        <f t="shared" si="0"/>
        <v>Actual for 2011</v>
      </c>
      <c r="D31" s="312" t="str">
        <f t="shared" si="0"/>
        <v>Estimate for 2012</v>
      </c>
      <c r="E31" s="312" t="str">
        <f t="shared" si="0"/>
        <v>Year for 2013</v>
      </c>
    </row>
    <row r="32" spans="2:5" ht="15.75">
      <c r="B32" s="145" t="s">
        <v>262</v>
      </c>
      <c r="C32" s="109">
        <v>150494</v>
      </c>
      <c r="D32" s="262">
        <f>C49</f>
        <v>190494</v>
      </c>
      <c r="E32" s="262">
        <f>D49</f>
        <v>230094</v>
      </c>
    </row>
    <row r="33" spans="2:5" ht="15.75">
      <c r="B33" s="145" t="s">
        <v>264</v>
      </c>
      <c r="C33" s="105"/>
      <c r="D33" s="105"/>
      <c r="E33" s="105"/>
    </row>
    <row r="34" spans="2:5" ht="15.75">
      <c r="B34" s="314" t="s">
        <v>1047</v>
      </c>
      <c r="C34" s="109">
        <v>5000</v>
      </c>
      <c r="D34" s="109"/>
      <c r="E34" s="109"/>
    </row>
    <row r="35" spans="2:5" ht="15.75">
      <c r="B35" s="314" t="s">
        <v>1013</v>
      </c>
      <c r="C35" s="109">
        <v>35000</v>
      </c>
      <c r="D35" s="109">
        <v>50000</v>
      </c>
      <c r="E35" s="109">
        <v>50000</v>
      </c>
    </row>
    <row r="36" spans="2:5" ht="15.75">
      <c r="B36" s="314"/>
      <c r="C36" s="109"/>
      <c r="D36" s="109"/>
      <c r="E36" s="109"/>
    </row>
    <row r="37" spans="2:5" ht="15.75">
      <c r="B37" s="306" t="s">
        <v>69</v>
      </c>
      <c r="C37" s="109"/>
      <c r="D37" s="301"/>
      <c r="E37" s="301"/>
    </row>
    <row r="38" spans="2:5" ht="15.75">
      <c r="B38" s="306" t="s">
        <v>655</v>
      </c>
      <c r="C38" s="451">
        <f>IF(C39*0.1&lt;C37,"Exceed 10% Rule","")</f>
      </c>
      <c r="D38" s="307">
        <f>IF(D39*0.1&lt;D37,"Exceed 10% Rule","")</f>
      </c>
      <c r="E38" s="307">
        <f>IF(E39*0.1&lt;E37,"Exceed 10% Rule","")</f>
      </c>
    </row>
    <row r="39" spans="2:5" ht="15.75">
      <c r="B39" s="308" t="s">
        <v>154</v>
      </c>
      <c r="C39" s="338">
        <f>SUM(C34:C37)</f>
        <v>40000</v>
      </c>
      <c r="D39" s="338">
        <f>SUM(D34:D37)</f>
        <v>50000</v>
      </c>
      <c r="E39" s="338">
        <f>SUM(E34:E37)</f>
        <v>50000</v>
      </c>
    </row>
    <row r="40" spans="2:5" ht="15.75">
      <c r="B40" s="308" t="s">
        <v>155</v>
      </c>
      <c r="C40" s="338">
        <f>C32+C39</f>
        <v>190494</v>
      </c>
      <c r="D40" s="338">
        <f>D32+D39</f>
        <v>240494</v>
      </c>
      <c r="E40" s="338">
        <f>E32+E39</f>
        <v>280094</v>
      </c>
    </row>
    <row r="41" spans="2:5" ht="15.75">
      <c r="B41" s="145" t="s">
        <v>157</v>
      </c>
      <c r="C41" s="262"/>
      <c r="D41" s="262"/>
      <c r="E41" s="262"/>
    </row>
    <row r="42" spans="2:5" ht="15.75">
      <c r="B42" s="314" t="s">
        <v>163</v>
      </c>
      <c r="C42" s="109"/>
      <c r="D42" s="109">
        <v>10400</v>
      </c>
      <c r="E42" s="109">
        <v>280094</v>
      </c>
    </row>
    <row r="43" spans="2:5" ht="15.75">
      <c r="B43" s="314"/>
      <c r="C43" s="109"/>
      <c r="D43" s="109"/>
      <c r="E43" s="109"/>
    </row>
    <row r="44" spans="2:5" ht="15.75">
      <c r="B44" s="314"/>
      <c r="C44" s="109"/>
      <c r="D44" s="109"/>
      <c r="E44" s="109"/>
    </row>
    <row r="45" spans="2:5" ht="15.75">
      <c r="B45" s="314"/>
      <c r="C45" s="109"/>
      <c r="D45" s="109"/>
      <c r="E45" s="109"/>
    </row>
    <row r="46" spans="2:5" ht="15.75">
      <c r="B46" s="306" t="s">
        <v>69</v>
      </c>
      <c r="C46" s="109"/>
      <c r="D46" s="301"/>
      <c r="E46" s="301"/>
    </row>
    <row r="47" spans="2:5" ht="15.75">
      <c r="B47" s="306" t="s">
        <v>654</v>
      </c>
      <c r="C47" s="451">
        <f>IF(C48*0.1&lt;C46,"Exceed 10% Rule","")</f>
      </c>
      <c r="D47" s="307">
        <f>IF(D48*0.1&lt;D46,"Exceed 10% Rule","")</f>
      </c>
      <c r="E47" s="307">
        <f>IF(E48*0.1&lt;E46,"Exceed 10% Rule","")</f>
      </c>
    </row>
    <row r="48" spans="2:5" ht="15.75">
      <c r="B48" s="308" t="s">
        <v>158</v>
      </c>
      <c r="C48" s="338">
        <f>SUM(C42:C46)</f>
        <v>0</v>
      </c>
      <c r="D48" s="338">
        <f>SUM(D42:D46)</f>
        <v>10400</v>
      </c>
      <c r="E48" s="338">
        <f>SUM(E42:E46)</f>
        <v>280094</v>
      </c>
    </row>
    <row r="49" spans="2:5" ht="15.75">
      <c r="B49" s="145" t="s">
        <v>263</v>
      </c>
      <c r="C49" s="117">
        <f>C40-C48</f>
        <v>190494</v>
      </c>
      <c r="D49" s="117">
        <f>D40-D48</f>
        <v>230094</v>
      </c>
      <c r="E49" s="117">
        <f>E40-E48</f>
        <v>0</v>
      </c>
    </row>
    <row r="50" spans="2:5" ht="15.75">
      <c r="B50" s="284" t="str">
        <f>CONCATENATE("",E$1-2,"/",E$1-1," Budget Authority Amount:")</f>
        <v>2011/2012 Budget Authority Amount:</v>
      </c>
      <c r="C50" s="276">
        <f>inputOth!B60</f>
        <v>308641</v>
      </c>
      <c r="D50" s="276">
        <f>inputPrYr!D48</f>
        <v>230494</v>
      </c>
      <c r="E50" s="449">
        <f>IF(E49&lt;0,"See Tab E","")</f>
      </c>
    </row>
    <row r="51" spans="2:5" ht="15.75">
      <c r="B51" s="284"/>
      <c r="C51" s="317">
        <f>IF(C48&gt;C50,"See Tab A","")</f>
      </c>
      <c r="D51" s="317">
        <f>IF(D48&gt;D50,"See Tab C","")</f>
      </c>
      <c r="E51" s="82"/>
    </row>
    <row r="52" spans="2:5" ht="15.75">
      <c r="B52" s="284"/>
      <c r="C52" s="317">
        <f>IF(C49&lt;0,"See Tab B","")</f>
      </c>
      <c r="D52" s="317">
        <f>IF(D49&lt;0,"See Tab D","")</f>
      </c>
      <c r="E52" s="82"/>
    </row>
    <row r="53" spans="2:5" ht="15.75">
      <c r="B53" s="82"/>
      <c r="C53" s="82"/>
      <c r="D53" s="82"/>
      <c r="E53" s="82"/>
    </row>
    <row r="54" spans="2:5" ht="15.75">
      <c r="B54" s="284"/>
      <c r="C54" s="692" t="s">
        <v>1056</v>
      </c>
      <c r="D54" s="82"/>
      <c r="E54" s="82"/>
    </row>
  </sheetData>
  <sheetProtection/>
  <conditionalFormatting sqref="C21">
    <cfRule type="cellIs" priority="3" dxfId="175" operator="greaterThan" stopIfTrue="1">
      <formula>$C$23*0.1</formula>
    </cfRule>
  </conditionalFormatting>
  <conditionalFormatting sqref="D21">
    <cfRule type="cellIs" priority="4" dxfId="175" operator="greaterThan" stopIfTrue="1">
      <formula>$D$23*0.1</formula>
    </cfRule>
  </conditionalFormatting>
  <conditionalFormatting sqref="E21">
    <cfRule type="cellIs" priority="5" dxfId="175" operator="greaterThan" stopIfTrue="1">
      <formula>$E$23*0.1</formula>
    </cfRule>
  </conditionalFormatting>
  <conditionalFormatting sqref="C12">
    <cfRule type="cellIs" priority="6" dxfId="175" operator="greaterThan" stopIfTrue="1">
      <formula>$C$14*0.1</formula>
    </cfRule>
  </conditionalFormatting>
  <conditionalFormatting sqref="D12">
    <cfRule type="cellIs" priority="7" dxfId="175" operator="greaterThan" stopIfTrue="1">
      <formula>$D$14*0.1</formula>
    </cfRule>
  </conditionalFormatting>
  <conditionalFormatting sqref="E12">
    <cfRule type="cellIs" priority="8" dxfId="175" operator="greaterThan" stopIfTrue="1">
      <formula>$E$14*0.1</formula>
    </cfRule>
  </conditionalFormatting>
  <conditionalFormatting sqref="C37">
    <cfRule type="cellIs" priority="9" dxfId="175" operator="greaterThan" stopIfTrue="1">
      <formula>$C$39*0.1</formula>
    </cfRule>
  </conditionalFormatting>
  <conditionalFormatting sqref="D37">
    <cfRule type="cellIs" priority="10" dxfId="175" operator="greaterThan" stopIfTrue="1">
      <formula>$D$39*0.1</formula>
    </cfRule>
  </conditionalFormatting>
  <conditionalFormatting sqref="E37">
    <cfRule type="cellIs" priority="11" dxfId="175" operator="greaterThan" stopIfTrue="1">
      <formula>$E$39*0.1</formula>
    </cfRule>
  </conditionalFormatting>
  <conditionalFormatting sqref="C46">
    <cfRule type="cellIs" priority="12" dxfId="175" operator="greaterThan" stopIfTrue="1">
      <formula>$C$48*0.1</formula>
    </cfRule>
  </conditionalFormatting>
  <conditionalFormatting sqref="D46">
    <cfRule type="cellIs" priority="13" dxfId="175" operator="greaterThan" stopIfTrue="1">
      <formula>$D$48*0.1</formula>
    </cfRule>
  </conditionalFormatting>
  <conditionalFormatting sqref="E46">
    <cfRule type="cellIs" priority="14" dxfId="175" operator="greaterThan" stopIfTrue="1">
      <formula>$E$48*0.1</formula>
    </cfRule>
  </conditionalFormatting>
  <conditionalFormatting sqref="E49 C49 E24 C24">
    <cfRule type="cellIs" priority="15" dxfId="1" operator="lessThan" stopIfTrue="1">
      <formula>0</formula>
    </cfRule>
  </conditionalFormatting>
  <conditionalFormatting sqref="D23">
    <cfRule type="cellIs" priority="16" dxfId="1" operator="greaterThan" stopIfTrue="1">
      <formula>$D$25</formula>
    </cfRule>
  </conditionalFormatting>
  <conditionalFormatting sqref="C23">
    <cfRule type="cellIs" priority="17" dxfId="1" operator="greaterThan" stopIfTrue="1">
      <formula>$C$25</formula>
    </cfRule>
  </conditionalFormatting>
  <conditionalFormatting sqref="D48">
    <cfRule type="cellIs" priority="18" dxfId="1" operator="greaterThan" stopIfTrue="1">
      <formula>$D$50</formula>
    </cfRule>
  </conditionalFormatting>
  <conditionalFormatting sqref="C48">
    <cfRule type="cellIs" priority="19" dxfId="1" operator="greaterThan" stopIfTrue="1">
      <formula>$C$50</formula>
    </cfRule>
  </conditionalFormatting>
  <conditionalFormatting sqref="D24">
    <cfRule type="cellIs" priority="2" dxfId="0" operator="lessThan" stopIfTrue="1">
      <formula>0</formula>
    </cfRule>
  </conditionalFormatting>
  <conditionalFormatting sqref="D49">
    <cfRule type="cellIs" priority="1" dxfId="0" operator="lessThan" stopIfTrue="1">
      <formula>0</formula>
    </cfRule>
  </conditionalFormatting>
  <printOptions/>
  <pageMargins left="0.81" right="0.5" top="0.74" bottom="0.34" header="0.5" footer="0"/>
  <pageSetup blackAndWhite="1" fitToHeight="1" fitToWidth="1" horizontalDpi="120" verticalDpi="120" orientation="portrait" scale="85" r:id="rId1"/>
  <headerFooter alignWithMargins="0">
    <oddHeader>&amp;RState of Kansas
County
</oddHeader>
  </headerFooter>
</worksheet>
</file>

<file path=xl/worksheets/sheet23.xml><?xml version="1.0" encoding="utf-8"?>
<worksheet xmlns="http://schemas.openxmlformats.org/spreadsheetml/2006/main" xmlns:r="http://schemas.openxmlformats.org/officeDocument/2006/relationships">
  <dimension ref="B1:E54"/>
  <sheetViews>
    <sheetView zoomScalePageLayoutView="0" workbookViewId="0" topLeftCell="A25">
      <selection activeCell="A29" sqref="A29:H37"/>
    </sheetView>
  </sheetViews>
  <sheetFormatPr defaultColWidth="8.796875" defaultRowHeight="15"/>
  <cols>
    <col min="1" max="1" width="2.3984375" style="69" customWidth="1"/>
    <col min="2" max="2" width="31.09765625" style="69" customWidth="1"/>
    <col min="3" max="4" width="15.796875" style="69" customWidth="1"/>
    <col min="5" max="5" width="16.09765625" style="69" customWidth="1"/>
    <col min="6" max="16384" width="8.8984375" style="69" customWidth="1"/>
  </cols>
  <sheetData>
    <row r="1" spans="2:5" ht="15.75">
      <c r="B1" s="224" t="str">
        <f>(inputPrYr!C2)</f>
        <v>Sheridan County</v>
      </c>
      <c r="C1" s="82"/>
      <c r="D1" s="82"/>
      <c r="E1" s="283">
        <f>inputPrYr!C4</f>
        <v>2013</v>
      </c>
    </row>
    <row r="2" spans="2:5" ht="15.75">
      <c r="B2" s="82"/>
      <c r="C2" s="82"/>
      <c r="D2" s="82"/>
      <c r="E2" s="236"/>
    </row>
    <row r="3" spans="2:5" ht="15.75">
      <c r="B3" s="149" t="s">
        <v>223</v>
      </c>
      <c r="C3" s="329"/>
      <c r="D3" s="329"/>
      <c r="E3" s="330"/>
    </row>
    <row r="4" spans="2:5" ht="15.75">
      <c r="B4" s="82"/>
      <c r="C4" s="323"/>
      <c r="D4" s="323"/>
      <c r="E4" s="323"/>
    </row>
    <row r="5" spans="2:5" ht="15.75">
      <c r="B5" s="81" t="s">
        <v>153</v>
      </c>
      <c r="C5" s="319" t="str">
        <f>general!C4</f>
        <v>Prior Year </v>
      </c>
      <c r="D5" s="211" t="str">
        <f>general!D4</f>
        <v>Current Year </v>
      </c>
      <c r="E5" s="211" t="str">
        <f>general!E4</f>
        <v>Proposed Budget </v>
      </c>
    </row>
    <row r="6" spans="2:5" ht="15.75">
      <c r="B6" s="454" t="str">
        <f>inputPrYr!B49</f>
        <v>911 Wireless</v>
      </c>
      <c r="C6" s="312" t="str">
        <f>general!C5</f>
        <v>Actual for 2011</v>
      </c>
      <c r="D6" s="312" t="str">
        <f>general!D5</f>
        <v>Estimate for 2012</v>
      </c>
      <c r="E6" s="299" t="str">
        <f>general!E5</f>
        <v>Year for 2013</v>
      </c>
    </row>
    <row r="7" spans="2:5" ht="15.75">
      <c r="B7" s="145" t="s">
        <v>262</v>
      </c>
      <c r="C7" s="109">
        <v>28220</v>
      </c>
      <c r="D7" s="262">
        <f>C24</f>
        <v>35333</v>
      </c>
      <c r="E7" s="262">
        <f>D24</f>
        <v>63345</v>
      </c>
    </row>
    <row r="8" spans="2:5" ht="15.75">
      <c r="B8" s="331" t="s">
        <v>264</v>
      </c>
      <c r="C8" s="105"/>
      <c r="D8" s="105"/>
      <c r="E8" s="105"/>
    </row>
    <row r="9" spans="2:5" ht="15.75">
      <c r="B9" s="314" t="s">
        <v>1014</v>
      </c>
      <c r="C9" s="109">
        <v>7086</v>
      </c>
      <c r="D9" s="109">
        <v>28000</v>
      </c>
      <c r="E9" s="109">
        <v>28000</v>
      </c>
    </row>
    <row r="10" spans="2:5" ht="15.75">
      <c r="B10" s="314" t="s">
        <v>936</v>
      </c>
      <c r="C10" s="109">
        <v>27</v>
      </c>
      <c r="D10" s="109">
        <v>12</v>
      </c>
      <c r="E10" s="109">
        <v>12</v>
      </c>
    </row>
    <row r="11" spans="2:5" ht="15.75">
      <c r="B11" s="314" t="s">
        <v>1015</v>
      </c>
      <c r="C11" s="109"/>
      <c r="D11" s="109"/>
      <c r="E11" s="109"/>
    </row>
    <row r="12" spans="2:5" ht="15.75">
      <c r="B12" s="305"/>
      <c r="C12" s="109"/>
      <c r="D12" s="109"/>
      <c r="E12" s="109"/>
    </row>
    <row r="13" spans="2:5" ht="15.75">
      <c r="B13" s="306" t="s">
        <v>69</v>
      </c>
      <c r="C13" s="109"/>
      <c r="D13" s="301"/>
      <c r="E13" s="301"/>
    </row>
    <row r="14" spans="2:5" ht="15.75">
      <c r="B14" s="306" t="s">
        <v>655</v>
      </c>
      <c r="C14" s="451">
        <f>IF(C15*0.1&lt;C13,"Exceed 10% Rule","")</f>
      </c>
      <c r="D14" s="307">
        <f>IF(D15*0.1&lt;D13,"Exceed 10% Rule","")</f>
      </c>
      <c r="E14" s="307">
        <f>IF(E15*0.1&lt;E13,"Exceed 10% Rule","")</f>
      </c>
    </row>
    <row r="15" spans="2:5" ht="15.75">
      <c r="B15" s="308" t="s">
        <v>154</v>
      </c>
      <c r="C15" s="338">
        <f>SUM(C9:C13)</f>
        <v>7113</v>
      </c>
      <c r="D15" s="338">
        <f>SUM(D9:D13)</f>
        <v>28012</v>
      </c>
      <c r="E15" s="338">
        <f>SUM(E9:E13)</f>
        <v>28012</v>
      </c>
    </row>
    <row r="16" spans="2:5" ht="15.75">
      <c r="B16" s="308" t="s">
        <v>155</v>
      </c>
      <c r="C16" s="338">
        <f>C15+C7</f>
        <v>35333</v>
      </c>
      <c r="D16" s="338">
        <f>D15+D7</f>
        <v>63345</v>
      </c>
      <c r="E16" s="338">
        <f>E15+E7</f>
        <v>91357</v>
      </c>
    </row>
    <row r="17" spans="2:5" ht="15.75">
      <c r="B17" s="145" t="s">
        <v>157</v>
      </c>
      <c r="C17" s="262"/>
      <c r="D17" s="262"/>
      <c r="E17" s="262"/>
    </row>
    <row r="18" spans="2:5" ht="15.75">
      <c r="B18" s="314" t="s">
        <v>966</v>
      </c>
      <c r="C18" s="109"/>
      <c r="D18" s="109"/>
      <c r="E18" s="109">
        <v>91357</v>
      </c>
    </row>
    <row r="19" spans="2:5" ht="15.75">
      <c r="B19" s="314"/>
      <c r="C19" s="109"/>
      <c r="D19" s="109"/>
      <c r="E19" s="109"/>
    </row>
    <row r="20" spans="2:5" ht="15.75">
      <c r="B20" s="314"/>
      <c r="C20" s="109"/>
      <c r="D20" s="109"/>
      <c r="E20" s="109"/>
    </row>
    <row r="21" spans="2:5" ht="15.75">
      <c r="B21" s="306" t="s">
        <v>69</v>
      </c>
      <c r="C21" s="109"/>
      <c r="D21" s="301"/>
      <c r="E21" s="301"/>
    </row>
    <row r="22" spans="2:5" ht="15.75">
      <c r="B22" s="306" t="s">
        <v>654</v>
      </c>
      <c r="C22" s="451">
        <f>IF(C23*0.1&lt;C21,"Exceed 10% Rule","")</f>
      </c>
      <c r="D22" s="307">
        <f>IF(D23*0.1&lt;D21,"Exceed 10% Rule","")</f>
      </c>
      <c r="E22" s="307">
        <f>IF(E23*0.1&lt;E21,"Exceed 10% Rule","")</f>
      </c>
    </row>
    <row r="23" spans="2:5" ht="15.75">
      <c r="B23" s="308" t="s">
        <v>158</v>
      </c>
      <c r="C23" s="338">
        <f>SUM(C18:C21)</f>
        <v>0</v>
      </c>
      <c r="D23" s="338">
        <f>SUM(D18:D21)</f>
        <v>0</v>
      </c>
      <c r="E23" s="338">
        <f>SUM(E18:E21)</f>
        <v>91357</v>
      </c>
    </row>
    <row r="24" spans="2:5" ht="15.75">
      <c r="B24" s="145" t="s">
        <v>263</v>
      </c>
      <c r="C24" s="117">
        <f>C16-C23</f>
        <v>35333</v>
      </c>
      <c r="D24" s="117">
        <f>D16-D23</f>
        <v>63345</v>
      </c>
      <c r="E24" s="117">
        <f>E16-E23</f>
        <v>0</v>
      </c>
    </row>
    <row r="25" spans="2:5" ht="15.75">
      <c r="B25" s="284" t="str">
        <f>CONCATENATE("",E$1-2,"/",E$1-1," Budget Authority Amount:")</f>
        <v>2011/2012 Budget Authority Amount:</v>
      </c>
      <c r="C25" s="276">
        <f>inputOth!B61</f>
        <v>71219</v>
      </c>
      <c r="D25" s="276">
        <f>inputPrYr!D49</f>
        <v>72741</v>
      </c>
      <c r="E25" s="450">
        <f>IF(E24&lt;0,"See Tab E","")</f>
      </c>
    </row>
    <row r="26" spans="2:5" ht="15.75">
      <c r="B26" s="284"/>
      <c r="C26" s="317">
        <f>IF(C23&gt;C25,"See Tab A","")</f>
      </c>
      <c r="D26" s="317">
        <f>IF(D23&gt;D25,"See Tab C","")</f>
      </c>
      <c r="E26" s="142"/>
    </row>
    <row r="27" spans="2:5" ht="15.75">
      <c r="B27" s="284"/>
      <c r="C27" s="317">
        <f>IF(C24&lt;0,"See Tab B","")</f>
      </c>
      <c r="D27" s="317">
        <f>IF(D24&lt;0,"See Tab D","")</f>
      </c>
      <c r="E27" s="142"/>
    </row>
    <row r="28" spans="2:5" ht="15.75">
      <c r="B28" s="82"/>
      <c r="C28" s="142"/>
      <c r="D28" s="142"/>
      <c r="E28" s="142"/>
    </row>
    <row r="29" spans="2:5" ht="15.75">
      <c r="B29" s="118"/>
      <c r="C29" s="695"/>
      <c r="D29" s="695"/>
      <c r="E29" s="695"/>
    </row>
    <row r="30" spans="2:5" ht="15.75">
      <c r="B30" s="85"/>
      <c r="C30" s="696"/>
      <c r="D30" s="697"/>
      <c r="E30" s="697"/>
    </row>
    <row r="31" spans="2:5" ht="15.75">
      <c r="B31" s="454"/>
      <c r="C31" s="698"/>
      <c r="D31" s="698"/>
      <c r="E31" s="698"/>
    </row>
    <row r="32" spans="2:5" ht="15.75">
      <c r="B32" s="118"/>
      <c r="C32" s="699"/>
      <c r="D32" s="120"/>
      <c r="E32" s="120"/>
    </row>
    <row r="33" spans="2:5" ht="15.75">
      <c r="B33" s="118"/>
      <c r="C33" s="85"/>
      <c r="D33" s="85"/>
      <c r="E33" s="85"/>
    </row>
    <row r="34" spans="2:5" ht="15.75">
      <c r="B34" s="700"/>
      <c r="C34" s="699"/>
      <c r="D34" s="699"/>
      <c r="E34" s="699"/>
    </row>
    <row r="35" spans="2:5" ht="15.75">
      <c r="B35" s="700"/>
      <c r="C35" s="699"/>
      <c r="D35" s="699"/>
      <c r="E35" s="699"/>
    </row>
    <row r="36" spans="2:5" ht="15.75">
      <c r="B36" s="700"/>
      <c r="C36" s="699"/>
      <c r="D36" s="699"/>
      <c r="E36" s="699"/>
    </row>
    <row r="37" spans="2:5" ht="15.75">
      <c r="B37" s="701"/>
      <c r="C37" s="699"/>
      <c r="D37" s="699"/>
      <c r="E37" s="699"/>
    </row>
    <row r="38" spans="2:5" ht="15.75">
      <c r="B38" s="85"/>
      <c r="C38" s="699"/>
      <c r="D38" s="699"/>
      <c r="E38" s="699"/>
    </row>
    <row r="39" spans="2:5" ht="15.75">
      <c r="B39" s="85"/>
      <c r="C39" s="702"/>
      <c r="D39" s="702"/>
      <c r="E39" s="702"/>
    </row>
    <row r="40" spans="2:5" ht="15.75">
      <c r="B40" s="703"/>
      <c r="C40" s="704"/>
      <c r="D40" s="704"/>
      <c r="E40" s="704"/>
    </row>
    <row r="41" spans="2:5" ht="15.75">
      <c r="B41" s="703"/>
      <c r="C41" s="704"/>
      <c r="D41" s="704"/>
      <c r="E41" s="704"/>
    </row>
    <row r="42" spans="2:5" ht="15.75">
      <c r="B42" s="118"/>
      <c r="C42" s="120"/>
      <c r="D42" s="120"/>
      <c r="E42" s="120"/>
    </row>
    <row r="43" spans="2:5" ht="15.75">
      <c r="B43" s="700"/>
      <c r="C43" s="699"/>
      <c r="D43" s="699"/>
      <c r="E43" s="699"/>
    </row>
    <row r="44" spans="2:5" ht="15.75">
      <c r="B44" s="700"/>
      <c r="C44" s="699"/>
      <c r="D44" s="699"/>
      <c r="E44" s="699"/>
    </row>
    <row r="45" spans="2:5" ht="15.75">
      <c r="B45" s="700"/>
      <c r="C45" s="699"/>
      <c r="D45" s="699"/>
      <c r="E45" s="699"/>
    </row>
    <row r="46" spans="2:5" ht="15.75">
      <c r="B46" s="700"/>
      <c r="C46" s="699"/>
      <c r="D46" s="699"/>
      <c r="E46" s="699"/>
    </row>
    <row r="47" spans="2:5" ht="15.75">
      <c r="B47" s="85"/>
      <c r="C47" s="699"/>
      <c r="D47" s="699"/>
      <c r="E47" s="699"/>
    </row>
    <row r="48" spans="2:5" ht="15.75">
      <c r="B48" s="85"/>
      <c r="C48" s="702"/>
      <c r="D48" s="702"/>
      <c r="E48" s="702"/>
    </row>
    <row r="49" spans="2:5" ht="15.75">
      <c r="B49" s="703"/>
      <c r="C49" s="704"/>
      <c r="D49" s="704"/>
      <c r="E49" s="704"/>
    </row>
    <row r="50" spans="2:5" ht="15.75">
      <c r="B50" s="118"/>
      <c r="C50" s="705"/>
      <c r="D50" s="705"/>
      <c r="E50" s="705"/>
    </row>
    <row r="51" spans="2:5" ht="15.75">
      <c r="B51" s="706"/>
      <c r="C51" s="707"/>
      <c r="D51" s="707"/>
      <c r="E51" s="708"/>
    </row>
    <row r="52" spans="2:5" ht="15.75">
      <c r="B52" s="706"/>
      <c r="C52" s="708"/>
      <c r="D52" s="708"/>
      <c r="E52" s="85"/>
    </row>
    <row r="53" spans="2:5" ht="15.75">
      <c r="B53" s="706"/>
      <c r="C53" s="708"/>
      <c r="D53" s="708"/>
      <c r="E53" s="85"/>
    </row>
    <row r="54" spans="2:5" ht="15.75">
      <c r="B54" s="284"/>
      <c r="C54" s="692" t="s">
        <v>1057</v>
      </c>
      <c r="D54" s="82"/>
      <c r="E54" s="82"/>
    </row>
  </sheetData>
  <sheetProtection/>
  <conditionalFormatting sqref="C21">
    <cfRule type="cellIs" priority="3" dxfId="175" operator="greaterThan" stopIfTrue="1">
      <formula>$C$23*0.1</formula>
    </cfRule>
  </conditionalFormatting>
  <conditionalFormatting sqref="D21">
    <cfRule type="cellIs" priority="4" dxfId="175" operator="greaterThan" stopIfTrue="1">
      <formula>$D$23*0.1</formula>
    </cfRule>
  </conditionalFormatting>
  <conditionalFormatting sqref="E21">
    <cfRule type="cellIs" priority="5" dxfId="175" operator="greaterThan" stopIfTrue="1">
      <formula>$E$23*0.1</formula>
    </cfRule>
  </conditionalFormatting>
  <conditionalFormatting sqref="C13">
    <cfRule type="cellIs" priority="6" dxfId="175" operator="greaterThan" stopIfTrue="1">
      <formula>$C$15*0.1</formula>
    </cfRule>
  </conditionalFormatting>
  <conditionalFormatting sqref="D13">
    <cfRule type="cellIs" priority="7" dxfId="175" operator="greaterThan" stopIfTrue="1">
      <formula>$D$15*0.1</formula>
    </cfRule>
  </conditionalFormatting>
  <conditionalFormatting sqref="E13">
    <cfRule type="cellIs" priority="8" dxfId="175" operator="greaterThan" stopIfTrue="1">
      <formula>$E$15*0.1</formula>
    </cfRule>
  </conditionalFormatting>
  <conditionalFormatting sqref="C38">
    <cfRule type="cellIs" priority="9" dxfId="175" operator="greaterThan" stopIfTrue="1">
      <formula>$C$40*0.1</formula>
    </cfRule>
  </conditionalFormatting>
  <conditionalFormatting sqref="D38">
    <cfRule type="cellIs" priority="10" dxfId="175" operator="greaterThan" stopIfTrue="1">
      <formula>$D$40*0.1</formula>
    </cfRule>
  </conditionalFormatting>
  <conditionalFormatting sqref="E38">
    <cfRule type="cellIs" priority="11" dxfId="175" operator="greaterThan" stopIfTrue="1">
      <formula>$E$40*0.1</formula>
    </cfRule>
  </conditionalFormatting>
  <conditionalFormatting sqref="C47">
    <cfRule type="cellIs" priority="12" dxfId="175" operator="greaterThan" stopIfTrue="1">
      <formula>$C$49*0.1</formula>
    </cfRule>
  </conditionalFormatting>
  <conditionalFormatting sqref="D47">
    <cfRule type="cellIs" priority="13" dxfId="175" operator="greaterThan" stopIfTrue="1">
      <formula>$D$49*0.1</formula>
    </cfRule>
  </conditionalFormatting>
  <conditionalFormatting sqref="E47">
    <cfRule type="cellIs" priority="14" dxfId="175" operator="greaterThan" stopIfTrue="1">
      <formula>$E$49*0.1</formula>
    </cfRule>
  </conditionalFormatting>
  <conditionalFormatting sqref="E50 C50 E24 C24">
    <cfRule type="cellIs" priority="15" dxfId="1" operator="lessThan" stopIfTrue="1">
      <formula>0</formula>
    </cfRule>
  </conditionalFormatting>
  <conditionalFormatting sqref="D23">
    <cfRule type="cellIs" priority="16" dxfId="1" operator="greaterThan" stopIfTrue="1">
      <formula>$D$25</formula>
    </cfRule>
  </conditionalFormatting>
  <conditionalFormatting sqref="C23">
    <cfRule type="cellIs" priority="17" dxfId="1" operator="greaterThan" stopIfTrue="1">
      <formula>$C$25</formula>
    </cfRule>
  </conditionalFormatting>
  <conditionalFormatting sqref="D49">
    <cfRule type="cellIs" priority="18" dxfId="1" operator="greaterThan" stopIfTrue="1">
      <formula>$D$51</formula>
    </cfRule>
  </conditionalFormatting>
  <conditionalFormatting sqref="C49">
    <cfRule type="cellIs" priority="19" dxfId="1" operator="greaterThan" stopIfTrue="1">
      <formula>$C$51</formula>
    </cfRule>
  </conditionalFormatting>
  <conditionalFormatting sqref="D50 D24">
    <cfRule type="cellIs" priority="2" dxfId="0" operator="lessThan" stopIfTrue="1">
      <formula>0</formula>
    </cfRule>
  </conditionalFormatting>
  <printOptions/>
  <pageMargins left="0.92" right="0.5" top="0.74" bottom="0.34" header="0.41" footer="0"/>
  <pageSetup blackAndWhite="1" horizontalDpi="120" verticalDpi="120" orientation="portrait" scale="85" r:id="rId1"/>
  <headerFooter alignWithMargins="0">
    <oddHeader>&amp;RState of Kansas
County
</oddHeader>
  </headerFooter>
</worksheet>
</file>

<file path=xl/worksheets/sheet24.xml><?xml version="1.0" encoding="utf-8"?>
<worksheet xmlns="http://schemas.openxmlformats.org/spreadsheetml/2006/main" xmlns:r="http://schemas.openxmlformats.org/officeDocument/2006/relationships">
  <dimension ref="A1:L42"/>
  <sheetViews>
    <sheetView view="pageBreakPreview" zoomScale="60" zoomScalePageLayoutView="0" workbookViewId="0" topLeftCell="A1">
      <selection activeCell="A29" sqref="A29:H37"/>
    </sheetView>
  </sheetViews>
  <sheetFormatPr defaultColWidth="8.796875" defaultRowHeight="15"/>
  <cols>
    <col min="1" max="1" width="11.59765625" style="69" customWidth="1"/>
    <col min="2" max="2" width="7.3984375" style="69" customWidth="1"/>
    <col min="3" max="3" width="11.59765625" style="69" customWidth="1"/>
    <col min="4" max="4" width="7.3984375" style="69" customWidth="1"/>
    <col min="5" max="5" width="11.59765625" style="69" customWidth="1"/>
    <col min="6" max="6" width="7.3984375" style="69" customWidth="1"/>
    <col min="7" max="7" width="11.59765625" style="69" customWidth="1"/>
    <col min="8" max="8" width="7.3984375" style="69" customWidth="1"/>
    <col min="9" max="9" width="11.59765625" style="69" customWidth="1"/>
    <col min="10" max="11" width="8.8984375" style="69" customWidth="1"/>
    <col min="12" max="12" width="2.796875" style="69" customWidth="1"/>
    <col min="13" max="16384" width="8.8984375" style="69" customWidth="1"/>
  </cols>
  <sheetData>
    <row r="1" spans="1:11" ht="15.75">
      <c r="A1" s="141" t="str">
        <f>inputPrYr!$C$2</f>
        <v>Sheridan County</v>
      </c>
      <c r="B1" s="341"/>
      <c r="C1" s="122"/>
      <c r="D1" s="122"/>
      <c r="E1" s="122"/>
      <c r="F1" s="342" t="s">
        <v>11</v>
      </c>
      <c r="G1" s="122"/>
      <c r="H1" s="122"/>
      <c r="I1" s="122"/>
      <c r="J1" s="122"/>
      <c r="K1" s="122">
        <f>inputPrYr!$C$4</f>
        <v>2013</v>
      </c>
    </row>
    <row r="2" spans="1:11" ht="15.75">
      <c r="A2" s="122"/>
      <c r="B2" s="122"/>
      <c r="C2" s="122"/>
      <c r="D2" s="122"/>
      <c r="E2" s="122"/>
      <c r="F2" s="343" t="str">
        <f>CONCATENATE("(Only the actual budget year for ",K1-2," is to be shown)")</f>
        <v>(Only the actual budget year for 2011 is to be shown)</v>
      </c>
      <c r="G2" s="122"/>
      <c r="H2" s="122"/>
      <c r="I2" s="122"/>
      <c r="J2" s="122"/>
      <c r="K2" s="122"/>
    </row>
    <row r="3" spans="1:11" ht="15.75">
      <c r="A3" s="122" t="s">
        <v>12</v>
      </c>
      <c r="B3" s="122"/>
      <c r="C3" s="122"/>
      <c r="D3" s="122"/>
      <c r="E3" s="122"/>
      <c r="F3" s="341"/>
      <c r="G3" s="122"/>
      <c r="H3" s="122"/>
      <c r="I3" s="122"/>
      <c r="J3" s="122"/>
      <c r="K3" s="122"/>
    </row>
    <row r="4" spans="1:11" ht="15.75">
      <c r="A4" s="122" t="s">
        <v>13</v>
      </c>
      <c r="B4" s="122"/>
      <c r="C4" s="122" t="s">
        <v>14</v>
      </c>
      <c r="D4" s="122"/>
      <c r="E4" s="122" t="s">
        <v>15</v>
      </c>
      <c r="F4" s="341"/>
      <c r="G4" s="122" t="s">
        <v>16</v>
      </c>
      <c r="H4" s="122"/>
      <c r="I4" s="122" t="s">
        <v>17</v>
      </c>
      <c r="J4" s="122"/>
      <c r="K4" s="122"/>
    </row>
    <row r="5" spans="1:11" ht="15.75">
      <c r="A5" s="782" t="str">
        <f>IF(inputPrYr!B62&gt;" ",(inputPrYr!B62)," ")</f>
        <v>Special Hwy Improvement</v>
      </c>
      <c r="B5" s="783"/>
      <c r="C5" s="782" t="str">
        <f>IF(inputPrYr!B63&gt;" ",(inputPrYr!B63)," ")</f>
        <v>Special Machinery</v>
      </c>
      <c r="D5" s="783"/>
      <c r="E5" s="782" t="str">
        <f>IF(inputPrYr!B64&gt;" ",(inputPrYr!B64)," ")</f>
        <v>Public Transportation Van</v>
      </c>
      <c r="F5" s="783"/>
      <c r="G5" s="782" t="str">
        <f>IF(inputPrYr!B65&gt;" ",(inputPrYr!B65)," ")</f>
        <v>Capital Project</v>
      </c>
      <c r="H5" s="783"/>
      <c r="I5" s="782" t="str">
        <f>IF(inputPrYr!B66&gt;" ",(inputPrYr!B66)," ")</f>
        <v>Special Motor Vehicle</v>
      </c>
      <c r="J5" s="783"/>
      <c r="K5" s="345"/>
    </row>
    <row r="6" spans="1:11" ht="15.75">
      <c r="A6" s="346" t="s">
        <v>18</v>
      </c>
      <c r="B6" s="347"/>
      <c r="C6" s="348" t="s">
        <v>18</v>
      </c>
      <c r="D6" s="349"/>
      <c r="E6" s="348" t="s">
        <v>18</v>
      </c>
      <c r="F6" s="344"/>
      <c r="G6" s="348" t="s">
        <v>18</v>
      </c>
      <c r="H6" s="350"/>
      <c r="I6" s="348" t="s">
        <v>18</v>
      </c>
      <c r="J6" s="122"/>
      <c r="K6" s="351" t="s">
        <v>124</v>
      </c>
    </row>
    <row r="7" spans="1:11" ht="15.75">
      <c r="A7" s="352" t="s">
        <v>78</v>
      </c>
      <c r="B7" s="353">
        <v>299087</v>
      </c>
      <c r="C7" s="354" t="s">
        <v>78</v>
      </c>
      <c r="D7" s="353">
        <v>172673</v>
      </c>
      <c r="E7" s="354" t="s">
        <v>78</v>
      </c>
      <c r="F7" s="353">
        <v>2288</v>
      </c>
      <c r="G7" s="354" t="s">
        <v>78</v>
      </c>
      <c r="H7" s="353">
        <v>53001</v>
      </c>
      <c r="I7" s="354" t="s">
        <v>78</v>
      </c>
      <c r="J7" s="353">
        <v>0</v>
      </c>
      <c r="K7" s="355">
        <f>SUM(B7+D7+F7+H7+J7)</f>
        <v>527049</v>
      </c>
    </row>
    <row r="8" spans="1:11" ht="15.75">
      <c r="A8" s="356" t="s">
        <v>264</v>
      </c>
      <c r="B8" s="357"/>
      <c r="C8" s="356" t="s">
        <v>264</v>
      </c>
      <c r="D8" s="358"/>
      <c r="E8" s="356" t="s">
        <v>264</v>
      </c>
      <c r="F8" s="341"/>
      <c r="G8" s="356" t="s">
        <v>264</v>
      </c>
      <c r="H8" s="122"/>
      <c r="I8" s="356" t="s">
        <v>264</v>
      </c>
      <c r="J8" s="122"/>
      <c r="K8" s="341"/>
    </row>
    <row r="9" spans="1:11" ht="15.75">
      <c r="A9" s="359" t="s">
        <v>1016</v>
      </c>
      <c r="B9" s="353">
        <v>175000</v>
      </c>
      <c r="C9" s="359" t="s">
        <v>1016</v>
      </c>
      <c r="D9" s="353">
        <v>300000</v>
      </c>
      <c r="E9" s="359" t="s">
        <v>1018</v>
      </c>
      <c r="F9" s="353">
        <v>6021</v>
      </c>
      <c r="G9" s="359" t="s">
        <v>1020</v>
      </c>
      <c r="H9" s="353"/>
      <c r="I9" s="359" t="s">
        <v>1021</v>
      </c>
      <c r="J9" s="353"/>
      <c r="K9" s="341"/>
    </row>
    <row r="10" spans="1:11" ht="15.75">
      <c r="A10" s="359"/>
      <c r="B10" s="353"/>
      <c r="C10" s="359" t="s">
        <v>1017</v>
      </c>
      <c r="D10" s="353"/>
      <c r="E10" s="359" t="s">
        <v>1019</v>
      </c>
      <c r="F10" s="353">
        <v>13246</v>
      </c>
      <c r="G10" s="359"/>
      <c r="H10" s="353"/>
      <c r="I10" s="359" t="s">
        <v>69</v>
      </c>
      <c r="J10" s="353"/>
      <c r="K10" s="341"/>
    </row>
    <row r="11" spans="1:11" ht="15.75">
      <c r="A11" s="359"/>
      <c r="B11" s="353"/>
      <c r="C11" s="360"/>
      <c r="D11" s="353"/>
      <c r="E11" s="360"/>
      <c r="F11" s="353"/>
      <c r="G11" s="360"/>
      <c r="H11" s="353"/>
      <c r="I11" s="361" t="s">
        <v>1022</v>
      </c>
      <c r="J11" s="353">
        <v>212</v>
      </c>
      <c r="K11" s="341"/>
    </row>
    <row r="12" spans="1:11" ht="15.75">
      <c r="A12" s="359"/>
      <c r="B12" s="353"/>
      <c r="C12" s="359"/>
      <c r="D12" s="353"/>
      <c r="E12" s="362"/>
      <c r="F12" s="353"/>
      <c r="G12" s="362"/>
      <c r="H12" s="353"/>
      <c r="I12" s="362" t="s">
        <v>1023</v>
      </c>
      <c r="J12" s="353">
        <v>34773</v>
      </c>
      <c r="K12" s="341"/>
    </row>
    <row r="13" spans="1:11" ht="15.75">
      <c r="A13" s="363"/>
      <c r="B13" s="353"/>
      <c r="C13" s="364"/>
      <c r="D13" s="353"/>
      <c r="E13" s="364"/>
      <c r="F13" s="353"/>
      <c r="G13" s="364"/>
      <c r="H13" s="353"/>
      <c r="I13" s="361" t="s">
        <v>1020</v>
      </c>
      <c r="J13" s="353">
        <v>350</v>
      </c>
      <c r="K13" s="341"/>
    </row>
    <row r="14" spans="1:11" ht="15.75">
      <c r="A14" s="359"/>
      <c r="B14" s="353"/>
      <c r="C14" s="362"/>
      <c r="D14" s="353"/>
      <c r="E14" s="362"/>
      <c r="F14" s="353"/>
      <c r="G14" s="362"/>
      <c r="H14" s="353"/>
      <c r="I14" s="362" t="s">
        <v>1024</v>
      </c>
      <c r="J14" s="353">
        <v>487</v>
      </c>
      <c r="K14" s="341"/>
    </row>
    <row r="15" spans="1:11" ht="15.75">
      <c r="A15" s="359"/>
      <c r="B15" s="353"/>
      <c r="C15" s="362"/>
      <c r="D15" s="353"/>
      <c r="E15" s="362"/>
      <c r="F15" s="353"/>
      <c r="G15" s="362"/>
      <c r="H15" s="353"/>
      <c r="I15" s="362"/>
      <c r="J15" s="353"/>
      <c r="K15" s="341"/>
    </row>
    <row r="16" spans="1:11" ht="15.75">
      <c r="A16" s="359"/>
      <c r="B16" s="353"/>
      <c r="C16" s="359"/>
      <c r="D16" s="353"/>
      <c r="E16" s="359"/>
      <c r="F16" s="353"/>
      <c r="G16" s="362"/>
      <c r="H16" s="353"/>
      <c r="I16" s="359"/>
      <c r="J16" s="353"/>
      <c r="K16" s="341"/>
    </row>
    <row r="17" spans="1:11" ht="15.75">
      <c r="A17" s="356" t="s">
        <v>154</v>
      </c>
      <c r="B17" s="365">
        <f>SUM(B9:B16)</f>
        <v>175000</v>
      </c>
      <c r="C17" s="356" t="s">
        <v>154</v>
      </c>
      <c r="D17" s="355">
        <f>SUM(D9:D16)</f>
        <v>300000</v>
      </c>
      <c r="E17" s="356" t="s">
        <v>154</v>
      </c>
      <c r="F17" s="430">
        <f>SUM(F9:F16)</f>
        <v>19267</v>
      </c>
      <c r="G17" s="356" t="s">
        <v>154</v>
      </c>
      <c r="H17" s="355">
        <f>SUM(H9:H16)</f>
        <v>0</v>
      </c>
      <c r="I17" s="356" t="s">
        <v>154</v>
      </c>
      <c r="J17" s="355">
        <f>SUM(J9:J16)</f>
        <v>35822</v>
      </c>
      <c r="K17" s="355">
        <f>SUM(B17+D17+F17+H17+J17)</f>
        <v>530089</v>
      </c>
    </row>
    <row r="18" spans="1:11" ht="15.75">
      <c r="A18" s="356" t="s">
        <v>155</v>
      </c>
      <c r="B18" s="365">
        <f>SUM(B7+B17)</f>
        <v>474087</v>
      </c>
      <c r="C18" s="356" t="s">
        <v>155</v>
      </c>
      <c r="D18" s="355">
        <f>SUM(D7+D17)</f>
        <v>472673</v>
      </c>
      <c r="E18" s="356" t="s">
        <v>155</v>
      </c>
      <c r="F18" s="355">
        <f>SUM(F7+F17)</f>
        <v>21555</v>
      </c>
      <c r="G18" s="356" t="s">
        <v>155</v>
      </c>
      <c r="H18" s="355">
        <f>SUM(H7+H17)</f>
        <v>53001</v>
      </c>
      <c r="I18" s="356" t="s">
        <v>155</v>
      </c>
      <c r="J18" s="355">
        <f>SUM(J7+J17)</f>
        <v>35822</v>
      </c>
      <c r="K18" s="355">
        <f>SUM(B18+D18+F18+H18+J18)</f>
        <v>1057138</v>
      </c>
    </row>
    <row r="19" spans="1:11" ht="15.75">
      <c r="A19" s="356" t="s">
        <v>157</v>
      </c>
      <c r="B19" s="357"/>
      <c r="C19" s="356" t="s">
        <v>157</v>
      </c>
      <c r="D19" s="358"/>
      <c r="E19" s="356" t="s">
        <v>157</v>
      </c>
      <c r="F19" s="341"/>
      <c r="G19" s="356" t="s">
        <v>157</v>
      </c>
      <c r="H19" s="122"/>
      <c r="I19" s="356" t="s">
        <v>157</v>
      </c>
      <c r="J19" s="122"/>
      <c r="K19" s="341"/>
    </row>
    <row r="20" spans="1:11" ht="15.75">
      <c r="A20" s="359" t="s">
        <v>1025</v>
      </c>
      <c r="B20" s="353"/>
      <c r="C20" s="362" t="s">
        <v>1026</v>
      </c>
      <c r="D20" s="353"/>
      <c r="E20" s="362" t="s">
        <v>1028</v>
      </c>
      <c r="F20" s="353">
        <v>6506</v>
      </c>
      <c r="G20" s="362" t="s">
        <v>1029</v>
      </c>
      <c r="H20" s="353">
        <v>50031</v>
      </c>
      <c r="I20" s="362" t="s">
        <v>1028</v>
      </c>
      <c r="J20" s="353">
        <v>15181</v>
      </c>
      <c r="K20" s="341"/>
    </row>
    <row r="21" spans="1:11" ht="15.75">
      <c r="A21" s="359" t="s">
        <v>1026</v>
      </c>
      <c r="B21" s="353">
        <v>217712</v>
      </c>
      <c r="C21" s="362" t="s">
        <v>1027</v>
      </c>
      <c r="D21" s="353">
        <v>100350</v>
      </c>
      <c r="E21" s="362" t="s">
        <v>1029</v>
      </c>
      <c r="F21" s="353">
        <v>11552</v>
      </c>
      <c r="G21" s="362"/>
      <c r="H21" s="353"/>
      <c r="I21" s="362" t="s">
        <v>1029</v>
      </c>
      <c r="J21" s="353">
        <v>10297</v>
      </c>
      <c r="K21" s="341"/>
    </row>
    <row r="22" spans="1:11" ht="15.75">
      <c r="A22" s="359" t="s">
        <v>1027</v>
      </c>
      <c r="B22" s="353"/>
      <c r="C22" s="364"/>
      <c r="D22" s="353"/>
      <c r="E22" s="364"/>
      <c r="F22" s="353"/>
      <c r="G22" s="364"/>
      <c r="H22" s="353"/>
      <c r="I22" s="361" t="s">
        <v>1030</v>
      </c>
      <c r="J22" s="353">
        <v>10344</v>
      </c>
      <c r="K22" s="341"/>
    </row>
    <row r="23" spans="1:11" ht="15.75">
      <c r="A23" s="359"/>
      <c r="B23" s="353"/>
      <c r="C23" s="362"/>
      <c r="D23" s="353"/>
      <c r="E23" s="362"/>
      <c r="F23" s="353"/>
      <c r="G23" s="362"/>
      <c r="H23" s="353"/>
      <c r="I23" s="362"/>
      <c r="J23" s="353"/>
      <c r="K23" s="341"/>
    </row>
    <row r="24" spans="1:11" ht="15.75">
      <c r="A24" s="359"/>
      <c r="B24" s="353"/>
      <c r="C24" s="364"/>
      <c r="D24" s="353"/>
      <c r="E24" s="364"/>
      <c r="F24" s="353"/>
      <c r="G24" s="364"/>
      <c r="H24" s="353"/>
      <c r="I24" s="361"/>
      <c r="J24" s="353"/>
      <c r="K24" s="341"/>
    </row>
    <row r="25" spans="1:11" ht="15.75">
      <c r="A25" s="359"/>
      <c r="B25" s="353"/>
      <c r="C25" s="362"/>
      <c r="D25" s="353"/>
      <c r="E25" s="362"/>
      <c r="F25" s="353"/>
      <c r="G25" s="362"/>
      <c r="H25" s="353"/>
      <c r="I25" s="362"/>
      <c r="J25" s="353"/>
      <c r="K25" s="341"/>
    </row>
    <row r="26" spans="1:11" ht="15.75">
      <c r="A26" s="359"/>
      <c r="B26" s="353"/>
      <c r="C26" s="362"/>
      <c r="D26" s="353"/>
      <c r="E26" s="362"/>
      <c r="F26" s="353"/>
      <c r="G26" s="362"/>
      <c r="H26" s="353"/>
      <c r="I26" s="362"/>
      <c r="J26" s="353"/>
      <c r="K26" s="341"/>
    </row>
    <row r="27" spans="1:11" ht="15.75">
      <c r="A27" s="359"/>
      <c r="B27" s="353"/>
      <c r="C27" s="359"/>
      <c r="D27" s="353"/>
      <c r="E27" s="359"/>
      <c r="F27" s="353"/>
      <c r="G27" s="362"/>
      <c r="H27" s="353"/>
      <c r="I27" s="362"/>
      <c r="J27" s="353"/>
      <c r="K27" s="341"/>
    </row>
    <row r="28" spans="1:11" ht="15.75">
      <c r="A28" s="356" t="s">
        <v>158</v>
      </c>
      <c r="B28" s="355">
        <f>SUM(B20:B27)</f>
        <v>217712</v>
      </c>
      <c r="C28" s="356" t="s">
        <v>158</v>
      </c>
      <c r="D28" s="355">
        <f>SUM(D20:D27)</f>
        <v>100350</v>
      </c>
      <c r="E28" s="356" t="s">
        <v>158</v>
      </c>
      <c r="F28" s="430">
        <f>SUM(F20:F27)</f>
        <v>18058</v>
      </c>
      <c r="G28" s="356" t="s">
        <v>158</v>
      </c>
      <c r="H28" s="430">
        <f>SUM(H20:H27)</f>
        <v>50031</v>
      </c>
      <c r="I28" s="356" t="s">
        <v>158</v>
      </c>
      <c r="J28" s="355">
        <f>SUM(J20:J27)</f>
        <v>35822</v>
      </c>
      <c r="K28" s="355">
        <f>SUM(B28+D28+F28+H28+J28)</f>
        <v>421973</v>
      </c>
    </row>
    <row r="29" spans="1:12" ht="15.75">
      <c r="A29" s="356" t="s">
        <v>19</v>
      </c>
      <c r="B29" s="355">
        <f>B18-B28</f>
        <v>256375</v>
      </c>
      <c r="C29" s="356" t="s">
        <v>19</v>
      </c>
      <c r="D29" s="355">
        <f>D18-D28</f>
        <v>372323</v>
      </c>
      <c r="E29" s="356" t="s">
        <v>19</v>
      </c>
      <c r="F29" s="355">
        <f>F18-F28</f>
        <v>3497</v>
      </c>
      <c r="G29" s="356" t="s">
        <v>19</v>
      </c>
      <c r="H29" s="355">
        <f>H18-H28</f>
        <v>2970</v>
      </c>
      <c r="I29" s="356" t="s">
        <v>19</v>
      </c>
      <c r="J29" s="355">
        <f>J18-J28</f>
        <v>0</v>
      </c>
      <c r="K29" s="366">
        <f>SUM(B29+D29+F29+H29+J29)</f>
        <v>635165</v>
      </c>
      <c r="L29" s="69" t="s">
        <v>57</v>
      </c>
    </row>
    <row r="30" spans="1:12" ht="15.75">
      <c r="A30" s="356"/>
      <c r="B30" s="396">
        <f>IF(B29&lt;0,"See Tab B","")</f>
      </c>
      <c r="C30" s="356"/>
      <c r="D30" s="396">
        <f>IF(D29&lt;0,"See Tab B","")</f>
      </c>
      <c r="E30" s="356"/>
      <c r="F30" s="396">
        <f>IF(F29&lt;0,"See Tab B","")</f>
      </c>
      <c r="G30" s="122"/>
      <c r="H30" s="396">
        <f>IF(H29&lt;0,"See Tab B","")</f>
      </c>
      <c r="I30" s="122"/>
      <c r="J30" s="396">
        <f>IF(J29&lt;0,"See Tab B","")</f>
      </c>
      <c r="K30" s="366">
        <f>SUM(K7+K17-K28)</f>
        <v>635165</v>
      </c>
      <c r="L30" s="69" t="s">
        <v>57</v>
      </c>
    </row>
    <row r="31" spans="1:11" ht="15.75">
      <c r="A31" s="122"/>
      <c r="B31" s="367"/>
      <c r="C31" s="122"/>
      <c r="D31" s="341"/>
      <c r="E31" s="122"/>
      <c r="F31" s="122"/>
      <c r="G31" s="79" t="s">
        <v>58</v>
      </c>
      <c r="H31" s="79"/>
      <c r="I31" s="79"/>
      <c r="J31" s="79"/>
      <c r="K31" s="122"/>
    </row>
    <row r="32" spans="1:11" ht="15.75">
      <c r="A32" s="122"/>
      <c r="B32" s="367"/>
      <c r="C32" s="122"/>
      <c r="D32" s="122"/>
      <c r="E32" s="122"/>
      <c r="F32" s="122"/>
      <c r="G32" s="122"/>
      <c r="H32" s="122"/>
      <c r="I32" s="122"/>
      <c r="J32" s="122"/>
      <c r="K32" s="122"/>
    </row>
    <row r="33" spans="1:11" ht="15.75">
      <c r="A33" s="122"/>
      <c r="B33" s="367"/>
      <c r="C33" s="122"/>
      <c r="D33" s="122"/>
      <c r="E33" s="122"/>
      <c r="F33" s="122"/>
      <c r="G33" s="122"/>
      <c r="H33" s="122"/>
      <c r="I33" s="122"/>
      <c r="J33" s="122"/>
      <c r="K33" s="122"/>
    </row>
    <row r="34" spans="1:11" ht="15.75">
      <c r="A34" s="122"/>
      <c r="B34" s="367"/>
      <c r="C34" s="122"/>
      <c r="D34" s="122"/>
      <c r="E34" s="318" t="s">
        <v>177</v>
      </c>
      <c r="F34" s="335">
        <v>17</v>
      </c>
      <c r="G34" s="122"/>
      <c r="H34" s="122"/>
      <c r="I34" s="122"/>
      <c r="J34" s="122"/>
      <c r="K34" s="122"/>
    </row>
    <row r="35" ht="15.75">
      <c r="B35" s="368"/>
    </row>
    <row r="36" ht="15.75">
      <c r="B36" s="368"/>
    </row>
    <row r="37" ht="15.75">
      <c r="B37" s="368"/>
    </row>
    <row r="38" ht="15.75">
      <c r="B38" s="368"/>
    </row>
    <row r="39" ht="15.75">
      <c r="B39" s="368"/>
    </row>
    <row r="40" ht="15.75">
      <c r="B40" s="368"/>
    </row>
    <row r="41" ht="15.75">
      <c r="B41" s="368"/>
    </row>
    <row r="42" ht="15.75">
      <c r="B42" s="368"/>
    </row>
  </sheetData>
  <sheetProtection/>
  <mergeCells count="5">
    <mergeCell ref="I5:J5"/>
    <mergeCell ref="A5:B5"/>
    <mergeCell ref="C5:D5"/>
    <mergeCell ref="E5:F5"/>
    <mergeCell ref="G5:H5"/>
  </mergeCells>
  <printOptions/>
  <pageMargins left="0.75" right="0.75" top="1" bottom="0.58" header="0.5" footer="0.5"/>
  <pageSetup blackAndWhite="1" horizontalDpi="600" verticalDpi="600" orientation="landscape" scale="90" r:id="rId1"/>
  <headerFooter alignWithMargins="0">
    <oddHeader>&amp;RState of Kansas
County</oddHeader>
  </headerFooter>
</worksheet>
</file>

<file path=xl/worksheets/sheet25.xml><?xml version="1.0" encoding="utf-8"?>
<worksheet xmlns="http://schemas.openxmlformats.org/spreadsheetml/2006/main" xmlns:r="http://schemas.openxmlformats.org/officeDocument/2006/relationships">
  <dimension ref="A1:L43"/>
  <sheetViews>
    <sheetView view="pageBreakPreview" zoomScale="60" zoomScalePageLayoutView="0" workbookViewId="0" topLeftCell="A1">
      <selection activeCell="A29" sqref="A29:H37"/>
    </sheetView>
  </sheetViews>
  <sheetFormatPr defaultColWidth="8.796875" defaultRowHeight="15"/>
  <cols>
    <col min="1" max="1" width="11.59765625" style="69" customWidth="1"/>
    <col min="2" max="2" width="7.3984375" style="69" customWidth="1"/>
    <col min="3" max="3" width="11.59765625" style="69" customWidth="1"/>
    <col min="4" max="4" width="7.3984375" style="69" customWidth="1"/>
    <col min="5" max="5" width="11.59765625" style="69" customWidth="1"/>
    <col min="6" max="6" width="7.3984375" style="69" customWidth="1"/>
    <col min="7" max="7" width="11.59765625" style="69" customWidth="1"/>
    <col min="8" max="8" width="7.3984375" style="69" customWidth="1"/>
    <col min="9" max="9" width="11.59765625" style="69" customWidth="1"/>
    <col min="10" max="16384" width="8.8984375" style="69" customWidth="1"/>
  </cols>
  <sheetData>
    <row r="1" spans="1:11" ht="15.75">
      <c r="A1" s="141" t="str">
        <f>inputPrYr!$C$2</f>
        <v>Sheridan County</v>
      </c>
      <c r="B1" s="341"/>
      <c r="C1" s="122"/>
      <c r="D1" s="122"/>
      <c r="E1" s="122"/>
      <c r="F1" s="342" t="s">
        <v>20</v>
      </c>
      <c r="G1" s="122"/>
      <c r="H1" s="122"/>
      <c r="I1" s="122"/>
      <c r="J1" s="122"/>
      <c r="K1" s="122">
        <f>inputPrYr!$C$4</f>
        <v>2013</v>
      </c>
    </row>
    <row r="2" spans="1:11" ht="15.75">
      <c r="A2" s="122"/>
      <c r="B2" s="122"/>
      <c r="C2" s="122"/>
      <c r="D2" s="122"/>
      <c r="E2" s="122"/>
      <c r="F2" s="343" t="str">
        <f>CONCATENATE("(Only the actual budget year for ",K1-2," is to be shown)")</f>
        <v>(Only the actual budget year for 2011 is to be shown)</v>
      </c>
      <c r="G2" s="122"/>
      <c r="H2" s="122"/>
      <c r="I2" s="122"/>
      <c r="J2" s="122"/>
      <c r="K2" s="122"/>
    </row>
    <row r="3" spans="1:11" ht="15.75">
      <c r="A3" s="122" t="s">
        <v>21</v>
      </c>
      <c r="B3" s="122"/>
      <c r="C3" s="122"/>
      <c r="D3" s="122"/>
      <c r="E3" s="122"/>
      <c r="F3" s="341"/>
      <c r="G3" s="122"/>
      <c r="H3" s="122"/>
      <c r="I3" s="122"/>
      <c r="J3" s="122"/>
      <c r="K3" s="122"/>
    </row>
    <row r="4" spans="1:11" ht="15.75">
      <c r="A4" s="122" t="s">
        <v>13</v>
      </c>
      <c r="B4" s="122"/>
      <c r="C4" s="122" t="s">
        <v>14</v>
      </c>
      <c r="D4" s="122"/>
      <c r="E4" s="122" t="s">
        <v>15</v>
      </c>
      <c r="F4" s="341"/>
      <c r="G4" s="122" t="s">
        <v>16</v>
      </c>
      <c r="H4" s="122"/>
      <c r="I4" s="122" t="s">
        <v>17</v>
      </c>
      <c r="J4" s="122"/>
      <c r="K4" s="122"/>
    </row>
    <row r="5" spans="1:11" ht="15.75">
      <c r="A5" s="782" t="str">
        <f>IF(inputPrYr!B68&gt;" ",(inputPrYr!B68)," ")</f>
        <v>VIN</v>
      </c>
      <c r="B5" s="783"/>
      <c r="C5" s="782" t="str">
        <f>IF(inputPrYr!B69&gt;" ",(inputPrYr!B69)," ")</f>
        <v>Prosecuting Attorney Tr.</v>
      </c>
      <c r="D5" s="783"/>
      <c r="E5" s="782" t="str">
        <f>IF(inputPrYr!B70&gt;" ",(inputPrYr!B70)," ")</f>
        <v>CDBG (Micro-Loan)</v>
      </c>
      <c r="F5" s="783"/>
      <c r="G5" s="782" t="str">
        <f>IF(inputPrYr!B71&gt;" ",(inputPrYr!B71)," ")</f>
        <v>Recycling Grant</v>
      </c>
      <c r="H5" s="783"/>
      <c r="I5" s="782" t="str">
        <f>IF(inputPrYr!B72&gt;" ",(inputPrYr!B72)," ")</f>
        <v>Special Technology</v>
      </c>
      <c r="J5" s="783"/>
      <c r="K5" s="345"/>
    </row>
    <row r="6" spans="1:11" ht="15.75">
      <c r="A6" s="346" t="s">
        <v>18</v>
      </c>
      <c r="B6" s="347"/>
      <c r="C6" s="348" t="s">
        <v>18</v>
      </c>
      <c r="D6" s="349"/>
      <c r="E6" s="348" t="s">
        <v>18</v>
      </c>
      <c r="F6" s="344"/>
      <c r="G6" s="348" t="s">
        <v>18</v>
      </c>
      <c r="H6" s="350"/>
      <c r="I6" s="348" t="s">
        <v>18</v>
      </c>
      <c r="J6" s="122"/>
      <c r="K6" s="351" t="s">
        <v>124</v>
      </c>
    </row>
    <row r="7" spans="1:11" ht="15.75">
      <c r="A7" s="352" t="s">
        <v>78</v>
      </c>
      <c r="B7" s="353">
        <v>2754</v>
      </c>
      <c r="C7" s="354" t="s">
        <v>78</v>
      </c>
      <c r="D7" s="353">
        <v>0</v>
      </c>
      <c r="E7" s="354" t="s">
        <v>78</v>
      </c>
      <c r="F7" s="353">
        <v>87907</v>
      </c>
      <c r="G7" s="354" t="s">
        <v>78</v>
      </c>
      <c r="H7" s="353">
        <v>5016</v>
      </c>
      <c r="I7" s="354" t="s">
        <v>78</v>
      </c>
      <c r="J7" s="353">
        <v>19169</v>
      </c>
      <c r="K7" s="355">
        <f>SUM(B7+D7+F7+H7+J7)</f>
        <v>114846</v>
      </c>
    </row>
    <row r="8" spans="1:11" ht="15.75">
      <c r="A8" s="356" t="s">
        <v>264</v>
      </c>
      <c r="B8" s="357"/>
      <c r="C8" s="356" t="s">
        <v>264</v>
      </c>
      <c r="D8" s="358"/>
      <c r="E8" s="356" t="s">
        <v>264</v>
      </c>
      <c r="F8" s="341"/>
      <c r="G8" s="356" t="s">
        <v>264</v>
      </c>
      <c r="H8" s="122"/>
      <c r="I8" s="356" t="s">
        <v>264</v>
      </c>
      <c r="J8" s="122"/>
      <c r="K8" s="341"/>
    </row>
    <row r="9" spans="1:11" ht="15.75">
      <c r="A9" s="359" t="s">
        <v>1031</v>
      </c>
      <c r="B9" s="353">
        <v>2340</v>
      </c>
      <c r="C9" s="359" t="s">
        <v>1032</v>
      </c>
      <c r="D9" s="353">
        <v>217</v>
      </c>
      <c r="E9" s="359" t="s">
        <v>1020</v>
      </c>
      <c r="F9" s="353">
        <v>0</v>
      </c>
      <c r="G9" s="359" t="s">
        <v>1034</v>
      </c>
      <c r="H9" s="353"/>
      <c r="I9" s="359" t="s">
        <v>1035</v>
      </c>
      <c r="J9" s="353">
        <v>5263</v>
      </c>
      <c r="K9" s="341"/>
    </row>
    <row r="10" spans="1:11" ht="15.75">
      <c r="A10" s="359"/>
      <c r="B10" s="353"/>
      <c r="C10" s="359"/>
      <c r="D10" s="353"/>
      <c r="E10" s="359" t="s">
        <v>1033</v>
      </c>
      <c r="F10" s="353">
        <v>10043</v>
      </c>
      <c r="G10" s="359" t="s">
        <v>69</v>
      </c>
      <c r="H10" s="353"/>
      <c r="I10" s="359"/>
      <c r="J10" s="353"/>
      <c r="K10" s="341"/>
    </row>
    <row r="11" spans="1:11" ht="15.75">
      <c r="A11" s="359"/>
      <c r="B11" s="353"/>
      <c r="C11" s="360"/>
      <c r="D11" s="353"/>
      <c r="E11" s="360" t="s">
        <v>208</v>
      </c>
      <c r="F11" s="353">
        <v>173</v>
      </c>
      <c r="G11" s="360" t="s">
        <v>1016</v>
      </c>
      <c r="H11" s="353"/>
      <c r="I11" s="361"/>
      <c r="J11" s="353"/>
      <c r="K11" s="341"/>
    </row>
    <row r="12" spans="1:11" ht="15.75">
      <c r="A12" s="359"/>
      <c r="B12" s="353"/>
      <c r="C12" s="359"/>
      <c r="D12" s="353"/>
      <c r="E12" s="362"/>
      <c r="F12" s="353"/>
      <c r="G12" s="362"/>
      <c r="H12" s="353"/>
      <c r="I12" s="362"/>
      <c r="J12" s="353"/>
      <c r="K12" s="341"/>
    </row>
    <row r="13" spans="1:11" ht="15.75">
      <c r="A13" s="363"/>
      <c r="B13" s="353"/>
      <c r="C13" s="364"/>
      <c r="D13" s="353"/>
      <c r="E13" s="364"/>
      <c r="F13" s="353"/>
      <c r="G13" s="364"/>
      <c r="H13" s="353"/>
      <c r="I13" s="361"/>
      <c r="J13" s="353"/>
      <c r="K13" s="341"/>
    </row>
    <row r="14" spans="1:11" ht="15.75">
      <c r="A14" s="359"/>
      <c r="B14" s="353"/>
      <c r="C14" s="362"/>
      <c r="D14" s="353"/>
      <c r="E14" s="362"/>
      <c r="F14" s="353"/>
      <c r="G14" s="362"/>
      <c r="H14" s="353"/>
      <c r="I14" s="362"/>
      <c r="J14" s="353"/>
      <c r="K14" s="341"/>
    </row>
    <row r="15" spans="1:11" ht="15.75">
      <c r="A15" s="359"/>
      <c r="B15" s="353"/>
      <c r="C15" s="362"/>
      <c r="D15" s="353"/>
      <c r="E15" s="362"/>
      <c r="F15" s="353"/>
      <c r="G15" s="362"/>
      <c r="H15" s="353"/>
      <c r="I15" s="362"/>
      <c r="J15" s="353"/>
      <c r="K15" s="341"/>
    </row>
    <row r="16" spans="1:11" ht="15.75">
      <c r="A16" s="359"/>
      <c r="B16" s="353"/>
      <c r="C16" s="359"/>
      <c r="D16" s="353"/>
      <c r="E16" s="359"/>
      <c r="F16" s="353"/>
      <c r="G16" s="362"/>
      <c r="H16" s="353"/>
      <c r="I16" s="359"/>
      <c r="J16" s="353"/>
      <c r="K16" s="341"/>
    </row>
    <row r="17" spans="1:11" ht="15.75">
      <c r="A17" s="356" t="s">
        <v>154</v>
      </c>
      <c r="B17" s="355">
        <f>SUM(B9:B16)</f>
        <v>2340</v>
      </c>
      <c r="C17" s="356" t="s">
        <v>154</v>
      </c>
      <c r="D17" s="355">
        <f>SUM(D9:D16)</f>
        <v>217</v>
      </c>
      <c r="E17" s="356" t="s">
        <v>154</v>
      </c>
      <c r="F17" s="430">
        <f>SUM(F9:F16)</f>
        <v>10216</v>
      </c>
      <c r="G17" s="356" t="s">
        <v>154</v>
      </c>
      <c r="H17" s="355">
        <f>SUM(H9:H16)</f>
        <v>0</v>
      </c>
      <c r="I17" s="356" t="s">
        <v>154</v>
      </c>
      <c r="J17" s="355">
        <f>SUM(J9:J16)</f>
        <v>5263</v>
      </c>
      <c r="K17" s="355">
        <f>SUM(B17+D17+F17+H17+J17)</f>
        <v>18036</v>
      </c>
    </row>
    <row r="18" spans="1:11" ht="15.75">
      <c r="A18" s="356" t="s">
        <v>155</v>
      </c>
      <c r="B18" s="355">
        <f>SUM(B7+B17)</f>
        <v>5094</v>
      </c>
      <c r="C18" s="356" t="s">
        <v>155</v>
      </c>
      <c r="D18" s="355">
        <f>SUM(D7+D17)</f>
        <v>217</v>
      </c>
      <c r="E18" s="356" t="s">
        <v>155</v>
      </c>
      <c r="F18" s="355">
        <f>SUM(F7+F17)</f>
        <v>98123</v>
      </c>
      <c r="G18" s="356" t="s">
        <v>155</v>
      </c>
      <c r="H18" s="355">
        <f>SUM(H7+H17)</f>
        <v>5016</v>
      </c>
      <c r="I18" s="356" t="s">
        <v>155</v>
      </c>
      <c r="J18" s="355">
        <f>SUM(J7+J17)</f>
        <v>24432</v>
      </c>
      <c r="K18" s="355">
        <f>SUM(B18+D18+F18+H18+J18)</f>
        <v>132882</v>
      </c>
    </row>
    <row r="19" spans="1:11" ht="15.75">
      <c r="A19" s="356" t="s">
        <v>157</v>
      </c>
      <c r="B19" s="357"/>
      <c r="C19" s="356" t="s">
        <v>157</v>
      </c>
      <c r="D19" s="358"/>
      <c r="E19" s="356" t="s">
        <v>157</v>
      </c>
      <c r="F19" s="341"/>
      <c r="G19" s="356" t="s">
        <v>157</v>
      </c>
      <c r="H19" s="122"/>
      <c r="I19" s="356" t="s">
        <v>157</v>
      </c>
      <c r="J19" s="122"/>
      <c r="K19" s="341"/>
    </row>
    <row r="20" spans="1:11" ht="15.75">
      <c r="A20" s="359" t="s">
        <v>1036</v>
      </c>
      <c r="B20" s="353">
        <v>2595</v>
      </c>
      <c r="C20" s="362" t="s">
        <v>1037</v>
      </c>
      <c r="D20" s="353">
        <v>217</v>
      </c>
      <c r="E20" s="362" t="s">
        <v>1038</v>
      </c>
      <c r="F20" s="353">
        <v>15000</v>
      </c>
      <c r="G20" s="362" t="s">
        <v>1039</v>
      </c>
      <c r="H20" s="353"/>
      <c r="I20" s="362" t="s">
        <v>69</v>
      </c>
      <c r="J20" s="353">
        <v>1321</v>
      </c>
      <c r="K20" s="341"/>
    </row>
    <row r="21" spans="1:11" ht="15.75">
      <c r="A21" s="359"/>
      <c r="B21" s="353"/>
      <c r="C21" s="362"/>
      <c r="D21" s="353"/>
      <c r="E21" s="362" t="s">
        <v>1043</v>
      </c>
      <c r="F21" s="353">
        <v>250</v>
      </c>
      <c r="G21" s="362" t="s">
        <v>1040</v>
      </c>
      <c r="H21" s="353"/>
      <c r="I21" s="362"/>
      <c r="J21" s="353"/>
      <c r="K21" s="341"/>
    </row>
    <row r="22" spans="1:11" ht="15.75">
      <c r="A22" s="359"/>
      <c r="B22" s="353"/>
      <c r="C22" s="364"/>
      <c r="D22" s="353"/>
      <c r="E22" s="364"/>
      <c r="F22" s="353"/>
      <c r="G22" s="364"/>
      <c r="H22" s="353"/>
      <c r="I22" s="361"/>
      <c r="J22" s="353"/>
      <c r="K22" s="341"/>
    </row>
    <row r="23" spans="1:11" ht="15.75">
      <c r="A23" s="359"/>
      <c r="B23" s="353"/>
      <c r="C23" s="362"/>
      <c r="D23" s="353"/>
      <c r="E23" s="362"/>
      <c r="F23" s="353"/>
      <c r="G23" s="362"/>
      <c r="H23" s="353"/>
      <c r="I23" s="362"/>
      <c r="J23" s="353"/>
      <c r="K23" s="341"/>
    </row>
    <row r="24" spans="1:11" ht="15.75">
      <c r="A24" s="359"/>
      <c r="B24" s="353"/>
      <c r="C24" s="364"/>
      <c r="D24" s="353"/>
      <c r="E24" s="364"/>
      <c r="F24" s="353"/>
      <c r="G24" s="364"/>
      <c r="H24" s="353"/>
      <c r="I24" s="361"/>
      <c r="J24" s="353"/>
      <c r="K24" s="341"/>
    </row>
    <row r="25" spans="1:11" ht="15.75">
      <c r="A25" s="359"/>
      <c r="B25" s="353"/>
      <c r="C25" s="362"/>
      <c r="D25" s="353"/>
      <c r="E25" s="362"/>
      <c r="F25" s="353"/>
      <c r="G25" s="362"/>
      <c r="H25" s="353"/>
      <c r="I25" s="362"/>
      <c r="J25" s="353"/>
      <c r="K25" s="341"/>
    </row>
    <row r="26" spans="1:11" ht="15.75">
      <c r="A26" s="359"/>
      <c r="B26" s="353"/>
      <c r="C26" s="362"/>
      <c r="D26" s="353"/>
      <c r="E26" s="362"/>
      <c r="F26" s="353"/>
      <c r="G26" s="362"/>
      <c r="H26" s="353"/>
      <c r="I26" s="362"/>
      <c r="J26" s="353"/>
      <c r="K26" s="341"/>
    </row>
    <row r="27" spans="1:11" ht="15.75">
      <c r="A27" s="359"/>
      <c r="B27" s="353"/>
      <c r="C27" s="359"/>
      <c r="D27" s="353"/>
      <c r="E27" s="359"/>
      <c r="F27" s="353"/>
      <c r="G27" s="362"/>
      <c r="H27" s="353"/>
      <c r="I27" s="362"/>
      <c r="J27" s="353"/>
      <c r="K27" s="341"/>
    </row>
    <row r="28" spans="1:11" ht="15.75">
      <c r="A28" s="356" t="s">
        <v>158</v>
      </c>
      <c r="B28" s="355">
        <f>SUM(B20:B27)</f>
        <v>2595</v>
      </c>
      <c r="C28" s="356" t="s">
        <v>158</v>
      </c>
      <c r="D28" s="355">
        <f>SUM(D20:D27)</f>
        <v>217</v>
      </c>
      <c r="E28" s="356" t="s">
        <v>158</v>
      </c>
      <c r="F28" s="430">
        <f>SUM(F20:F27)</f>
        <v>15250</v>
      </c>
      <c r="G28" s="356" t="s">
        <v>158</v>
      </c>
      <c r="H28" s="430">
        <f>SUM(H20:H27)</f>
        <v>0</v>
      </c>
      <c r="I28" s="356" t="s">
        <v>158</v>
      </c>
      <c r="J28" s="355">
        <f>SUM(J20:J27)</f>
        <v>1321</v>
      </c>
      <c r="K28" s="355">
        <f>SUM(B28+D28+F28+H28+J28)</f>
        <v>19383</v>
      </c>
    </row>
    <row r="29" spans="1:12" ht="15.75">
      <c r="A29" s="356" t="s">
        <v>19</v>
      </c>
      <c r="B29" s="355">
        <f>B18-B28</f>
        <v>2499</v>
      </c>
      <c r="C29" s="356" t="s">
        <v>19</v>
      </c>
      <c r="D29" s="355">
        <f>D18-D28</f>
        <v>0</v>
      </c>
      <c r="E29" s="356" t="s">
        <v>19</v>
      </c>
      <c r="F29" s="355">
        <f>F18-F28</f>
        <v>82873</v>
      </c>
      <c r="G29" s="356" t="s">
        <v>19</v>
      </c>
      <c r="H29" s="355">
        <f>H18-H28</f>
        <v>5016</v>
      </c>
      <c r="I29" s="356" t="s">
        <v>19</v>
      </c>
      <c r="J29" s="355">
        <f>J18-J28</f>
        <v>23111</v>
      </c>
      <c r="K29" s="366">
        <f>SUM(B29+D29+F29+H29+J29)</f>
        <v>113499</v>
      </c>
      <c r="L29" s="69" t="s">
        <v>57</v>
      </c>
    </row>
    <row r="30" spans="1:12" ht="15.75">
      <c r="A30" s="356"/>
      <c r="B30" s="396">
        <f>IF(B29&lt;0,"See Tab B","")</f>
      </c>
      <c r="C30" s="356"/>
      <c r="D30" s="396">
        <f>IF(D29&lt;0,"See Tab B","")</f>
      </c>
      <c r="E30" s="356"/>
      <c r="F30" s="396">
        <f>IF(F29&lt;0,"See Tab B","")</f>
      </c>
      <c r="G30" s="122"/>
      <c r="H30" s="396">
        <f>IF(H29&lt;0,"See Tab B","")</f>
      </c>
      <c r="I30" s="122"/>
      <c r="J30" s="396">
        <f>IF(J29&lt;0,"See Tab B","")</f>
      </c>
      <c r="K30" s="366">
        <f>SUM(K7+K17-K28)</f>
        <v>113499</v>
      </c>
      <c r="L30" s="69" t="s">
        <v>57</v>
      </c>
    </row>
    <row r="31" spans="1:11" ht="15.75">
      <c r="A31" s="122"/>
      <c r="B31" s="367"/>
      <c r="C31" s="122"/>
      <c r="D31" s="341"/>
      <c r="E31" s="122"/>
      <c r="F31" s="122"/>
      <c r="G31" s="79" t="s">
        <v>58</v>
      </c>
      <c r="H31" s="79"/>
      <c r="I31" s="79"/>
      <c r="J31" s="79"/>
      <c r="K31" s="122"/>
    </row>
    <row r="32" spans="1:11" ht="15.75">
      <c r="A32" s="122"/>
      <c r="B32" s="367"/>
      <c r="C32" s="122"/>
      <c r="D32" s="341"/>
      <c r="E32" s="122"/>
      <c r="F32" s="122"/>
      <c r="G32" s="79"/>
      <c r="H32" s="79"/>
      <c r="I32" s="79"/>
      <c r="J32" s="79"/>
      <c r="K32" s="122"/>
    </row>
    <row r="33" spans="1:11" ht="15.75">
      <c r="A33" s="122"/>
      <c r="B33" s="367"/>
      <c r="C33" s="122"/>
      <c r="D33" s="341"/>
      <c r="E33" s="122"/>
      <c r="F33" s="122"/>
      <c r="G33" s="79"/>
      <c r="H33" s="79"/>
      <c r="I33" s="79"/>
      <c r="J33" s="79"/>
      <c r="K33" s="122"/>
    </row>
    <row r="34" spans="1:11" ht="15.75">
      <c r="A34" s="122"/>
      <c r="B34" s="367"/>
      <c r="C34" s="122"/>
      <c r="D34" s="122"/>
      <c r="E34" s="122"/>
      <c r="F34" s="122"/>
      <c r="G34" s="122"/>
      <c r="H34" s="122"/>
      <c r="I34" s="122"/>
      <c r="J34" s="122"/>
      <c r="K34" s="122"/>
    </row>
    <row r="35" spans="1:11" ht="15.75">
      <c r="A35" s="122"/>
      <c r="B35" s="367"/>
      <c r="C35" s="122"/>
      <c r="D35" s="122"/>
      <c r="E35" s="318" t="s">
        <v>177</v>
      </c>
      <c r="F35" s="335">
        <v>18</v>
      </c>
      <c r="G35" s="122"/>
      <c r="H35" s="122"/>
      <c r="I35" s="122"/>
      <c r="J35" s="122"/>
      <c r="K35" s="122"/>
    </row>
    <row r="36" ht="15.75">
      <c r="B36" s="368"/>
    </row>
    <row r="37" ht="15.75">
      <c r="B37" s="368"/>
    </row>
    <row r="38" ht="15.75">
      <c r="B38" s="368"/>
    </row>
    <row r="39" ht="15.75">
      <c r="B39" s="368"/>
    </row>
    <row r="40" ht="15.75">
      <c r="B40" s="368"/>
    </row>
    <row r="41" ht="15.75">
      <c r="B41" s="368"/>
    </row>
    <row r="42" ht="15.75">
      <c r="B42" s="368"/>
    </row>
    <row r="43" ht="15.75">
      <c r="B43" s="368"/>
    </row>
  </sheetData>
  <sheetProtection/>
  <mergeCells count="5">
    <mergeCell ref="I5:J5"/>
    <mergeCell ref="A5:B5"/>
    <mergeCell ref="C5:D5"/>
    <mergeCell ref="E5:F5"/>
    <mergeCell ref="G5:H5"/>
  </mergeCells>
  <printOptions/>
  <pageMargins left="0.75" right="0.75" top="1" bottom="0.56" header="0.5" footer="0.5"/>
  <pageSetup blackAndWhite="1" horizontalDpi="600" verticalDpi="600" orientation="landscape" scale="90" r:id="rId1"/>
  <headerFooter alignWithMargins="0">
    <oddHeader>&amp;RState of Kansas
County</oddHeader>
  </headerFooter>
</worksheet>
</file>

<file path=xl/worksheets/sheet26.xml><?xml version="1.0" encoding="utf-8"?>
<worksheet xmlns="http://schemas.openxmlformats.org/spreadsheetml/2006/main" xmlns:r="http://schemas.openxmlformats.org/officeDocument/2006/relationships">
  <dimension ref="A1:L43"/>
  <sheetViews>
    <sheetView view="pageBreakPreview" zoomScale="60" zoomScalePageLayoutView="0" workbookViewId="0" topLeftCell="A1">
      <selection activeCell="A29" sqref="A29:H37"/>
    </sheetView>
  </sheetViews>
  <sheetFormatPr defaultColWidth="8.796875" defaultRowHeight="15"/>
  <cols>
    <col min="1" max="1" width="11.59765625" style="69" customWidth="1"/>
    <col min="2" max="2" width="7.3984375" style="69" customWidth="1"/>
    <col min="3" max="3" width="11.59765625" style="69" customWidth="1"/>
    <col min="4" max="4" width="7.3984375" style="69" customWidth="1"/>
    <col min="5" max="5" width="11.59765625" style="69" customWidth="1"/>
    <col min="6" max="6" width="7.3984375" style="69" customWidth="1"/>
    <col min="7" max="7" width="11.59765625" style="69" customWidth="1"/>
    <col min="8" max="8" width="7.3984375" style="69" customWidth="1"/>
    <col min="9" max="9" width="11.59765625" style="69" customWidth="1"/>
    <col min="10" max="16384" width="8.8984375" style="69" customWidth="1"/>
  </cols>
  <sheetData>
    <row r="1" spans="1:11" ht="15.75">
      <c r="A1" s="141" t="str">
        <f>inputPrYr!$C$2</f>
        <v>Sheridan County</v>
      </c>
      <c r="B1" s="341"/>
      <c r="C1" s="122"/>
      <c r="D1" s="122"/>
      <c r="E1" s="122"/>
      <c r="F1" s="342" t="s">
        <v>22</v>
      </c>
      <c r="G1" s="122"/>
      <c r="H1" s="122"/>
      <c r="I1" s="122"/>
      <c r="J1" s="122"/>
      <c r="K1" s="122">
        <f>inputPrYr!$C$4</f>
        <v>2013</v>
      </c>
    </row>
    <row r="2" spans="1:11" ht="15.75">
      <c r="A2" s="122"/>
      <c r="B2" s="122"/>
      <c r="C2" s="122"/>
      <c r="D2" s="122"/>
      <c r="E2" s="122"/>
      <c r="F2" s="343" t="str">
        <f>CONCATENATE("(Only the actual budget year for ",K1-2," is to be shown)")</f>
        <v>(Only the actual budget year for 2011 is to be shown)</v>
      </c>
      <c r="G2" s="122"/>
      <c r="H2" s="122"/>
      <c r="I2" s="122"/>
      <c r="J2" s="122"/>
      <c r="K2" s="122"/>
    </row>
    <row r="3" spans="1:11" ht="15.75">
      <c r="A3" s="122" t="s">
        <v>23</v>
      </c>
      <c r="B3" s="122"/>
      <c r="C3" s="122"/>
      <c r="D3" s="122"/>
      <c r="E3" s="122"/>
      <c r="F3" s="341"/>
      <c r="G3" s="122"/>
      <c r="H3" s="122"/>
      <c r="I3" s="122"/>
      <c r="J3" s="122"/>
      <c r="K3" s="122"/>
    </row>
    <row r="4" spans="1:11" ht="15.75">
      <c r="A4" s="122" t="s">
        <v>13</v>
      </c>
      <c r="B4" s="122"/>
      <c r="C4" s="122" t="s">
        <v>14</v>
      </c>
      <c r="D4" s="122"/>
      <c r="E4" s="122" t="s">
        <v>15</v>
      </c>
      <c r="F4" s="341"/>
      <c r="G4" s="122" t="s">
        <v>16</v>
      </c>
      <c r="H4" s="122"/>
      <c r="I4" s="122" t="s">
        <v>17</v>
      </c>
      <c r="J4" s="122"/>
      <c r="K4" s="122"/>
    </row>
    <row r="5" spans="1:11" ht="15.75">
      <c r="A5" s="782" t="str">
        <f>IF(inputPrYr!B74&gt;" ",(inputPrYr!B74)," ")</f>
        <v>Concealed Carry Law</v>
      </c>
      <c r="B5" s="783"/>
      <c r="C5" s="782" t="str">
        <f>IF(inputPrYr!B75&gt;" ",(inputPrYr!B75)," ")</f>
        <v>Sexual Offender Registry</v>
      </c>
      <c r="D5" s="783"/>
      <c r="E5" s="782" t="str">
        <f>IF(inputPrYr!B76&gt;" ",(inputPrYr!B76)," ")</f>
        <v>FEMA Allocation of Road</v>
      </c>
      <c r="F5" s="783"/>
      <c r="G5" s="782" t="str">
        <f>IF(inputPrYr!B77&gt;" ",(inputPrYr!B77)," ")</f>
        <v>FEMA Mitigation Plan</v>
      </c>
      <c r="H5" s="783"/>
      <c r="I5" s="782" t="str">
        <f>IF(inputPrYr!B78&gt;" ",(inputPrYr!B78)," ")</f>
        <v>CDBG for Elevator</v>
      </c>
      <c r="J5" s="783"/>
      <c r="K5" s="345"/>
    </row>
    <row r="6" spans="1:11" ht="15.75">
      <c r="A6" s="346" t="s">
        <v>18</v>
      </c>
      <c r="B6" s="347"/>
      <c r="C6" s="348" t="s">
        <v>18</v>
      </c>
      <c r="D6" s="349"/>
      <c r="E6" s="348" t="s">
        <v>18</v>
      </c>
      <c r="F6" s="344"/>
      <c r="G6" s="348" t="s">
        <v>18</v>
      </c>
      <c r="H6" s="350"/>
      <c r="I6" s="348" t="s">
        <v>18</v>
      </c>
      <c r="J6" s="122"/>
      <c r="K6" s="351" t="s">
        <v>124</v>
      </c>
    </row>
    <row r="7" spans="1:11" ht="15.75">
      <c r="A7" s="352" t="s">
        <v>78</v>
      </c>
      <c r="B7" s="353">
        <v>640</v>
      </c>
      <c r="C7" s="354" t="s">
        <v>78</v>
      </c>
      <c r="D7" s="353">
        <v>162</v>
      </c>
      <c r="E7" s="354" t="s">
        <v>78</v>
      </c>
      <c r="F7" s="353">
        <v>18414</v>
      </c>
      <c r="G7" s="354" t="s">
        <v>78</v>
      </c>
      <c r="H7" s="353">
        <v>0</v>
      </c>
      <c r="I7" s="354" t="s">
        <v>78</v>
      </c>
      <c r="J7" s="353">
        <v>0</v>
      </c>
      <c r="K7" s="355">
        <f>SUM(B7+D7+F7+H7+J7)</f>
        <v>19216</v>
      </c>
    </row>
    <row r="8" spans="1:11" ht="15.75">
      <c r="A8" s="356" t="s">
        <v>264</v>
      </c>
      <c r="B8" s="357"/>
      <c r="C8" s="356" t="s">
        <v>264</v>
      </c>
      <c r="D8" s="358"/>
      <c r="E8" s="356" t="s">
        <v>264</v>
      </c>
      <c r="F8" s="341"/>
      <c r="G8" s="356" t="s">
        <v>264</v>
      </c>
      <c r="H8" s="122"/>
      <c r="I8" s="356" t="s">
        <v>264</v>
      </c>
      <c r="J8" s="122"/>
      <c r="K8" s="341"/>
    </row>
    <row r="9" spans="1:11" ht="15.75">
      <c r="A9" s="359" t="s">
        <v>1041</v>
      </c>
      <c r="B9" s="353">
        <v>260</v>
      </c>
      <c r="C9" s="359" t="s">
        <v>1042</v>
      </c>
      <c r="D9" s="353">
        <v>240</v>
      </c>
      <c r="E9" s="359" t="s">
        <v>1042</v>
      </c>
      <c r="F9" s="353"/>
      <c r="G9" s="359" t="s">
        <v>1020</v>
      </c>
      <c r="H9" s="353"/>
      <c r="I9" s="359" t="s">
        <v>1020</v>
      </c>
      <c r="J9" s="353">
        <v>61640</v>
      </c>
      <c r="K9" s="341"/>
    </row>
    <row r="10" spans="1:11" ht="15.75">
      <c r="A10" s="359"/>
      <c r="B10" s="353"/>
      <c r="C10" s="359"/>
      <c r="D10" s="353"/>
      <c r="E10" s="359"/>
      <c r="F10" s="353"/>
      <c r="G10" s="359"/>
      <c r="H10" s="353"/>
      <c r="I10" s="359"/>
      <c r="J10" s="353"/>
      <c r="K10" s="341"/>
    </row>
    <row r="11" spans="1:11" ht="15.75">
      <c r="A11" s="359"/>
      <c r="B11" s="353"/>
      <c r="C11" s="360"/>
      <c r="D11" s="353"/>
      <c r="E11" s="360"/>
      <c r="F11" s="353"/>
      <c r="G11" s="360"/>
      <c r="H11" s="353"/>
      <c r="I11" s="361"/>
      <c r="J11" s="353"/>
      <c r="K11" s="341"/>
    </row>
    <row r="12" spans="1:11" ht="15.75">
      <c r="A12" s="359"/>
      <c r="B12" s="353"/>
      <c r="C12" s="359"/>
      <c r="D12" s="353"/>
      <c r="E12" s="362"/>
      <c r="F12" s="353"/>
      <c r="G12" s="362"/>
      <c r="H12" s="353"/>
      <c r="I12" s="362"/>
      <c r="J12" s="353"/>
      <c r="K12" s="341"/>
    </row>
    <row r="13" spans="1:11" ht="15.75">
      <c r="A13" s="363"/>
      <c r="B13" s="353"/>
      <c r="C13" s="364"/>
      <c r="D13" s="353"/>
      <c r="E13" s="364"/>
      <c r="F13" s="353"/>
      <c r="G13" s="364"/>
      <c r="H13" s="353"/>
      <c r="I13" s="361"/>
      <c r="J13" s="353"/>
      <c r="K13" s="341"/>
    </row>
    <row r="14" spans="1:11" ht="15.75">
      <c r="A14" s="359"/>
      <c r="B14" s="353"/>
      <c r="C14" s="362"/>
      <c r="D14" s="353"/>
      <c r="E14" s="362"/>
      <c r="F14" s="353"/>
      <c r="G14" s="362"/>
      <c r="H14" s="353"/>
      <c r="I14" s="362"/>
      <c r="J14" s="353"/>
      <c r="K14" s="341"/>
    </row>
    <row r="15" spans="1:11" ht="15.75">
      <c r="A15" s="359"/>
      <c r="B15" s="353"/>
      <c r="C15" s="362"/>
      <c r="D15" s="353"/>
      <c r="E15" s="362"/>
      <c r="F15" s="353"/>
      <c r="G15" s="362"/>
      <c r="H15" s="353"/>
      <c r="I15" s="362"/>
      <c r="J15" s="353"/>
      <c r="K15" s="341"/>
    </row>
    <row r="16" spans="1:11" ht="15.75">
      <c r="A16" s="359"/>
      <c r="B16" s="353"/>
      <c r="C16" s="359"/>
      <c r="D16" s="353"/>
      <c r="E16" s="359"/>
      <c r="F16" s="353"/>
      <c r="G16" s="362"/>
      <c r="H16" s="353"/>
      <c r="I16" s="359"/>
      <c r="J16" s="353"/>
      <c r="K16" s="341"/>
    </row>
    <row r="17" spans="1:11" ht="15.75">
      <c r="A17" s="356" t="s">
        <v>154</v>
      </c>
      <c r="B17" s="355">
        <f>SUM(B9:B16)</f>
        <v>260</v>
      </c>
      <c r="C17" s="356" t="s">
        <v>154</v>
      </c>
      <c r="D17" s="355">
        <f>SUM(D9:D16)</f>
        <v>240</v>
      </c>
      <c r="E17" s="356" t="s">
        <v>154</v>
      </c>
      <c r="F17" s="430">
        <f>SUM(F9:F16)</f>
        <v>0</v>
      </c>
      <c r="G17" s="356" t="s">
        <v>154</v>
      </c>
      <c r="H17" s="355">
        <f>SUM(H9:H16)</f>
        <v>0</v>
      </c>
      <c r="I17" s="356" t="s">
        <v>154</v>
      </c>
      <c r="J17" s="355">
        <f>SUM(J9:J16)</f>
        <v>61640</v>
      </c>
      <c r="K17" s="355">
        <f>SUM(B17+D17+F17+H17+J17)</f>
        <v>62140</v>
      </c>
    </row>
    <row r="18" spans="1:11" ht="15.75">
      <c r="A18" s="356" t="s">
        <v>155</v>
      </c>
      <c r="B18" s="355">
        <f>SUM(B7+B17)</f>
        <v>900</v>
      </c>
      <c r="C18" s="356" t="s">
        <v>155</v>
      </c>
      <c r="D18" s="355">
        <f>SUM(D7+D17)</f>
        <v>402</v>
      </c>
      <c r="E18" s="356" t="s">
        <v>155</v>
      </c>
      <c r="F18" s="355">
        <f>SUM(F7+F17)</f>
        <v>18414</v>
      </c>
      <c r="G18" s="356" t="s">
        <v>155</v>
      </c>
      <c r="H18" s="355">
        <f>SUM(H7+H17)</f>
        <v>0</v>
      </c>
      <c r="I18" s="356" t="s">
        <v>155</v>
      </c>
      <c r="J18" s="355">
        <f>SUM(J7+J17)</f>
        <v>61640</v>
      </c>
      <c r="K18" s="355">
        <f>SUM(B18+D18+F18+H18+J18)</f>
        <v>81356</v>
      </c>
    </row>
    <row r="19" spans="1:11" ht="15.75">
      <c r="A19" s="356" t="s">
        <v>157</v>
      </c>
      <c r="B19" s="357"/>
      <c r="C19" s="356" t="s">
        <v>157</v>
      </c>
      <c r="D19" s="358"/>
      <c r="E19" s="356" t="s">
        <v>157</v>
      </c>
      <c r="F19" s="341"/>
      <c r="G19" s="356" t="s">
        <v>157</v>
      </c>
      <c r="H19" s="122"/>
      <c r="I19" s="356" t="s">
        <v>157</v>
      </c>
      <c r="J19" s="122"/>
      <c r="K19" s="341"/>
    </row>
    <row r="20" spans="1:11" ht="15.75">
      <c r="A20" s="359" t="s">
        <v>1043</v>
      </c>
      <c r="B20" s="353"/>
      <c r="C20" s="362" t="s">
        <v>1043</v>
      </c>
      <c r="D20" s="353"/>
      <c r="E20" s="362" t="s">
        <v>1029</v>
      </c>
      <c r="F20" s="353">
        <v>11740</v>
      </c>
      <c r="G20" s="362" t="s">
        <v>1029</v>
      </c>
      <c r="H20" s="353"/>
      <c r="I20" s="362" t="s">
        <v>1027</v>
      </c>
      <c r="J20" s="353">
        <v>37172</v>
      </c>
      <c r="K20" s="341"/>
    </row>
    <row r="21" spans="1:11" ht="15.75">
      <c r="A21" s="359"/>
      <c r="B21" s="353"/>
      <c r="C21" s="362"/>
      <c r="D21" s="353"/>
      <c r="E21" s="362"/>
      <c r="F21" s="353"/>
      <c r="G21" s="362"/>
      <c r="H21" s="353"/>
      <c r="I21" s="362"/>
      <c r="J21" s="353"/>
      <c r="K21" s="341"/>
    </row>
    <row r="22" spans="1:11" ht="15.75">
      <c r="A22" s="359"/>
      <c r="B22" s="353"/>
      <c r="C22" s="364"/>
      <c r="D22" s="353"/>
      <c r="E22" s="364"/>
      <c r="F22" s="353"/>
      <c r="G22" s="364"/>
      <c r="H22" s="353"/>
      <c r="I22" s="361"/>
      <c r="J22" s="353"/>
      <c r="K22" s="341"/>
    </row>
    <row r="23" spans="1:11" ht="15.75">
      <c r="A23" s="359"/>
      <c r="B23" s="353"/>
      <c r="C23" s="362"/>
      <c r="D23" s="353"/>
      <c r="E23" s="362"/>
      <c r="F23" s="353"/>
      <c r="G23" s="362"/>
      <c r="H23" s="353"/>
      <c r="I23" s="362"/>
      <c r="J23" s="353"/>
      <c r="K23" s="341"/>
    </row>
    <row r="24" spans="1:11" ht="15.75">
      <c r="A24" s="359"/>
      <c r="B24" s="353"/>
      <c r="C24" s="364"/>
      <c r="D24" s="353"/>
      <c r="E24" s="364"/>
      <c r="F24" s="353"/>
      <c r="G24" s="364"/>
      <c r="H24" s="353"/>
      <c r="I24" s="361"/>
      <c r="J24" s="353"/>
      <c r="K24" s="341"/>
    </row>
    <row r="25" spans="1:11" ht="15.75">
      <c r="A25" s="359"/>
      <c r="B25" s="353"/>
      <c r="C25" s="362"/>
      <c r="D25" s="353"/>
      <c r="E25" s="362"/>
      <c r="F25" s="353"/>
      <c r="G25" s="362"/>
      <c r="H25" s="353"/>
      <c r="I25" s="362"/>
      <c r="J25" s="353"/>
      <c r="K25" s="341"/>
    </row>
    <row r="26" spans="1:11" ht="15.75">
      <c r="A26" s="359"/>
      <c r="B26" s="353"/>
      <c r="C26" s="362"/>
      <c r="D26" s="353"/>
      <c r="E26" s="362"/>
      <c r="F26" s="353"/>
      <c r="G26" s="362"/>
      <c r="H26" s="353"/>
      <c r="I26" s="362"/>
      <c r="J26" s="353"/>
      <c r="K26" s="341"/>
    </row>
    <row r="27" spans="1:11" ht="15.75">
      <c r="A27" s="359"/>
      <c r="B27" s="353"/>
      <c r="C27" s="359"/>
      <c r="D27" s="353"/>
      <c r="E27" s="359"/>
      <c r="F27" s="353"/>
      <c r="G27" s="362"/>
      <c r="H27" s="353"/>
      <c r="I27" s="362"/>
      <c r="J27" s="353"/>
      <c r="K27" s="341"/>
    </row>
    <row r="28" spans="1:11" ht="15.75">
      <c r="A28" s="356" t="s">
        <v>158</v>
      </c>
      <c r="B28" s="355">
        <f>SUM(B20:B27)</f>
        <v>0</v>
      </c>
      <c r="C28" s="356" t="s">
        <v>158</v>
      </c>
      <c r="D28" s="355">
        <f>SUM(D20:D27)</f>
        <v>0</v>
      </c>
      <c r="E28" s="356" t="s">
        <v>158</v>
      </c>
      <c r="F28" s="430">
        <f>SUM(F20:F27)</f>
        <v>11740</v>
      </c>
      <c r="G28" s="356" t="s">
        <v>158</v>
      </c>
      <c r="H28" s="430">
        <f>SUM(H20:H27)</f>
        <v>0</v>
      </c>
      <c r="I28" s="356" t="s">
        <v>158</v>
      </c>
      <c r="J28" s="355">
        <f>SUM(J20:J27)</f>
        <v>37172</v>
      </c>
      <c r="K28" s="355">
        <f>SUM(B28+D28+F28+H28+J28)</f>
        <v>48912</v>
      </c>
    </row>
    <row r="29" spans="1:12" ht="15.75">
      <c r="A29" s="356" t="s">
        <v>19</v>
      </c>
      <c r="B29" s="355">
        <f>B18-B28</f>
        <v>900</v>
      </c>
      <c r="C29" s="356" t="s">
        <v>19</v>
      </c>
      <c r="D29" s="355">
        <f>D18-D28</f>
        <v>402</v>
      </c>
      <c r="E29" s="356" t="s">
        <v>19</v>
      </c>
      <c r="F29" s="355">
        <f>F18-F28</f>
        <v>6674</v>
      </c>
      <c r="G29" s="356" t="s">
        <v>19</v>
      </c>
      <c r="H29" s="355">
        <f>H18-H28</f>
        <v>0</v>
      </c>
      <c r="I29" s="356" t="s">
        <v>19</v>
      </c>
      <c r="J29" s="355">
        <f>J18-J28</f>
        <v>24468</v>
      </c>
      <c r="K29" s="366">
        <f>SUM(B29+D29+F29+H29+J29)</f>
        <v>32444</v>
      </c>
      <c r="L29" s="69" t="s">
        <v>57</v>
      </c>
    </row>
    <row r="30" spans="1:12" ht="15.75">
      <c r="A30" s="356"/>
      <c r="B30" s="396">
        <f>IF(B29&lt;0,"See Tab B","")</f>
      </c>
      <c r="C30" s="356"/>
      <c r="D30" s="396">
        <f>IF(D29&lt;0,"See Tab B","")</f>
      </c>
      <c r="E30" s="356"/>
      <c r="F30" s="396">
        <f>IF(F29&lt;0,"See Tab B","")</f>
      </c>
      <c r="G30" s="122"/>
      <c r="H30" s="396">
        <f>IF(H29&lt;0,"See Tab B","")</f>
      </c>
      <c r="I30" s="122"/>
      <c r="J30" s="396">
        <f>IF(J29&lt;0,"See Tab B","")</f>
      </c>
      <c r="K30" s="366">
        <f>SUM(K7+K17-K28)</f>
        <v>32444</v>
      </c>
      <c r="L30" s="69" t="s">
        <v>57</v>
      </c>
    </row>
    <row r="31" spans="1:11" ht="15.75">
      <c r="A31" s="122"/>
      <c r="B31" s="367"/>
      <c r="C31" s="122"/>
      <c r="D31" s="341"/>
      <c r="E31" s="122"/>
      <c r="F31" s="122"/>
      <c r="G31" s="79" t="s">
        <v>58</v>
      </c>
      <c r="H31" s="79"/>
      <c r="I31" s="79"/>
      <c r="J31" s="79"/>
      <c r="K31" s="122"/>
    </row>
    <row r="32" spans="1:11" ht="15.75">
      <c r="A32" s="122"/>
      <c r="B32" s="367"/>
      <c r="C32" s="122"/>
      <c r="D32" s="122"/>
      <c r="E32" s="122"/>
      <c r="F32" s="122"/>
      <c r="G32" s="122"/>
      <c r="H32" s="122"/>
      <c r="I32" s="122"/>
      <c r="J32" s="122"/>
      <c r="K32" s="122"/>
    </row>
    <row r="33" spans="1:11" ht="15.75">
      <c r="A33" s="122"/>
      <c r="B33" s="367"/>
      <c r="C33" s="122"/>
      <c r="D33" s="122"/>
      <c r="E33" s="122"/>
      <c r="F33" s="122"/>
      <c r="G33" s="122"/>
      <c r="H33" s="122"/>
      <c r="I33" s="122"/>
      <c r="J33" s="122"/>
      <c r="K33" s="122"/>
    </row>
    <row r="34" spans="1:11" ht="15.75">
      <c r="A34" s="122"/>
      <c r="B34" s="367"/>
      <c r="C34" s="122"/>
      <c r="D34" s="122"/>
      <c r="E34" s="122"/>
      <c r="F34" s="122"/>
      <c r="G34" s="122"/>
      <c r="H34" s="122"/>
      <c r="I34" s="122"/>
      <c r="J34" s="122"/>
      <c r="K34" s="122"/>
    </row>
    <row r="35" spans="1:11" ht="15.75">
      <c r="A35" s="122"/>
      <c r="B35" s="367"/>
      <c r="C35" s="122"/>
      <c r="D35" s="122"/>
      <c r="E35" s="318" t="s">
        <v>177</v>
      </c>
      <c r="F35" s="335">
        <v>19</v>
      </c>
      <c r="G35" s="122"/>
      <c r="H35" s="122"/>
      <c r="I35" s="122"/>
      <c r="J35" s="122"/>
      <c r="K35" s="122"/>
    </row>
    <row r="36" ht="15.75">
      <c r="B36" s="368"/>
    </row>
    <row r="37" ht="15.75">
      <c r="B37" s="368"/>
    </row>
    <row r="38" ht="15.75">
      <c r="B38" s="368"/>
    </row>
    <row r="39" ht="15.75">
      <c r="B39" s="368"/>
    </row>
    <row r="40" ht="15.75">
      <c r="B40" s="368"/>
    </row>
    <row r="41" ht="15.75">
      <c r="B41" s="368"/>
    </row>
    <row r="42" ht="15.75">
      <c r="B42" s="368"/>
    </row>
    <row r="43" ht="15.75">
      <c r="B43" s="368"/>
    </row>
  </sheetData>
  <sheetProtection/>
  <mergeCells count="5">
    <mergeCell ref="I5:J5"/>
    <mergeCell ref="A5:B5"/>
    <mergeCell ref="C5:D5"/>
    <mergeCell ref="E5:F5"/>
    <mergeCell ref="G5:H5"/>
  </mergeCells>
  <printOptions/>
  <pageMargins left="0.75" right="0.75" top="1" bottom="0.57" header="0.5" footer="0.5"/>
  <pageSetup blackAndWhite="1" horizontalDpi="600" verticalDpi="600" orientation="landscape" scale="90" r:id="rId1"/>
  <headerFooter alignWithMargins="0">
    <oddHeader>&amp;RState of Kansas
County</oddHeader>
  </headerFooter>
</worksheet>
</file>

<file path=xl/worksheets/sheet27.xml><?xml version="1.0" encoding="utf-8"?>
<worksheet xmlns="http://schemas.openxmlformats.org/spreadsheetml/2006/main" xmlns:r="http://schemas.openxmlformats.org/officeDocument/2006/relationships">
  <dimension ref="A1:A48"/>
  <sheetViews>
    <sheetView zoomScalePageLayoutView="0" workbookViewId="0" topLeftCell="A28">
      <selection activeCell="A29" sqref="A29:H37"/>
    </sheetView>
  </sheetViews>
  <sheetFormatPr defaultColWidth="8.796875" defaultRowHeight="15"/>
  <cols>
    <col min="1" max="1" width="62.3984375" style="161" customWidth="1"/>
    <col min="2" max="16384" width="8.8984375" style="161" customWidth="1"/>
  </cols>
  <sheetData>
    <row r="1" ht="18.75">
      <c r="A1" s="394" t="s">
        <v>342</v>
      </c>
    </row>
    <row r="2" ht="15.75">
      <c r="A2" s="69"/>
    </row>
    <row r="3" ht="54.75" customHeight="1">
      <c r="A3" s="395" t="s">
        <v>343</v>
      </c>
    </row>
    <row r="4" ht="15.75">
      <c r="A4" s="508"/>
    </row>
    <row r="5" ht="51" customHeight="1">
      <c r="A5" s="395" t="s">
        <v>344</v>
      </c>
    </row>
    <row r="6" ht="15.75">
      <c r="A6" s="69"/>
    </row>
    <row r="7" ht="51.75" customHeight="1">
      <c r="A7" s="395" t="s">
        <v>345</v>
      </c>
    </row>
    <row r="8" ht="13.5" customHeight="1">
      <c r="A8" s="395"/>
    </row>
    <row r="9" ht="51.75" customHeight="1">
      <c r="A9" s="457" t="s">
        <v>763</v>
      </c>
    </row>
    <row r="10" ht="15.75">
      <c r="A10" s="508"/>
    </row>
    <row r="11" ht="36" customHeight="1">
      <c r="A11" s="395" t="s">
        <v>346</v>
      </c>
    </row>
    <row r="12" ht="15.75">
      <c r="A12" s="69"/>
    </row>
    <row r="13" ht="51.75" customHeight="1">
      <c r="A13" s="395" t="s">
        <v>347</v>
      </c>
    </row>
    <row r="14" ht="15.75">
      <c r="A14" s="508"/>
    </row>
    <row r="15" ht="33" customHeight="1">
      <c r="A15" s="395" t="s">
        <v>348</v>
      </c>
    </row>
    <row r="16" ht="15.75">
      <c r="A16" s="508"/>
    </row>
    <row r="17" ht="32.25" customHeight="1">
      <c r="A17" s="395" t="s">
        <v>349</v>
      </c>
    </row>
    <row r="18" ht="15.75">
      <c r="A18" s="508"/>
    </row>
    <row r="19" ht="53.25" customHeight="1">
      <c r="A19" s="395" t="s">
        <v>350</v>
      </c>
    </row>
    <row r="20" ht="15.75">
      <c r="A20" s="69"/>
    </row>
    <row r="21" ht="50.25" customHeight="1">
      <c r="A21" s="395" t="s">
        <v>351</v>
      </c>
    </row>
    <row r="22" ht="15.75">
      <c r="A22" s="69"/>
    </row>
    <row r="23" ht="15.75">
      <c r="A23" s="69"/>
    </row>
    <row r="24" ht="96" customHeight="1">
      <c r="A24" s="395" t="s">
        <v>352</v>
      </c>
    </row>
    <row r="25" ht="15.75">
      <c r="A25" s="69"/>
    </row>
    <row r="26" ht="30.75" customHeight="1">
      <c r="A26" s="72" t="s">
        <v>353</v>
      </c>
    </row>
    <row r="27" ht="15.75">
      <c r="A27" s="69"/>
    </row>
    <row r="28" ht="95.25" customHeight="1">
      <c r="A28" s="459" t="s">
        <v>764</v>
      </c>
    </row>
    <row r="29" ht="15.75">
      <c r="A29" s="69"/>
    </row>
    <row r="30" ht="34.5" customHeight="1">
      <c r="A30" s="395" t="s">
        <v>354</v>
      </c>
    </row>
    <row r="31" ht="15.75">
      <c r="A31" s="69"/>
    </row>
    <row r="32" ht="66" customHeight="1">
      <c r="A32" s="395" t="s">
        <v>355</v>
      </c>
    </row>
    <row r="33" ht="15.75">
      <c r="A33" s="508"/>
    </row>
    <row r="34" ht="57" customHeight="1">
      <c r="A34" s="395" t="s">
        <v>356</v>
      </c>
    </row>
    <row r="35" ht="15.75">
      <c r="A35" s="69"/>
    </row>
    <row r="36" ht="49.5" customHeight="1">
      <c r="A36" s="395" t="s">
        <v>357</v>
      </c>
    </row>
    <row r="37" ht="15.75">
      <c r="A37" s="69"/>
    </row>
    <row r="38" ht="74.25" customHeight="1">
      <c r="A38" s="459" t="s">
        <v>765</v>
      </c>
    </row>
    <row r="39" ht="15.75">
      <c r="A39" s="69"/>
    </row>
    <row r="40" ht="55.5" customHeight="1">
      <c r="A40" s="395" t="s">
        <v>358</v>
      </c>
    </row>
    <row r="41" ht="15.75">
      <c r="A41" s="69"/>
    </row>
    <row r="42" ht="53.25" customHeight="1">
      <c r="A42" s="395" t="s">
        <v>359</v>
      </c>
    </row>
    <row r="43" ht="15.75">
      <c r="A43" s="508"/>
    </row>
    <row r="44" ht="47.25" customHeight="1">
      <c r="A44" s="395" t="s">
        <v>360</v>
      </c>
    </row>
    <row r="45" ht="15.75">
      <c r="A45" s="508"/>
    </row>
    <row r="46" ht="49.5" customHeight="1">
      <c r="A46" s="395" t="s">
        <v>361</v>
      </c>
    </row>
    <row r="47" ht="15.75">
      <c r="A47" s="508"/>
    </row>
    <row r="48" ht="36" customHeight="1">
      <c r="A48" s="395" t="s">
        <v>362</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M62"/>
  <sheetViews>
    <sheetView tabSelected="1" view="pageBreakPreview" zoomScale="60" zoomScalePageLayoutView="0" workbookViewId="0" topLeftCell="A1">
      <selection activeCell="G50" sqref="G50"/>
    </sheetView>
  </sheetViews>
  <sheetFormatPr defaultColWidth="8.796875" defaultRowHeight="15"/>
  <cols>
    <col min="1" max="1" width="19.796875" style="69" customWidth="1"/>
    <col min="2" max="2" width="14.796875" style="69" customWidth="1"/>
    <col min="3" max="3" width="9.09765625" style="69" customWidth="1"/>
    <col min="4" max="4" width="15.3984375" style="69" customWidth="1"/>
    <col min="5" max="5" width="9.19921875" style="69" customWidth="1"/>
    <col min="6" max="6" width="15.3984375" style="69" customWidth="1"/>
    <col min="7" max="7" width="13.69921875" style="69" customWidth="1"/>
    <col min="8" max="8" width="9.19921875" style="69" customWidth="1"/>
    <col min="9" max="9" width="8.8984375" style="69" customWidth="1"/>
    <col min="10" max="10" width="12.3984375" style="69" customWidth="1"/>
    <col min="11" max="11" width="12.296875" style="69" customWidth="1"/>
    <col min="12" max="12" width="10.59765625" style="69" customWidth="1"/>
    <col min="13" max="13" width="12.09765625" style="69" customWidth="1"/>
    <col min="14" max="16384" width="8.8984375" style="69" customWidth="1"/>
  </cols>
  <sheetData>
    <row r="1" spans="1:8" ht="15.75">
      <c r="A1" s="82"/>
      <c r="B1" s="82"/>
      <c r="C1" s="82"/>
      <c r="D1" s="82"/>
      <c r="E1" s="82"/>
      <c r="F1" s="82"/>
      <c r="G1" s="82"/>
      <c r="H1" s="283">
        <f>inputPrYr!C4</f>
        <v>2013</v>
      </c>
    </row>
    <row r="2" spans="1:9" ht="15.75">
      <c r="A2" s="720" t="s">
        <v>218</v>
      </c>
      <c r="B2" s="720"/>
      <c r="C2" s="720"/>
      <c r="D2" s="720"/>
      <c r="E2" s="720"/>
      <c r="F2" s="720"/>
      <c r="G2" s="720"/>
      <c r="H2" s="720"/>
      <c r="I2" s="369"/>
    </row>
    <row r="3" spans="1:8" ht="15.75">
      <c r="A3" s="82"/>
      <c r="B3" s="82"/>
      <c r="C3" s="82"/>
      <c r="D3" s="82"/>
      <c r="E3" s="82"/>
      <c r="F3" s="82"/>
      <c r="G3" s="82"/>
      <c r="H3" s="82"/>
    </row>
    <row r="4" spans="1:8" ht="15.75">
      <c r="A4" s="776" t="s">
        <v>246</v>
      </c>
      <c r="B4" s="776"/>
      <c r="C4" s="776"/>
      <c r="D4" s="776"/>
      <c r="E4" s="776"/>
      <c r="F4" s="776"/>
      <c r="G4" s="776"/>
      <c r="H4" s="776"/>
    </row>
    <row r="5" spans="1:8" ht="15.75">
      <c r="A5" s="784" t="str">
        <f>inputPrYr!C2</f>
        <v>Sheridan County</v>
      </c>
      <c r="B5" s="784"/>
      <c r="C5" s="784"/>
      <c r="D5" s="784"/>
      <c r="E5" s="784"/>
      <c r="F5" s="784"/>
      <c r="G5" s="784"/>
      <c r="H5" s="784"/>
    </row>
    <row r="6" spans="1:8" ht="15.75">
      <c r="A6" s="785" t="str">
        <f>CONCATENATE("will meet on ",inputBudSum!B5," at ",inputBudSum!B7," at ",inputBudSum!B9," for the purpose of hearing and")</f>
        <v>will meet on September 4, 2012 at 8:00 AM at the Commissioner's Room for the purpose of hearing and</v>
      </c>
      <c r="B6" s="785"/>
      <c r="C6" s="785"/>
      <c r="D6" s="785"/>
      <c r="E6" s="785"/>
      <c r="F6" s="785"/>
      <c r="G6" s="785"/>
      <c r="H6" s="785"/>
    </row>
    <row r="7" spans="1:8" ht="15.75">
      <c r="A7" s="776" t="s">
        <v>627</v>
      </c>
      <c r="B7" s="776"/>
      <c r="C7" s="776"/>
      <c r="D7" s="776"/>
      <c r="E7" s="776"/>
      <c r="F7" s="776"/>
      <c r="G7" s="776"/>
      <c r="H7" s="776"/>
    </row>
    <row r="8" spans="1:8" ht="15.75">
      <c r="A8" s="785" t="str">
        <f>CONCATENATE("Detailed budget information is available at ",inputBudSum!B12," and will be available at this hearing.")</f>
        <v>Detailed budget information is available at the County Clerk's Office and will be available at this hearing.</v>
      </c>
      <c r="B8" s="785"/>
      <c r="C8" s="785"/>
      <c r="D8" s="785"/>
      <c r="E8" s="785"/>
      <c r="F8" s="785"/>
      <c r="G8" s="785"/>
      <c r="H8" s="785"/>
    </row>
    <row r="9" spans="1:8" ht="15.75">
      <c r="A9" s="89" t="s">
        <v>219</v>
      </c>
      <c r="B9" s="90"/>
      <c r="C9" s="90"/>
      <c r="D9" s="207"/>
      <c r="E9" s="90"/>
      <c r="F9" s="90"/>
      <c r="G9" s="90"/>
      <c r="H9" s="90"/>
    </row>
    <row r="10" spans="1:8" ht="15.75">
      <c r="A10" s="776" t="str">
        <f>CONCATENATE("Proposed Budget ",H1," Expenditures and Amount of ",H1-1," Ad Valorem Tax establish the maximum limits of the ",H1," budget.")</f>
        <v>Proposed Budget 2013 Expenditures and Amount of 2012 Ad Valorem Tax establish the maximum limits of the 2013 budget.</v>
      </c>
      <c r="B10" s="776"/>
      <c r="C10" s="776"/>
      <c r="D10" s="776"/>
      <c r="E10" s="776"/>
      <c r="F10" s="776"/>
      <c r="G10" s="776"/>
      <c r="H10" s="776"/>
    </row>
    <row r="11" spans="1:8" ht="15.75">
      <c r="A11" s="776" t="s">
        <v>270</v>
      </c>
      <c r="B11" s="776"/>
      <c r="C11" s="776"/>
      <c r="D11" s="776"/>
      <c r="E11" s="776"/>
      <c r="F11" s="776"/>
      <c r="G11" s="776"/>
      <c r="H11" s="776"/>
    </row>
    <row r="12" spans="1:9" ht="15.75">
      <c r="A12" s="82"/>
      <c r="B12" s="82"/>
      <c r="C12" s="82"/>
      <c r="D12" s="82"/>
      <c r="E12" s="82"/>
      <c r="F12" s="82"/>
      <c r="G12" s="82"/>
      <c r="H12" s="82"/>
      <c r="I12" s="140"/>
    </row>
    <row r="13" spans="1:8" ht="15.75">
      <c r="A13" s="82"/>
      <c r="B13" s="370" t="str">
        <f>CONCATENATE("Prior Year Actual for ",H1-2,"")</f>
        <v>Prior Year Actual for 2011</v>
      </c>
      <c r="C13" s="210"/>
      <c r="D13" s="371" t="str">
        <f>CONCATENATE("Current Year Estimate for ",H1-1,"")</f>
        <v>Current Year Estimate for 2012</v>
      </c>
      <c r="E13" s="210"/>
      <c r="F13" s="208" t="str">
        <f>CONCATENATE("Proposed Budget Year for ",H1,"")</f>
        <v>Proposed Budget Year for 2013</v>
      </c>
      <c r="G13" s="209"/>
      <c r="H13" s="210"/>
    </row>
    <row r="14" spans="1:8" ht="18.75" customHeight="1">
      <c r="A14" s="81"/>
      <c r="B14" s="319"/>
      <c r="C14" s="211" t="s">
        <v>179</v>
      </c>
      <c r="D14" s="211"/>
      <c r="E14" s="211" t="s">
        <v>179</v>
      </c>
      <c r="F14" s="484" t="s">
        <v>648</v>
      </c>
      <c r="G14" s="747" t="str">
        <f>CONCATENATE("Amount of ",H1-1,"       Ad Valorem Tax")</f>
        <v>Amount of 2012       Ad Valorem Tax</v>
      </c>
      <c r="H14" s="211" t="s">
        <v>180</v>
      </c>
    </row>
    <row r="15" spans="1:8" ht="15.75">
      <c r="A15" s="110" t="s">
        <v>181</v>
      </c>
      <c r="B15" s="260" t="s">
        <v>133</v>
      </c>
      <c r="C15" s="260" t="s">
        <v>182</v>
      </c>
      <c r="D15" s="260" t="s">
        <v>133</v>
      </c>
      <c r="E15" s="260" t="s">
        <v>182</v>
      </c>
      <c r="F15" s="485" t="s">
        <v>649</v>
      </c>
      <c r="G15" s="727"/>
      <c r="H15" s="260" t="s">
        <v>182</v>
      </c>
    </row>
    <row r="16" spans="1:8" ht="15.75">
      <c r="A16" s="124" t="str">
        <f>inputPrYr!B16</f>
        <v>General</v>
      </c>
      <c r="B16" s="124">
        <f>IF(general!$C$94&lt;&gt;0,general!$C$94,"  ")</f>
        <v>2124610</v>
      </c>
      <c r="C16" s="372">
        <f>IF(inputPrYr!D90&lt;&gt;0,inputPrYr!D90,"  ")</f>
        <v>47.351</v>
      </c>
      <c r="D16" s="124">
        <f>IF(general!$D$94&lt;&gt;0,general!$D$94,"  ")</f>
        <v>2283480</v>
      </c>
      <c r="E16" s="372">
        <f>IF(inputPrYr!F16&lt;&gt;0,inputPrYr!F16,"  ")</f>
        <v>34.262</v>
      </c>
      <c r="F16" s="124">
        <f>IF(general!$E$94&lt;&gt;0,general!$E$94,"  ")</f>
        <v>3085383</v>
      </c>
      <c r="G16" s="124">
        <f>IF(general!$E$101&lt;&gt;0,general!$E$101,"  ")</f>
        <v>1824066.06</v>
      </c>
      <c r="H16" s="372">
        <f>IF(general!E101&lt;&gt;0,ROUND(G16/$F$43*1000,3),"  ")</f>
        <v>42.228</v>
      </c>
    </row>
    <row r="17" spans="1:8" ht="15.75">
      <c r="A17" s="124" t="str">
        <f>inputPrYr!B18</f>
        <v>Road &amp; Bridge</v>
      </c>
      <c r="B17" s="124">
        <f>IF(road!$C$42&lt;&gt;0,road!$C$42,"  ")</f>
        <v>1473361</v>
      </c>
      <c r="C17" s="372">
        <f>IF(inputPrYr!D92&lt;&gt;0,inputPrYr!D92,"  ")</f>
        <v>22.134</v>
      </c>
      <c r="D17" s="124">
        <f>IF(road!$D$42&lt;&gt;0,road!$D$42,"  ")</f>
        <v>1685000</v>
      </c>
      <c r="E17" s="372">
        <f>IF(inputPrYr!F18&lt;&gt;0,inputPrYr!F18,"  ")</f>
        <v>33.714</v>
      </c>
      <c r="F17" s="124">
        <f>IF(road!$E$42&lt;&gt;0,road!$E$42,"  ")</f>
        <v>2439498</v>
      </c>
      <c r="G17" s="124">
        <f>IF(road!$E$49&lt;&gt;0,road!$E$49,"  ")</f>
        <v>1409535.8</v>
      </c>
      <c r="H17" s="372">
        <f>IF(road!E49&lt;&gt;0,ROUND(G17/$F$43*1000,3),"  ")</f>
        <v>32.631</v>
      </c>
    </row>
    <row r="18" spans="1:8" ht="15.75">
      <c r="A18" s="124" t="str">
        <f>IF((inputPrYr!$B19&gt;" "),(inputPrYr!$B19),"  ")</f>
        <v>Noxious Weed</v>
      </c>
      <c r="B18" s="124">
        <f>IF('levy page9'!$C$25&lt;&gt;0,'levy page9'!$C$25,"  ")</f>
        <v>112459</v>
      </c>
      <c r="C18" s="372">
        <f>IF(inputPrYr!D93&lt;&gt;0,inputPrYr!D93,"  ")</f>
        <v>1.897</v>
      </c>
      <c r="D18" s="124">
        <f>IF('levy page9'!$D$25&lt;&gt;0,'levy page9'!$D$25,"  ")</f>
        <v>158500</v>
      </c>
      <c r="E18" s="372">
        <f>IF(inputPrYr!F19&lt;&gt;0,inputPrYr!F19,"  ")</f>
        <v>2.194</v>
      </c>
      <c r="F18" s="124">
        <f>IF('levy page9'!$E$25&lt;&gt;0,'levy page9'!$E$25,"  ")</f>
        <v>190187</v>
      </c>
      <c r="G18" s="124">
        <f>IF('levy page9'!$E$32&lt;&gt;0,'levy page9'!$E$32,"  ")</f>
        <v>120361</v>
      </c>
      <c r="H18" s="372">
        <f>IF('levy page9'!E32&lt;&gt;0,ROUND(G18/$F$43*1000,3),"  ")</f>
        <v>2.786</v>
      </c>
    </row>
    <row r="19" spans="1:8" ht="15.75">
      <c r="A19" s="124" t="str">
        <f>IF((inputPrYr!$B20&gt;" "),(inputPrYr!$B20),"  ")</f>
        <v>Mental Health</v>
      </c>
      <c r="B19" s="124">
        <f>IF('levy page9'!$C$52&lt;&gt;0,'levy page9'!$C$52,"  ")</f>
        <v>16341</v>
      </c>
      <c r="C19" s="372">
        <f>IF(inputPrYr!D94&lt;&gt;0,inputPrYr!D94,"  ")</f>
        <v>0.389</v>
      </c>
      <c r="D19" s="124">
        <f>IF('levy page9'!$D$52&lt;&gt;0,'levy page9'!$D$52,"  ")</f>
        <v>16599</v>
      </c>
      <c r="E19" s="372">
        <f>IF(inputPrYr!F20&lt;&gt;0,inputPrYr!F20,"  ")</f>
        <v>0.334</v>
      </c>
      <c r="F19" s="124">
        <f>IF('levy page9'!$E$52&lt;&gt;0,'levy page9'!$E$52,"  ")</f>
        <v>16582</v>
      </c>
      <c r="G19" s="124">
        <f>IF('levy page9'!$E$59&lt;&gt;0,'levy page9'!$E$59,"  ")</f>
        <v>15033</v>
      </c>
      <c r="H19" s="372">
        <f>IF('levy page9'!E59&lt;&gt;0,ROUND(G19/$F$43*1000,3),"  ")</f>
        <v>0.348</v>
      </c>
    </row>
    <row r="20" spans="1:8" ht="15.75">
      <c r="A20" s="124" t="str">
        <f>IF((inputPrYr!$B21&gt;" "),(inputPrYr!$B21),"  ")</f>
        <v>Public Health</v>
      </c>
      <c r="B20" s="124">
        <f>IF('levy page10'!$C$28&lt;&gt;0,'levy page10'!$C$28,"  ")</f>
        <v>166187</v>
      </c>
      <c r="C20" s="372">
        <f>IF(inputPrYr!D95&lt;&gt;0,inputPrYr!D95,"  ")</f>
        <v>0.569</v>
      </c>
      <c r="D20" s="124">
        <f>IF('levy page10'!$D$28&lt;&gt;0,'levy page10'!$D$28,"  ")</f>
        <v>146102</v>
      </c>
      <c r="E20" s="372">
        <f>IF(inputPrYr!F21&lt;&gt;0,inputPrYr!F21,"  ")</f>
        <v>0.5</v>
      </c>
      <c r="F20" s="124">
        <f>IF('levy page10'!$E$28&lt;&gt;0,'levy page10'!$E$28,"  ")</f>
        <v>129017</v>
      </c>
      <c r="G20" s="124">
        <f>IF('levy page10'!$E$35&lt;&gt;0,'levy page10'!$E$35,"  ")</f>
        <v>21718</v>
      </c>
      <c r="H20" s="372">
        <f>IF('levy page10'!$E$35&lt;&gt;0,ROUND(G20/$F$43*1000,3),"  ")</f>
        <v>0.503</v>
      </c>
    </row>
    <row r="21" spans="1:8" ht="15.75">
      <c r="A21" s="124" t="str">
        <f>IF((inputPrYr!$B22&gt;" "),(inputPrYr!$B22),"  ")</f>
        <v>Council on Aging</v>
      </c>
      <c r="B21" s="124">
        <f>IF('levy page10'!$C$55&lt;&gt;0,'levy page10'!$C$55,"  ")</f>
        <v>31405</v>
      </c>
      <c r="C21" s="372">
        <f>IF(inputPrYr!D96&lt;&gt;0,inputPrYr!D96,"  ")</f>
        <v>0.751</v>
      </c>
      <c r="D21" s="124">
        <f>IF('levy page10'!$D$55&lt;&gt;0,'levy page10'!$D$55,"  ")</f>
        <v>36623</v>
      </c>
      <c r="E21" s="372">
        <f>IF(inputPrYr!F22&lt;&gt;0,inputPrYr!F22,"  ")</f>
        <v>0.75</v>
      </c>
      <c r="F21" s="124">
        <f>IF('levy page10'!$E$55&lt;&gt;0,'levy page10'!$E$55,"  ")</f>
        <v>36307</v>
      </c>
      <c r="G21" s="124">
        <f>IF('levy page10'!$E$62&lt;&gt;0,'levy page10'!$E$62,"  ")</f>
        <v>32903</v>
      </c>
      <c r="H21" s="372">
        <f>IF('levy page10'!$E$62&lt;&gt;0,ROUND(G21/$F$43*1000,3),"  ")</f>
        <v>0.762</v>
      </c>
    </row>
    <row r="22" spans="1:8" ht="15.75">
      <c r="A22" s="124" t="str">
        <f>IF((inputPrYr!$B23&gt;" "),(inputPrYr!$B23),"  ")</f>
        <v>Library Service Contract</v>
      </c>
      <c r="B22" s="124">
        <f>IF('levy page11'!$C$22&lt;&gt;0,'levy page11'!$C$22,"  ")</f>
        <v>17241</v>
      </c>
      <c r="C22" s="372">
        <f>IF(inputPrYr!D97&lt;&gt;0,inputPrYr!D97,"  ")</f>
        <v>0.416</v>
      </c>
      <c r="D22" s="124">
        <f>IF('levy page11'!$D$22&lt;&gt;0,'levy page11'!$D$22,"  ")</f>
        <v>17500</v>
      </c>
      <c r="E22" s="372">
        <f>IF(inputPrYr!F23&lt;&gt;0,inputPrYr!F23,"  ")</f>
        <v>0.353</v>
      </c>
      <c r="F22" s="124">
        <f>IF('levy page11'!$E$22&lt;&gt;0,'levy page11'!$E$22,"  ")</f>
        <v>17587</v>
      </c>
      <c r="G22" s="124">
        <f>IF('levy page11'!$E$29&lt;&gt;0,'levy page11'!$E$29,"  ")</f>
        <v>15899</v>
      </c>
      <c r="H22" s="372">
        <f>IF('levy page11'!$E$29&lt;&gt;0,ROUND(G22/$F$43*1000,3),"  ")</f>
        <v>0.368</v>
      </c>
    </row>
    <row r="23" spans="1:8" ht="15.75">
      <c r="A23" s="124" t="str">
        <f>IF((inputPrYr!$B24&gt;" "),(inputPrYr!$B24),"  ")</f>
        <v>Hospital Maintenance</v>
      </c>
      <c r="B23" s="124">
        <f>IF('levy page11'!$C$50&lt;&gt;0,'levy page11'!$C$50,"  ")</f>
        <v>765653</v>
      </c>
      <c r="C23" s="372">
        <f>IF(inputPrYr!D98&lt;&gt;0,inputPrYr!D98,"  ")</f>
        <v>9.93</v>
      </c>
      <c r="D23" s="124">
        <f>IF('levy page11'!$D$50&lt;&gt;0,'levy page11'!$D$50,"  ")</f>
        <v>858892</v>
      </c>
      <c r="E23" s="372">
        <f>IF(inputPrYr!F24&lt;&gt;0,inputPrYr!F24,"  ")</f>
        <v>9.996</v>
      </c>
      <c r="F23" s="124">
        <f>IF('levy page11'!$E$50&lt;&gt;0,'levy page11'!$E$50,"  ")</f>
        <v>900848</v>
      </c>
      <c r="G23" s="124">
        <f>IF('levy page11'!$E$57&lt;&gt;0,'levy page11'!$E$57,"  ")</f>
        <v>443090</v>
      </c>
      <c r="H23" s="372">
        <f>IF('levy page11'!$E$57&lt;&gt;0,ROUND(G23/$F$43*1000,3),"  ")</f>
        <v>10.258</v>
      </c>
    </row>
    <row r="24" spans="1:8" ht="15.75">
      <c r="A24" s="124" t="str">
        <f>IF((inputPrYr!$B25&gt;" "),(inputPrYr!$B25),"  ")</f>
        <v>Mental Retardation</v>
      </c>
      <c r="B24" s="124">
        <f>IF('levy page12'!$C$24&lt;&gt;0,'levy page12'!$C$24,"  ")</f>
        <v>43645</v>
      </c>
      <c r="C24" s="372">
        <f>IF(inputPrYr!D99&lt;&gt;0,inputPrYr!D99,"  ")</f>
        <v>1.048</v>
      </c>
      <c r="D24" s="124">
        <f>IF('levy page12'!$D$24&lt;&gt;0,'levy page12'!$D$24,"  ")</f>
        <v>46495</v>
      </c>
      <c r="E24" s="372">
        <f>IF(inputPrYr!F25&lt;&gt;0,inputPrYr!F25,"  ")</f>
        <v>0.945</v>
      </c>
      <c r="F24" s="124">
        <f>IF('levy page12'!$E$24&lt;&gt;0,'levy page12'!$E$24,"  ")</f>
        <v>46532</v>
      </c>
      <c r="G24" s="124">
        <f>IF('levy page12'!$E$31&lt;&gt;0,'levy page12'!$E$31,"  ")</f>
        <v>42304</v>
      </c>
      <c r="H24" s="372">
        <f>IF('levy page12'!$E$31&lt;&gt;0,ROUND(G24/$F$43*1000,3),"  ")</f>
        <v>0.979</v>
      </c>
    </row>
    <row r="25" spans="1:8" ht="15.75">
      <c r="A25" s="124" t="str">
        <f>IF((inputPrYr!$B26&gt;" "),(inputPrYr!$B26),"  ")</f>
        <v>Pool Lease-Purchase</v>
      </c>
      <c r="B25" s="124" t="str">
        <f>IF('levy page12'!$C$53&lt;&gt;0,'levy page12'!$C$53,"  ")</f>
        <v>  </v>
      </c>
      <c r="C25" s="372" t="str">
        <f>IF(inputPrYr!D100&lt;&gt;0,inputPrYr!D100,"  ")</f>
        <v>  </v>
      </c>
      <c r="D25" s="124" t="str">
        <f>IF('levy page12'!$D$53&lt;&gt;0,'levy page12'!$D$53,"  ")</f>
        <v>  </v>
      </c>
      <c r="E25" s="372" t="str">
        <f>IF(inputPrYr!F26&lt;&gt;0,inputPrYr!F26,"  ")</f>
        <v>  </v>
      </c>
      <c r="F25" s="124">
        <f>IF('levy page12'!$E$53&lt;&gt;0,'levy page12'!$E$53,"  ")</f>
        <v>138000</v>
      </c>
      <c r="G25" s="124">
        <f>IF('levy page12'!$E$60&lt;&gt;0,'levy page12'!$E$60,"  ")</f>
        <v>139380</v>
      </c>
      <c r="H25" s="372">
        <f>IF('levy page12'!$E$60&lt;&gt;0,ROUND(G25/$F$43*1000,3),"  ")</f>
        <v>3.227</v>
      </c>
    </row>
    <row r="26" spans="1:8" ht="15.75">
      <c r="A26" s="124"/>
      <c r="B26" s="124"/>
      <c r="C26" s="372"/>
      <c r="D26" s="124"/>
      <c r="E26" s="372"/>
      <c r="F26" s="124"/>
      <c r="G26" s="124"/>
      <c r="H26" s="372"/>
    </row>
    <row r="27" spans="1:8" ht="15.75">
      <c r="A27" s="124" t="s">
        <v>911</v>
      </c>
      <c r="B27" s="124" t="str">
        <f>IF('no levy page13'!$C$22&lt;&gt;0,'no levy page13'!$C$22,"  ")</f>
        <v>  </v>
      </c>
      <c r="C27" s="105"/>
      <c r="D27" s="124">
        <f>IF('no levy page13'!$D$22&lt;&gt;0,'no levy page13'!$D$22,"  ")</f>
        <v>857</v>
      </c>
      <c r="E27" s="105"/>
      <c r="F27" s="124">
        <f>IF('no levy page13'!$E$22&lt;&gt;0,'no levy page13'!$E$22,"  ")</f>
        <v>75231</v>
      </c>
      <c r="G27" s="124"/>
      <c r="H27" s="101"/>
    </row>
    <row r="28" spans="1:8" ht="15.75">
      <c r="A28" s="124" t="str">
        <f>IF((inputPrYr!$B44&gt;" "),(inputPrYr!$B44),"  ")</f>
        <v>911 Emergency Tax</v>
      </c>
      <c r="B28" s="124">
        <f>IF('no levy page13'!$C$48&lt;&gt;0,'no levy page13'!$C$48,"  ")</f>
        <v>10151</v>
      </c>
      <c r="C28" s="105"/>
      <c r="D28" s="124">
        <f>IF('no levy page13'!$D$48&lt;&gt;0,'no levy page13'!$D$48,"  ")</f>
        <v>10000</v>
      </c>
      <c r="E28" s="105"/>
      <c r="F28" s="124">
        <f>IF('no levy page13'!$E$48&lt;&gt;0,'no levy page13'!$E$48,"  ")</f>
        <v>39779</v>
      </c>
      <c r="G28" s="124"/>
      <c r="H28" s="101"/>
    </row>
    <row r="29" spans="1:8" ht="15.75">
      <c r="A29" s="124" t="str">
        <f>IF((inputPrYr!$B45&gt;" "),(inputPrYr!$B45),"  ")</f>
        <v>Parks &amp; Recreation</v>
      </c>
      <c r="B29" s="124">
        <f>IF('no levy page14'!$C$22&lt;&gt;0,'no levy page14'!$C$22,"  ")</f>
        <v>2568</v>
      </c>
      <c r="C29" s="105"/>
      <c r="D29" s="124">
        <f>IF('no levy page14'!$D$22&lt;&gt;0,'no levy page14'!$D$22,"  ")</f>
        <v>1600</v>
      </c>
      <c r="E29" s="105"/>
      <c r="F29" s="124">
        <f>IF('no levy page14'!$E$22&lt;&gt;0,'no levy page14'!$E$22,"  ")</f>
        <v>2632</v>
      </c>
      <c r="G29" s="124"/>
      <c r="H29" s="101"/>
    </row>
    <row r="30" spans="1:8" ht="15.75">
      <c r="A30" s="124" t="str">
        <f>IF((inputPrYr!$B46&gt;" "),(inputPrYr!$B46),"  ")</f>
        <v>Solid Waste Disposal</v>
      </c>
      <c r="B30" s="124">
        <f>IF('no levy page14'!$C$48&lt;&gt;0,'no levy page14'!$C$48,"  ")</f>
        <v>85878</v>
      </c>
      <c r="C30" s="105"/>
      <c r="D30" s="124">
        <f>IF('no levy page14'!$D$48&lt;&gt;0,'no levy page14'!$D$48,"  ")</f>
        <v>51500</v>
      </c>
      <c r="E30" s="105"/>
      <c r="F30" s="124">
        <f>IF('no levy page14'!$E$48&lt;&gt;0,'no levy page14'!$E$48,"  ")</f>
        <v>152045</v>
      </c>
      <c r="G30" s="124"/>
      <c r="H30" s="101"/>
    </row>
    <row r="31" spans="1:8" ht="15.75">
      <c r="A31" s="124" t="str">
        <f>IF((inputPrYr!$B47&gt;" "),(inputPrYr!$B47),"  ")</f>
        <v>Alcohol Program</v>
      </c>
      <c r="B31" s="124">
        <f>IF('no levy page15'!$C$23&lt;&gt;0,'no levy page15'!$C$23,"  ")</f>
        <v>378</v>
      </c>
      <c r="C31" s="105"/>
      <c r="D31" s="124">
        <f>IF('no levy page15'!$D$23&lt;&gt;0,'no levy page15'!$D$23,"  ")</f>
        <v>350</v>
      </c>
      <c r="E31" s="105"/>
      <c r="F31" s="124">
        <f>IF('no levy page15'!$E$23&lt;&gt;0,'no levy page15'!$E$23,"  ")</f>
        <v>36611</v>
      </c>
      <c r="G31" s="124"/>
      <c r="H31" s="101"/>
    </row>
    <row r="32" spans="1:8" ht="15.75">
      <c r="A32" s="124" t="str">
        <f>IF((inputPrYr!$B48&gt;" "),(inputPrYr!$B48),"  ")</f>
        <v>Special Ambulance</v>
      </c>
      <c r="B32" s="124" t="str">
        <f>IF('no levy page15'!$C$48&lt;&gt;0,'no levy page15'!$C$48,"  ")</f>
        <v>  </v>
      </c>
      <c r="C32" s="105"/>
      <c r="D32" s="124">
        <f>IF('no levy page15'!$D$48&lt;&gt;0,'no levy page15'!$D$48,"  ")</f>
        <v>10400</v>
      </c>
      <c r="E32" s="105"/>
      <c r="F32" s="124">
        <f>IF('no levy page15'!$E$48&lt;&gt;0,'no levy page15'!$E$48,"  ")</f>
        <v>280094</v>
      </c>
      <c r="G32" s="124"/>
      <c r="H32" s="101"/>
    </row>
    <row r="33" spans="1:8" ht="15.75">
      <c r="A33" s="124" t="str">
        <f>IF((inputPrYr!$B49&gt;" "),(inputPrYr!$B49),"  ")</f>
        <v>911 Wireless</v>
      </c>
      <c r="B33" s="124" t="str">
        <f>IF('no levy page16'!$C$23&lt;&gt;0,'no levy page16'!$C$23,"  ")</f>
        <v>  </v>
      </c>
      <c r="C33" s="105"/>
      <c r="D33" s="124" t="str">
        <f>IF('no levy page16'!$D$23&lt;&gt;0,'no levy page16'!$D$23,"  ")</f>
        <v>  </v>
      </c>
      <c r="E33" s="105"/>
      <c r="F33" s="124">
        <f>IF('no levy page16'!$E$23&lt;&gt;0,'no levy page16'!$E$23,"  ")</f>
        <v>91357</v>
      </c>
      <c r="G33" s="124"/>
      <c r="H33" s="101"/>
    </row>
    <row r="34" spans="1:8" ht="15.75">
      <c r="A34" s="124" t="str">
        <f>IF((inputPrYr!$B58&gt;" "),(inputPrYr!$B58),"  ")</f>
        <v>  </v>
      </c>
      <c r="B34" s="124"/>
      <c r="C34" s="105"/>
      <c r="D34" s="124"/>
      <c r="E34" s="105"/>
      <c r="F34" s="124"/>
      <c r="G34" s="124"/>
      <c r="H34" s="101"/>
    </row>
    <row r="35" spans="1:8" ht="15.75">
      <c r="A35" s="187" t="str">
        <f>IF((inputPrYr!$B62&gt;"  "),(nonbudA!$A3),"  ")</f>
        <v>Non-Budgeted Funds-A</v>
      </c>
      <c r="B35" s="124">
        <f>IF(nonbudA!$K$28&lt;&gt;0,nonbudA!$K$28,"  ")</f>
        <v>421973</v>
      </c>
      <c r="C35" s="105"/>
      <c r="D35" s="124"/>
      <c r="E35" s="105"/>
      <c r="F35" s="124"/>
      <c r="G35" s="124"/>
      <c r="H35" s="101"/>
    </row>
    <row r="36" spans="1:13" ht="15.75">
      <c r="A36" s="187" t="str">
        <f>IF((inputPrYr!$B68&gt;"  "),(nonbudB!$A3),"  ")</f>
        <v>Non-Budgeted Funds-B</v>
      </c>
      <c r="B36" s="124">
        <f>IF(nonbudB!$K$28&lt;&gt;0,nonbudB!$K$28,"  ")</f>
        <v>19383</v>
      </c>
      <c r="C36" s="105"/>
      <c r="D36" s="124"/>
      <c r="E36" s="105"/>
      <c r="F36" s="124"/>
      <c r="G36" s="124"/>
      <c r="H36" s="101"/>
      <c r="J36" s="786" t="str">
        <f>CONCATENATE("Estimated Value Of One Mill For ",H1,"")</f>
        <v>Estimated Value Of One Mill For 2013</v>
      </c>
      <c r="K36" s="792"/>
      <c r="L36" s="792"/>
      <c r="M36" s="793"/>
    </row>
    <row r="37" spans="1:13" ht="15.75">
      <c r="A37" s="187" t="str">
        <f>IF((inputPrYr!$B74&gt;"  "),(nonbudC!$A3),"  ")</f>
        <v>Non-Budgeted Funds-C</v>
      </c>
      <c r="B37" s="124">
        <f>IF(nonbudC!$K$28&lt;&gt;0,nonbudC!$K$28,"  ")</f>
        <v>48912</v>
      </c>
      <c r="C37" s="105"/>
      <c r="D37" s="124"/>
      <c r="E37" s="105"/>
      <c r="F37" s="124"/>
      <c r="G37" s="124"/>
      <c r="H37" s="101"/>
      <c r="J37" s="490"/>
      <c r="K37" s="491"/>
      <c r="L37" s="491"/>
      <c r="M37" s="492"/>
    </row>
    <row r="38" spans="1:13" ht="16.5" thickBot="1">
      <c r="A38" s="187" t="str">
        <f>IF((inputPrYr!$B80&gt;"  "),(#REF!),"  ")</f>
        <v>  </v>
      </c>
      <c r="B38" s="479"/>
      <c r="C38" s="478"/>
      <c r="D38" s="479"/>
      <c r="E38" s="478"/>
      <c r="F38" s="479"/>
      <c r="G38" s="479"/>
      <c r="H38" s="477"/>
      <c r="J38" s="493" t="s">
        <v>662</v>
      </c>
      <c r="K38" s="494"/>
      <c r="L38" s="494"/>
      <c r="M38" s="495">
        <f>ROUND(F43/1000,0)</f>
        <v>43196</v>
      </c>
    </row>
    <row r="39" spans="1:8" ht="15.75">
      <c r="A39" s="100" t="s">
        <v>151</v>
      </c>
      <c r="B39" s="482">
        <f>SUM(B16:B38)</f>
        <v>5340145</v>
      </c>
      <c r="C39" s="480">
        <f>SUM(C16:C25)</f>
        <v>84.48500000000001</v>
      </c>
      <c r="D39" s="482">
        <f>SUM(D16:D38)</f>
        <v>5323898</v>
      </c>
      <c r="E39" s="480">
        <f>SUM(E16:E25)</f>
        <v>83.04799999999999</v>
      </c>
      <c r="F39" s="482">
        <f>SUM(F16:F38)</f>
        <v>7677690</v>
      </c>
      <c r="G39" s="482">
        <f>SUM(G16:G25)</f>
        <v>4064289.8600000003</v>
      </c>
      <c r="H39" s="480">
        <f>SUM(H16:H25)</f>
        <v>94.09</v>
      </c>
    </row>
    <row r="40" spans="1:13" ht="15.75">
      <c r="A40" s="81" t="s">
        <v>183</v>
      </c>
      <c r="B40" s="373">
        <f>transfers!C29</f>
        <v>530344</v>
      </c>
      <c r="C40" s="374"/>
      <c r="D40" s="373">
        <f>transfers!D29</f>
        <v>660000</v>
      </c>
      <c r="E40" s="329"/>
      <c r="F40" s="373">
        <f>transfers!E29</f>
        <v>672500</v>
      </c>
      <c r="G40" s="82"/>
      <c r="H40" s="122"/>
      <c r="J40" s="786" t="str">
        <f>CONCATENATE("Want The Mill Rate The Same As For ",H1-1,"?")</f>
        <v>Want The Mill Rate The Same As For 2012?</v>
      </c>
      <c r="K40" s="792"/>
      <c r="L40" s="792"/>
      <c r="M40" s="793"/>
    </row>
    <row r="41" spans="1:13" ht="16.5" thickBot="1">
      <c r="A41" s="81" t="s">
        <v>184</v>
      </c>
      <c r="B41" s="376">
        <f>B39-B40</f>
        <v>4809801</v>
      </c>
      <c r="C41" s="82"/>
      <c r="D41" s="376">
        <f>D39-D40</f>
        <v>4663898</v>
      </c>
      <c r="E41" s="374"/>
      <c r="F41" s="376">
        <f>F39-F40</f>
        <v>7005190</v>
      </c>
      <c r="G41" s="82"/>
      <c r="H41" s="122"/>
      <c r="J41" s="497"/>
      <c r="K41" s="491"/>
      <c r="L41" s="491"/>
      <c r="M41" s="498"/>
    </row>
    <row r="42" spans="1:13" ht="16.5" thickTop="1">
      <c r="A42" s="81" t="s">
        <v>185</v>
      </c>
      <c r="B42" s="482">
        <f>inputPrYr!F117</f>
        <v>3149161</v>
      </c>
      <c r="C42" s="82"/>
      <c r="D42" s="482">
        <f>inputPrYr!E41</f>
        <v>3660362</v>
      </c>
      <c r="E42" s="82"/>
      <c r="F42" s="481" t="s">
        <v>62</v>
      </c>
      <c r="G42" s="82"/>
      <c r="H42" s="122"/>
      <c r="J42" s="497" t="str">
        <f>CONCATENATE("",H1-1," Mill Rate Was:")</f>
        <v>2012 Mill Rate Was:</v>
      </c>
      <c r="K42" s="491"/>
      <c r="L42" s="491"/>
      <c r="M42" s="499">
        <f>E39</f>
        <v>83.04799999999999</v>
      </c>
    </row>
    <row r="43" spans="1:13" ht="15.75">
      <c r="A43" s="81" t="s">
        <v>186</v>
      </c>
      <c r="B43" s="124">
        <f>inputPrYr!F118</f>
        <v>37275050</v>
      </c>
      <c r="C43" s="82"/>
      <c r="D43" s="124">
        <f>inputPrYr!F85</f>
        <v>44076247</v>
      </c>
      <c r="E43" s="82"/>
      <c r="F43" s="124">
        <f>inputOth!E6</f>
        <v>43195695</v>
      </c>
      <c r="G43" s="82"/>
      <c r="H43" s="122"/>
      <c r="J43" s="500" t="str">
        <f>CONCATENATE("",H1," Tax Levy Fund Expenditures Must Be")</f>
        <v>2013 Tax Levy Fund Expenditures Must Be</v>
      </c>
      <c r="K43" s="501"/>
      <c r="L43" s="501"/>
      <c r="M43" s="498"/>
    </row>
    <row r="44" spans="1:13" ht="15.75">
      <c r="A44" s="82"/>
      <c r="B44" s="82"/>
      <c r="C44" s="82"/>
      <c r="D44" s="82"/>
      <c r="E44" s="82"/>
      <c r="F44" s="82"/>
      <c r="G44" s="82"/>
      <c r="H44" s="122"/>
      <c r="J44" s="500">
        <f>IF(M44&gt;0,"Increased By:","")</f>
      </c>
      <c r="K44" s="501"/>
      <c r="L44" s="501"/>
      <c r="M44" s="587">
        <f>IF(M51&lt;0,M51*-1,0)</f>
        <v>0</v>
      </c>
    </row>
    <row r="45" spans="1:13" ht="15.75">
      <c r="A45" s="81" t="s">
        <v>187</v>
      </c>
      <c r="B45" s="82"/>
      <c r="C45" s="82"/>
      <c r="D45" s="82"/>
      <c r="E45" s="82"/>
      <c r="F45" s="82"/>
      <c r="G45" s="82"/>
      <c r="H45" s="134"/>
      <c r="J45" s="588" t="str">
        <f>IF(M45&lt;0,"Reduced By:","")</f>
        <v>Reduced By:</v>
      </c>
      <c r="K45" s="589"/>
      <c r="L45" s="589"/>
      <c r="M45" s="590">
        <f>IF(M51&gt;0,M51*-1,0)</f>
        <v>-476973.86000000034</v>
      </c>
    </row>
    <row r="46" spans="1:13" ht="15.75">
      <c r="A46" s="81" t="s">
        <v>188</v>
      </c>
      <c r="B46" s="375">
        <f>H1-3</f>
        <v>2010</v>
      </c>
      <c r="C46" s="82"/>
      <c r="D46" s="375">
        <f>H1-2</f>
        <v>2011</v>
      </c>
      <c r="E46" s="82"/>
      <c r="F46" s="375">
        <f>H1-1</f>
        <v>2012</v>
      </c>
      <c r="G46" s="82"/>
      <c r="H46" s="134"/>
      <c r="J46" s="504"/>
      <c r="K46" s="504"/>
      <c r="L46" s="504"/>
      <c r="M46" s="504"/>
    </row>
    <row r="47" spans="1:13" ht="15.75">
      <c r="A47" s="81" t="s">
        <v>189</v>
      </c>
      <c r="B47" s="124">
        <f>inputPrYr!D122</f>
        <v>0</v>
      </c>
      <c r="C47" s="82"/>
      <c r="D47" s="124">
        <f>inputPrYr!E122</f>
        <v>0</v>
      </c>
      <c r="E47" s="82"/>
      <c r="F47" s="124">
        <f>debt!G19</f>
        <v>0</v>
      </c>
      <c r="G47" s="82"/>
      <c r="H47" s="134"/>
      <c r="J47" s="786" t="str">
        <f>CONCATENATE("Impact On Keeping The Same Mill Rate As For ",H1-1,"")</f>
        <v>Impact On Keeping The Same Mill Rate As For 2012</v>
      </c>
      <c r="K47" s="787"/>
      <c r="L47" s="787"/>
      <c r="M47" s="788"/>
    </row>
    <row r="48" spans="1:13" ht="15.75">
      <c r="A48" s="81" t="s">
        <v>190</v>
      </c>
      <c r="B48" s="124">
        <f>inputPrYr!D123</f>
        <v>0</v>
      </c>
      <c r="C48" s="82"/>
      <c r="D48" s="124">
        <f>inputPrYr!E123</f>
        <v>0</v>
      </c>
      <c r="E48" s="82"/>
      <c r="F48" s="124">
        <f>debt!G27</f>
        <v>0</v>
      </c>
      <c r="G48" s="82"/>
      <c r="H48" s="134"/>
      <c r="J48" s="497"/>
      <c r="K48" s="491"/>
      <c r="L48" s="491"/>
      <c r="M48" s="498"/>
    </row>
    <row r="49" spans="1:13" ht="15.75">
      <c r="A49" s="81" t="s">
        <v>176</v>
      </c>
      <c r="B49" s="124">
        <f>inputPrYr!D124</f>
        <v>0</v>
      </c>
      <c r="C49" s="82"/>
      <c r="D49" s="124">
        <f>inputPrYr!E124</f>
        <v>0</v>
      </c>
      <c r="E49" s="82"/>
      <c r="F49" s="124">
        <f>debt!G36</f>
        <v>0</v>
      </c>
      <c r="G49" s="82"/>
      <c r="H49" s="134"/>
      <c r="J49" s="497" t="str">
        <f>CONCATENATE("",H1," Ad Valorem Tax Revenue:")</f>
        <v>2013 Ad Valorem Tax Revenue:</v>
      </c>
      <c r="K49" s="491"/>
      <c r="L49" s="491"/>
      <c r="M49" s="492">
        <f>G39</f>
        <v>4064289.8600000003</v>
      </c>
    </row>
    <row r="50" spans="1:13" ht="15.75">
      <c r="A50" s="81" t="s">
        <v>271</v>
      </c>
      <c r="B50" s="124">
        <f>inputPrYr!D125</f>
        <v>0</v>
      </c>
      <c r="C50" s="82"/>
      <c r="D50" s="124">
        <f>inputPrYr!E125</f>
        <v>0</v>
      </c>
      <c r="E50" s="82"/>
      <c r="F50" s="124">
        <f>lpform!G37</f>
        <v>0</v>
      </c>
      <c r="G50" s="82"/>
      <c r="H50" s="134"/>
      <c r="J50" s="497" t="str">
        <f>CONCATENATE("",H1-1," Ad Valorem Tax Revenue:")</f>
        <v>2012 Ad Valorem Tax Revenue:</v>
      </c>
      <c r="K50" s="491"/>
      <c r="L50" s="491"/>
      <c r="M50" s="505">
        <f>ROUND(F43*M42/1000,0)</f>
        <v>3587316</v>
      </c>
    </row>
    <row r="51" spans="1:13" ht="16.5" thickBot="1">
      <c r="A51" s="81" t="s">
        <v>191</v>
      </c>
      <c r="B51" s="507">
        <f>SUM(B47:B50)</f>
        <v>0</v>
      </c>
      <c r="C51" s="82"/>
      <c r="D51" s="507">
        <f>SUM(D47:D50)</f>
        <v>0</v>
      </c>
      <c r="E51" s="82"/>
      <c r="F51" s="507">
        <f>SUM(F47:F50)</f>
        <v>0</v>
      </c>
      <c r="G51" s="82"/>
      <c r="H51" s="134"/>
      <c r="J51" s="502" t="s">
        <v>663</v>
      </c>
      <c r="K51" s="503"/>
      <c r="L51" s="503"/>
      <c r="M51" s="495">
        <f>SUM(M49-M50)</f>
        <v>476973.86000000034</v>
      </c>
    </row>
    <row r="52" spans="1:13" ht="16.5" thickTop="1">
      <c r="A52" s="81" t="s">
        <v>192</v>
      </c>
      <c r="B52" s="82"/>
      <c r="C52" s="82"/>
      <c r="D52" s="82"/>
      <c r="E52" s="82"/>
      <c r="F52" s="82"/>
      <c r="G52" s="82"/>
      <c r="H52" s="134"/>
      <c r="J52" s="496"/>
      <c r="K52" s="496"/>
      <c r="L52" s="496"/>
      <c r="M52" s="504"/>
    </row>
    <row r="53" spans="1:13" ht="15.75">
      <c r="A53" s="82"/>
      <c r="B53" s="82"/>
      <c r="C53" s="82"/>
      <c r="D53" s="82"/>
      <c r="E53" s="82"/>
      <c r="F53" s="82"/>
      <c r="G53" s="82"/>
      <c r="H53" s="134"/>
      <c r="J53" s="786" t="s">
        <v>664</v>
      </c>
      <c r="K53" s="789"/>
      <c r="L53" s="789"/>
      <c r="M53" s="790"/>
    </row>
    <row r="54" spans="1:13" ht="15.75">
      <c r="A54" s="791" t="str">
        <f>inputBudSum!B3</f>
        <v>Paula Bielser</v>
      </c>
      <c r="B54" s="791"/>
      <c r="C54" s="82"/>
      <c r="D54" s="82"/>
      <c r="E54" s="82"/>
      <c r="F54" s="82"/>
      <c r="G54" s="82"/>
      <c r="H54" s="134"/>
      <c r="J54" s="497"/>
      <c r="K54" s="491"/>
      <c r="L54" s="491"/>
      <c r="M54" s="498"/>
    </row>
    <row r="55" spans="1:13" ht="15.75">
      <c r="A55" s="207" t="s">
        <v>193</v>
      </c>
      <c r="B55" s="90"/>
      <c r="C55" s="82"/>
      <c r="D55" s="82"/>
      <c r="E55" s="82"/>
      <c r="F55" s="82"/>
      <c r="G55" s="82"/>
      <c r="H55" s="134"/>
      <c r="J55" s="497" t="str">
        <f>CONCATENATE("Current ",H1," Estimated Mill Rate:")</f>
        <v>Current 2013 Estimated Mill Rate:</v>
      </c>
      <c r="K55" s="491"/>
      <c r="L55" s="491"/>
      <c r="M55" s="499">
        <f>H39</f>
        <v>94.09</v>
      </c>
    </row>
    <row r="56" spans="1:13" ht="15.75">
      <c r="A56" s="82"/>
      <c r="B56" s="82"/>
      <c r="C56" s="82"/>
      <c r="E56" s="377"/>
      <c r="F56" s="82"/>
      <c r="G56" s="82"/>
      <c r="H56" s="134"/>
      <c r="J56" s="497" t="str">
        <f>CONCATENATE("Desired ",H1," Mill Rate:")</f>
        <v>Desired 2013 Mill Rate:</v>
      </c>
      <c r="K56" s="491"/>
      <c r="L56" s="491"/>
      <c r="M56" s="506">
        <v>45</v>
      </c>
    </row>
    <row r="57" spans="1:13" ht="15.75">
      <c r="A57" s="140"/>
      <c r="D57" s="140"/>
      <c r="E57" s="140"/>
      <c r="F57" s="140"/>
      <c r="G57" s="140"/>
      <c r="H57" s="140"/>
      <c r="J57" s="497" t="str">
        <f>CONCATENATE("",H1," Ad Valorem Tax:")</f>
        <v>2013 Ad Valorem Tax:</v>
      </c>
      <c r="K57" s="491"/>
      <c r="L57" s="491"/>
      <c r="M57" s="505">
        <f>ROUND(F43*M56/1000,0)</f>
        <v>1943806</v>
      </c>
    </row>
    <row r="58" spans="10:13" ht="15.75">
      <c r="J58" s="502" t="str">
        <f>CONCATENATE("",H1," Tax Levy Fund Exp. Changed By:")</f>
        <v>2013 Tax Levy Fund Exp. Changed By:</v>
      </c>
      <c r="K58" s="503"/>
      <c r="L58" s="503"/>
      <c r="M58" s="495">
        <f>IF(M56=0,0,(M57-G39))</f>
        <v>-2120483.8600000003</v>
      </c>
    </row>
    <row r="62" ht="15.75">
      <c r="D62" s="94" t="s">
        <v>1058</v>
      </c>
    </row>
  </sheetData>
  <sheetProtection/>
  <mergeCells count="14">
    <mergeCell ref="J47:M47"/>
    <mergeCell ref="J53:M53"/>
    <mergeCell ref="A54:B54"/>
    <mergeCell ref="G14:G15"/>
    <mergeCell ref="J36:M36"/>
    <mergeCell ref="J40:M40"/>
    <mergeCell ref="A2:H2"/>
    <mergeCell ref="A4:H4"/>
    <mergeCell ref="A5:H5"/>
    <mergeCell ref="A6:H6"/>
    <mergeCell ref="A10:H10"/>
    <mergeCell ref="A11:H11"/>
    <mergeCell ref="A7:H7"/>
    <mergeCell ref="A8:H8"/>
  </mergeCells>
  <printOptions/>
  <pageMargins left="0.65" right="0.5" top="0.74" bottom="0.34" header="0.5" footer="0"/>
  <pageSetup blackAndWhite="1" horizontalDpi="120" verticalDpi="120" orientation="portrait" scale="73" r:id="rId1"/>
  <headerFooter alignWithMargins="0">
    <oddHeader>&amp;RState of Kansas
County
</oddHeader>
  </headerFooter>
</worksheet>
</file>

<file path=xl/worksheets/sheet29.xml><?xml version="1.0" encoding="utf-8"?>
<worksheet xmlns="http://schemas.openxmlformats.org/spreadsheetml/2006/main" xmlns:r="http://schemas.openxmlformats.org/officeDocument/2006/relationships">
  <dimension ref="A1:J68"/>
  <sheetViews>
    <sheetView zoomScalePageLayoutView="0" workbookViewId="0" topLeftCell="A1">
      <selection activeCell="F17" sqref="F17"/>
    </sheetView>
  </sheetViews>
  <sheetFormatPr defaultColWidth="8.796875" defaultRowHeight="15"/>
  <cols>
    <col min="1" max="1" width="20.69921875" style="2" customWidth="1"/>
    <col min="2" max="2" width="12.296875" style="2" customWidth="1"/>
    <col min="3" max="3" width="10.296875" style="2" customWidth="1"/>
    <col min="4" max="4" width="12.8984375" style="2" customWidth="1"/>
    <col min="5" max="5" width="10.19921875" style="2" customWidth="1"/>
    <col min="6" max="6" width="14.59765625" style="2" customWidth="1"/>
    <col min="7" max="7" width="13.09765625" style="2" customWidth="1"/>
    <col min="8" max="8" width="16.796875" style="2" customWidth="1"/>
    <col min="9" max="9" width="9.796875" style="2" customWidth="1"/>
    <col min="10" max="16384" width="8.8984375" style="2" customWidth="1"/>
  </cols>
  <sheetData>
    <row r="1" spans="1:9" ht="15.75">
      <c r="A1" s="24" t="str">
        <f>inputPrYr!C2</f>
        <v>Sheridan County</v>
      </c>
      <c r="B1" s="12"/>
      <c r="C1" s="12"/>
      <c r="D1" s="12"/>
      <c r="E1" s="12"/>
      <c r="F1" s="12"/>
      <c r="G1" s="12"/>
      <c r="H1" s="12"/>
      <c r="I1" s="48">
        <f>inputPrYr!C4</f>
        <v>2013</v>
      </c>
    </row>
    <row r="2" spans="1:9" ht="15.75">
      <c r="A2" s="12"/>
      <c r="B2" s="12"/>
      <c r="C2" s="12"/>
      <c r="D2" s="12"/>
      <c r="E2" s="12"/>
      <c r="F2" s="12"/>
      <c r="G2" s="12"/>
      <c r="H2" s="12"/>
      <c r="I2" s="11"/>
    </row>
    <row r="3" spans="1:10" ht="15.75">
      <c r="A3" s="29" t="s">
        <v>218</v>
      </c>
      <c r="B3" s="15"/>
      <c r="C3" s="15"/>
      <c r="D3" s="15"/>
      <c r="E3" s="15"/>
      <c r="F3" s="15"/>
      <c r="G3" s="15"/>
      <c r="H3" s="15"/>
      <c r="I3" s="28"/>
      <c r="J3" s="3"/>
    </row>
    <row r="4" spans="1:9" ht="15.75">
      <c r="A4" s="12"/>
      <c r="B4" s="16"/>
      <c r="C4" s="16"/>
      <c r="D4" s="16"/>
      <c r="E4" s="16"/>
      <c r="F4" s="16"/>
      <c r="G4" s="16"/>
      <c r="H4" s="16"/>
      <c r="I4" s="16"/>
    </row>
    <row r="5" spans="1:9" ht="15.75">
      <c r="A5" s="12"/>
      <c r="B5" s="30" t="str">
        <f>CONCATENATE("Prior Year Actual for ",I1-2,"")</f>
        <v>Prior Year Actual for 2011</v>
      </c>
      <c r="C5" s="19"/>
      <c r="D5" s="31" t="str">
        <f>CONCATENATE("Current Year Estimate for ",I1-1,"")</f>
        <v>Current Year Estimate for 2012</v>
      </c>
      <c r="E5" s="19"/>
      <c r="F5" s="17" t="str">
        <f>CONCATENATE("Proposed Budget Year for ",I1,"")</f>
        <v>Proposed Budget Year for 2013</v>
      </c>
      <c r="G5" s="18"/>
      <c r="H5" s="18"/>
      <c r="I5" s="19"/>
    </row>
    <row r="6" spans="1:9" ht="21" customHeight="1">
      <c r="A6" s="13" t="s">
        <v>7</v>
      </c>
      <c r="B6" s="20"/>
      <c r="C6" s="20" t="s">
        <v>179</v>
      </c>
      <c r="D6" s="20"/>
      <c r="E6" s="20" t="s">
        <v>179</v>
      </c>
      <c r="F6" s="484" t="s">
        <v>648</v>
      </c>
      <c r="G6" s="750" t="str">
        <f>CONCATENATE("Amount of ",I1-1,"    Ad Valorem Tax")</f>
        <v>Amount of 2012    Ad Valorem Tax</v>
      </c>
      <c r="H6" s="750" t="str">
        <f>CONCATENATE("July 1, ",I1-1," Estimated Valuation")</f>
        <v>July 1, 2012 Estimated Valuation</v>
      </c>
      <c r="I6" s="20" t="s">
        <v>180</v>
      </c>
    </row>
    <row r="7" spans="1:9" ht="15.75">
      <c r="A7" s="21" t="s">
        <v>8</v>
      </c>
      <c r="B7" s="26" t="s">
        <v>133</v>
      </c>
      <c r="C7" s="26" t="s">
        <v>182</v>
      </c>
      <c r="D7" s="26" t="s">
        <v>133</v>
      </c>
      <c r="E7" s="26" t="s">
        <v>182</v>
      </c>
      <c r="F7" s="485" t="s">
        <v>649</v>
      </c>
      <c r="G7" s="751"/>
      <c r="H7" s="751"/>
      <c r="I7" s="26" t="s">
        <v>182</v>
      </c>
    </row>
    <row r="8" spans="1:9" ht="15.75">
      <c r="A8" s="7" t="s">
        <v>908</v>
      </c>
      <c r="B8" s="7">
        <v>733633</v>
      </c>
      <c r="C8" s="9">
        <v>4.987</v>
      </c>
      <c r="D8" s="7">
        <v>204287</v>
      </c>
      <c r="E8" s="9">
        <v>4.981</v>
      </c>
      <c r="F8" s="7">
        <v>246979</v>
      </c>
      <c r="G8" s="7">
        <v>198665</v>
      </c>
      <c r="H8" s="7">
        <v>38204684</v>
      </c>
      <c r="I8" s="56">
        <f aca="true" t="shared" si="0" ref="I8:I36">IF(H8&lt;&gt;0,ROUND(G8/H8*1000,3)," ")</f>
        <v>5.2</v>
      </c>
    </row>
    <row r="9" spans="1:9" ht="15.75">
      <c r="A9" s="7"/>
      <c r="B9" s="7"/>
      <c r="C9" s="9"/>
      <c r="D9" s="7"/>
      <c r="E9" s="9"/>
      <c r="F9" s="7"/>
      <c r="G9" s="7"/>
      <c r="H9" s="7"/>
      <c r="I9" s="56" t="str">
        <f t="shared" si="0"/>
        <v> </v>
      </c>
    </row>
    <row r="10" spans="1:9" ht="15.75">
      <c r="A10" s="7"/>
      <c r="B10" s="7"/>
      <c r="C10" s="9"/>
      <c r="D10" s="7"/>
      <c r="E10" s="9"/>
      <c r="F10" s="7"/>
      <c r="G10" s="7"/>
      <c r="H10" s="7"/>
      <c r="I10" s="56" t="str">
        <f t="shared" si="0"/>
        <v> </v>
      </c>
    </row>
    <row r="11" spans="1:9" ht="15.75">
      <c r="A11" s="7"/>
      <c r="B11" s="7"/>
      <c r="C11" s="9"/>
      <c r="D11" s="7"/>
      <c r="E11" s="9"/>
      <c r="F11" s="7"/>
      <c r="G11" s="7"/>
      <c r="H11" s="7"/>
      <c r="I11" s="56" t="str">
        <f t="shared" si="0"/>
        <v> </v>
      </c>
    </row>
    <row r="12" spans="1:9" ht="15.75">
      <c r="A12" s="7"/>
      <c r="B12" s="7"/>
      <c r="C12" s="9"/>
      <c r="D12" s="7"/>
      <c r="E12" s="9"/>
      <c r="F12" s="7"/>
      <c r="G12" s="7"/>
      <c r="H12" s="7"/>
      <c r="I12" s="56" t="str">
        <f t="shared" si="0"/>
        <v> </v>
      </c>
    </row>
    <row r="13" spans="1:9" ht="15.75">
      <c r="A13" s="7"/>
      <c r="B13" s="7"/>
      <c r="C13" s="9"/>
      <c r="D13" s="7"/>
      <c r="E13" s="9"/>
      <c r="F13" s="7"/>
      <c r="G13" s="7"/>
      <c r="H13" s="7"/>
      <c r="I13" s="56" t="str">
        <f t="shared" si="0"/>
        <v> </v>
      </c>
    </row>
    <row r="14" spans="1:9" ht="15.75">
      <c r="A14" s="7"/>
      <c r="B14" s="7"/>
      <c r="C14" s="9"/>
      <c r="D14" s="7"/>
      <c r="E14" s="9"/>
      <c r="F14" s="7"/>
      <c r="G14" s="7"/>
      <c r="H14" s="7"/>
      <c r="I14" s="56" t="str">
        <f t="shared" si="0"/>
        <v> </v>
      </c>
    </row>
    <row r="15" spans="1:9" ht="15.75">
      <c r="A15" s="7"/>
      <c r="B15" s="7"/>
      <c r="C15" s="9"/>
      <c r="D15" s="7"/>
      <c r="E15" s="9"/>
      <c r="F15" s="7"/>
      <c r="G15" s="7"/>
      <c r="H15" s="7"/>
      <c r="I15" s="56" t="str">
        <f t="shared" si="0"/>
        <v> </v>
      </c>
    </row>
    <row r="16" spans="1:9" ht="15.75">
      <c r="A16" s="7"/>
      <c r="B16" s="7"/>
      <c r="C16" s="9"/>
      <c r="D16" s="7"/>
      <c r="E16" s="9"/>
      <c r="F16" s="7"/>
      <c r="G16" s="7"/>
      <c r="H16" s="7"/>
      <c r="I16" s="56" t="str">
        <f t="shared" si="0"/>
        <v> </v>
      </c>
    </row>
    <row r="17" spans="1:9" ht="15.75">
      <c r="A17" s="7"/>
      <c r="B17" s="7"/>
      <c r="C17" s="9"/>
      <c r="D17" s="7"/>
      <c r="E17" s="9"/>
      <c r="F17" s="7"/>
      <c r="G17" s="7"/>
      <c r="H17" s="7"/>
      <c r="I17" s="56" t="str">
        <f t="shared" si="0"/>
        <v> </v>
      </c>
    </row>
    <row r="18" spans="1:9" ht="15.75">
      <c r="A18" s="7"/>
      <c r="B18" s="7"/>
      <c r="C18" s="9"/>
      <c r="D18" s="7"/>
      <c r="E18" s="9"/>
      <c r="F18" s="7"/>
      <c r="G18" s="7"/>
      <c r="H18" s="7"/>
      <c r="I18" s="56" t="str">
        <f t="shared" si="0"/>
        <v> </v>
      </c>
    </row>
    <row r="19" spans="1:9" ht="15.75">
      <c r="A19" s="7"/>
      <c r="B19" s="7"/>
      <c r="C19" s="9"/>
      <c r="D19" s="7"/>
      <c r="E19" s="9"/>
      <c r="F19" s="7"/>
      <c r="G19" s="7"/>
      <c r="H19" s="7"/>
      <c r="I19" s="56" t="str">
        <f t="shared" si="0"/>
        <v> </v>
      </c>
    </row>
    <row r="20" spans="1:9" ht="15.75">
      <c r="A20" s="7"/>
      <c r="B20" s="7"/>
      <c r="C20" s="9"/>
      <c r="D20" s="7"/>
      <c r="E20" s="9"/>
      <c r="F20" s="7"/>
      <c r="G20" s="7"/>
      <c r="H20" s="7"/>
      <c r="I20" s="56" t="str">
        <f t="shared" si="0"/>
        <v> </v>
      </c>
    </row>
    <row r="21" spans="1:9" ht="15.75">
      <c r="A21" s="7"/>
      <c r="B21" s="7"/>
      <c r="C21" s="9"/>
      <c r="D21" s="7"/>
      <c r="E21" s="9"/>
      <c r="F21" s="7"/>
      <c r="G21" s="7"/>
      <c r="H21" s="7"/>
      <c r="I21" s="56" t="str">
        <f t="shared" si="0"/>
        <v> </v>
      </c>
    </row>
    <row r="22" spans="1:9" ht="15.75">
      <c r="A22" s="7"/>
      <c r="B22" s="7"/>
      <c r="C22" s="9"/>
      <c r="D22" s="7"/>
      <c r="E22" s="9"/>
      <c r="F22" s="7"/>
      <c r="G22" s="7"/>
      <c r="H22" s="7"/>
      <c r="I22" s="56" t="str">
        <f t="shared" si="0"/>
        <v> </v>
      </c>
    </row>
    <row r="23" spans="1:9" ht="15.75">
      <c r="A23" s="7"/>
      <c r="B23" s="7"/>
      <c r="C23" s="9"/>
      <c r="D23" s="7"/>
      <c r="E23" s="9"/>
      <c r="F23" s="7"/>
      <c r="G23" s="7"/>
      <c r="H23" s="7"/>
      <c r="I23" s="56" t="str">
        <f t="shared" si="0"/>
        <v> </v>
      </c>
    </row>
    <row r="24" spans="1:9" ht="15.75">
      <c r="A24" s="7"/>
      <c r="B24" s="7"/>
      <c r="C24" s="9"/>
      <c r="D24" s="7"/>
      <c r="E24" s="9"/>
      <c r="F24" s="7"/>
      <c r="G24" s="7"/>
      <c r="H24" s="7"/>
      <c r="I24" s="56" t="str">
        <f t="shared" si="0"/>
        <v> </v>
      </c>
    </row>
    <row r="25" spans="1:9" ht="15.75">
      <c r="A25" s="7"/>
      <c r="B25" s="7"/>
      <c r="C25" s="9"/>
      <c r="D25" s="7"/>
      <c r="E25" s="9"/>
      <c r="F25" s="7"/>
      <c r="G25" s="7"/>
      <c r="H25" s="7"/>
      <c r="I25" s="56" t="str">
        <f t="shared" si="0"/>
        <v> </v>
      </c>
    </row>
    <row r="26" spans="1:9" ht="15.75">
      <c r="A26" s="7"/>
      <c r="B26" s="7"/>
      <c r="C26" s="9"/>
      <c r="D26" s="7"/>
      <c r="E26" s="9"/>
      <c r="F26" s="7"/>
      <c r="G26" s="7"/>
      <c r="H26" s="7"/>
      <c r="I26" s="56" t="str">
        <f t="shared" si="0"/>
        <v> </v>
      </c>
    </row>
    <row r="27" spans="1:9" ht="15.75">
      <c r="A27" s="7"/>
      <c r="B27" s="7"/>
      <c r="C27" s="9"/>
      <c r="D27" s="7"/>
      <c r="E27" s="9"/>
      <c r="F27" s="7"/>
      <c r="G27" s="7"/>
      <c r="H27" s="7"/>
      <c r="I27" s="56" t="str">
        <f t="shared" si="0"/>
        <v> </v>
      </c>
    </row>
    <row r="28" spans="1:9" ht="15.75">
      <c r="A28" s="7"/>
      <c r="B28" s="7"/>
      <c r="C28" s="9"/>
      <c r="D28" s="7"/>
      <c r="E28" s="9"/>
      <c r="F28" s="7"/>
      <c r="G28" s="7"/>
      <c r="H28" s="7"/>
      <c r="I28" s="56" t="str">
        <f t="shared" si="0"/>
        <v> </v>
      </c>
    </row>
    <row r="29" spans="1:9" ht="15.75">
      <c r="A29" s="7"/>
      <c r="B29" s="7"/>
      <c r="C29" s="9"/>
      <c r="D29" s="7"/>
      <c r="E29" s="9"/>
      <c r="F29" s="7"/>
      <c r="G29" s="7"/>
      <c r="H29" s="7"/>
      <c r="I29" s="56" t="str">
        <f t="shared" si="0"/>
        <v> </v>
      </c>
    </row>
    <row r="30" spans="1:9" ht="15.75">
      <c r="A30" s="7"/>
      <c r="B30" s="7"/>
      <c r="C30" s="9"/>
      <c r="D30" s="7"/>
      <c r="E30" s="9"/>
      <c r="F30" s="7"/>
      <c r="G30" s="7"/>
      <c r="H30" s="7"/>
      <c r="I30" s="56" t="str">
        <f t="shared" si="0"/>
        <v> </v>
      </c>
    </row>
    <row r="31" spans="1:9" ht="15.75">
      <c r="A31" s="7"/>
      <c r="B31" s="7"/>
      <c r="C31" s="9"/>
      <c r="D31" s="7"/>
      <c r="E31" s="9"/>
      <c r="F31" s="7"/>
      <c r="G31" s="7"/>
      <c r="H31" s="7"/>
      <c r="I31" s="56" t="str">
        <f t="shared" si="0"/>
        <v> </v>
      </c>
    </row>
    <row r="32" spans="1:9" ht="15.75">
      <c r="A32" s="7"/>
      <c r="B32" s="7"/>
      <c r="C32" s="9"/>
      <c r="D32" s="7"/>
      <c r="E32" s="9"/>
      <c r="F32" s="7"/>
      <c r="G32" s="7"/>
      <c r="H32" s="7"/>
      <c r="I32" s="56" t="str">
        <f t="shared" si="0"/>
        <v> </v>
      </c>
    </row>
    <row r="33" spans="1:9" ht="15.75">
      <c r="A33" s="7"/>
      <c r="B33" s="7"/>
      <c r="C33" s="9"/>
      <c r="D33" s="7"/>
      <c r="E33" s="9"/>
      <c r="F33" s="7"/>
      <c r="G33" s="7"/>
      <c r="H33" s="7"/>
      <c r="I33" s="56" t="str">
        <f t="shared" si="0"/>
        <v> </v>
      </c>
    </row>
    <row r="34" spans="1:9" ht="15.75">
      <c r="A34" s="7"/>
      <c r="B34" s="7"/>
      <c r="C34" s="9"/>
      <c r="D34" s="7"/>
      <c r="E34" s="9"/>
      <c r="F34" s="7"/>
      <c r="G34" s="7"/>
      <c r="H34" s="7"/>
      <c r="I34" s="56" t="str">
        <f t="shared" si="0"/>
        <v> </v>
      </c>
    </row>
    <row r="35" spans="1:9" ht="15.75">
      <c r="A35" s="7"/>
      <c r="B35" s="7"/>
      <c r="C35" s="9"/>
      <c r="D35" s="7"/>
      <c r="E35" s="9"/>
      <c r="F35" s="7"/>
      <c r="G35" s="7"/>
      <c r="H35" s="7"/>
      <c r="I35" s="56" t="str">
        <f t="shared" si="0"/>
        <v> </v>
      </c>
    </row>
    <row r="36" spans="1:9" ht="15.75">
      <c r="A36" s="7"/>
      <c r="B36" s="7"/>
      <c r="C36" s="9"/>
      <c r="D36" s="7"/>
      <c r="E36" s="9"/>
      <c r="F36" s="7"/>
      <c r="G36" s="7"/>
      <c r="H36" s="7"/>
      <c r="I36" s="56" t="str">
        <f t="shared" si="0"/>
        <v> </v>
      </c>
    </row>
    <row r="37" spans="1:9" ht="15.75">
      <c r="A37" s="22" t="s">
        <v>151</v>
      </c>
      <c r="B37" s="23">
        <f>SUM(B8:B36)</f>
        <v>733633</v>
      </c>
      <c r="C37" s="32">
        <f>SUM(C8:C24)</f>
        <v>4.987</v>
      </c>
      <c r="D37" s="23">
        <f>SUM(D8:D36)</f>
        <v>204287</v>
      </c>
      <c r="E37" s="32">
        <f>SUM(E8:E24)</f>
        <v>4.981</v>
      </c>
      <c r="F37" s="23">
        <f>SUM(F8:F36)</f>
        <v>246979</v>
      </c>
      <c r="G37" s="23">
        <f>SUM(G8:G36)</f>
        <v>198665</v>
      </c>
      <c r="H37" s="23"/>
      <c r="I37" s="32">
        <f>SUM(I8:I24)</f>
        <v>5.2</v>
      </c>
    </row>
    <row r="38" spans="1:9" ht="15.75">
      <c r="A38" s="12"/>
      <c r="B38" s="12"/>
      <c r="C38" s="12"/>
      <c r="D38" s="12"/>
      <c r="E38" s="12"/>
      <c r="F38" s="12"/>
      <c r="G38" s="12"/>
      <c r="H38" s="12"/>
      <c r="I38" s="12"/>
    </row>
    <row r="39" spans="1:9" ht="15.75">
      <c r="A39" s="13" t="s">
        <v>192</v>
      </c>
      <c r="B39" s="12"/>
      <c r="C39" s="12"/>
      <c r="D39" s="12"/>
      <c r="E39" s="12"/>
      <c r="F39" s="12"/>
      <c r="G39" s="12"/>
      <c r="H39" s="12"/>
      <c r="I39" s="12"/>
    </row>
    <row r="40" spans="1:9" ht="15.75">
      <c r="A40" s="12"/>
      <c r="B40" s="12"/>
      <c r="C40" s="12"/>
      <c r="D40" s="12"/>
      <c r="E40" s="12"/>
      <c r="F40" s="12"/>
      <c r="G40" s="12"/>
      <c r="H40" s="12"/>
      <c r="I40" s="12"/>
    </row>
    <row r="41" spans="1:9" ht="15.75">
      <c r="A41" s="59" t="s">
        <v>902</v>
      </c>
      <c r="B41" s="12"/>
      <c r="C41" s="12"/>
      <c r="D41" s="12"/>
      <c r="E41" s="12"/>
      <c r="F41" s="12"/>
      <c r="G41" s="12"/>
      <c r="H41" s="12"/>
      <c r="I41" s="12"/>
    </row>
    <row r="42" spans="1:9" ht="15.75">
      <c r="A42" s="14" t="s">
        <v>193</v>
      </c>
      <c r="B42" s="12"/>
      <c r="C42" s="12"/>
      <c r="D42" s="12"/>
      <c r="E42" s="8"/>
      <c r="F42" s="12"/>
      <c r="G42" s="12"/>
      <c r="H42" s="12"/>
      <c r="I42" s="12"/>
    </row>
    <row r="44" spans="1:9" ht="15.75">
      <c r="A44" s="1"/>
      <c r="B44" s="1"/>
      <c r="C44" s="1"/>
      <c r="D44" s="1"/>
      <c r="E44" s="1"/>
      <c r="F44" s="1"/>
      <c r="G44" s="1"/>
      <c r="H44" s="1"/>
      <c r="I44" s="1"/>
    </row>
    <row r="45" spans="1:9" ht="15.75">
      <c r="A45" s="4"/>
      <c r="B45" s="1"/>
      <c r="C45" s="1"/>
      <c r="D45" s="1"/>
      <c r="E45" s="1"/>
      <c r="F45" s="1"/>
      <c r="G45" s="1"/>
      <c r="H45" s="1"/>
      <c r="I45" s="1"/>
    </row>
    <row r="46" spans="1:9" ht="15.75">
      <c r="A46" s="4"/>
      <c r="B46" s="5"/>
      <c r="C46" s="1"/>
      <c r="D46" s="5"/>
      <c r="E46" s="1"/>
      <c r="F46" s="5"/>
      <c r="G46" s="1"/>
      <c r="H46" s="1"/>
      <c r="I46" s="1"/>
    </row>
    <row r="47" spans="1:9" ht="15.75">
      <c r="A47" s="4"/>
      <c r="B47" s="4"/>
      <c r="C47" s="1"/>
      <c r="D47" s="4"/>
      <c r="E47" s="1"/>
      <c r="F47" s="4"/>
      <c r="G47" s="1"/>
      <c r="H47" s="1"/>
      <c r="I47" s="1"/>
    </row>
    <row r="48" spans="1:9" ht="15.75">
      <c r="A48" s="4"/>
      <c r="B48" s="4"/>
      <c r="C48" s="1"/>
      <c r="D48" s="4"/>
      <c r="E48" s="1"/>
      <c r="F48" s="4"/>
      <c r="G48" s="1"/>
      <c r="H48" s="1"/>
      <c r="I48" s="1"/>
    </row>
    <row r="49" spans="1:9" ht="15.75">
      <c r="A49" s="4"/>
      <c r="B49" s="4"/>
      <c r="C49" s="1"/>
      <c r="D49" s="4"/>
      <c r="E49" s="1"/>
      <c r="F49" s="4"/>
      <c r="G49" s="1"/>
      <c r="H49" s="1"/>
      <c r="I49" s="1"/>
    </row>
    <row r="50" spans="2:9" ht="15.75">
      <c r="B50" s="1"/>
      <c r="C50" s="1"/>
      <c r="D50" s="1"/>
      <c r="E50" s="1"/>
      <c r="F50" s="1"/>
      <c r="G50" s="1"/>
      <c r="H50" s="1"/>
      <c r="I50" s="1"/>
    </row>
    <row r="51" spans="2:9" ht="15.75">
      <c r="B51" s="1"/>
      <c r="C51" s="1"/>
      <c r="D51" s="1"/>
      <c r="E51" s="1"/>
      <c r="F51" s="1"/>
      <c r="G51" s="1"/>
      <c r="H51" s="1"/>
      <c r="I51" s="1"/>
    </row>
    <row r="52" spans="2:9" ht="15.75">
      <c r="B52" s="709"/>
      <c r="C52" s="1"/>
      <c r="D52" s="1"/>
      <c r="E52" s="1"/>
      <c r="F52" s="1"/>
      <c r="G52" s="1"/>
      <c r="H52" s="1"/>
      <c r="I52" s="1"/>
    </row>
    <row r="53" spans="2:9" ht="15.75">
      <c r="B53" s="710"/>
      <c r="C53" s="1"/>
      <c r="D53" s="1"/>
      <c r="E53" s="1"/>
      <c r="F53" s="1"/>
      <c r="G53" s="1"/>
      <c r="H53" s="1"/>
      <c r="I53" s="1"/>
    </row>
    <row r="54" spans="1:9" ht="15.75">
      <c r="A54" s="1"/>
      <c r="B54" s="711"/>
      <c r="C54" s="1"/>
      <c r="D54" s="1"/>
      <c r="E54" s="1"/>
      <c r="F54" s="1"/>
      <c r="G54" s="1"/>
      <c r="H54" s="1"/>
      <c r="I54" s="1"/>
    </row>
    <row r="55" spans="1:9" ht="15.75">
      <c r="A55" s="1"/>
      <c r="B55" s="711"/>
      <c r="C55" s="1"/>
      <c r="D55" s="1"/>
      <c r="E55" s="1"/>
      <c r="F55" s="1"/>
      <c r="G55" s="1"/>
      <c r="H55" s="1"/>
      <c r="I55" s="1"/>
    </row>
    <row r="56" spans="1:9" ht="15.75">
      <c r="A56" s="1"/>
      <c r="B56" s="711"/>
      <c r="C56" s="1"/>
      <c r="D56" s="1"/>
      <c r="E56" s="1"/>
      <c r="F56" s="1"/>
      <c r="G56" s="1"/>
      <c r="H56" s="1"/>
      <c r="I56" s="1"/>
    </row>
    <row r="57" spans="1:9" ht="15.75">
      <c r="A57" s="1"/>
      <c r="B57" s="711"/>
      <c r="C57" s="1"/>
      <c r="D57" s="1"/>
      <c r="E57" s="1"/>
      <c r="F57" s="1"/>
      <c r="G57" s="1"/>
      <c r="H57" s="1"/>
      <c r="I57" s="1"/>
    </row>
    <row r="58" spans="1:9" ht="15.75">
      <c r="A58" s="1"/>
      <c r="B58" s="711"/>
      <c r="C58" s="1"/>
      <c r="D58" s="1"/>
      <c r="E58" s="1"/>
      <c r="F58" s="1"/>
      <c r="G58" s="1"/>
      <c r="H58" s="1"/>
      <c r="I58" s="1"/>
    </row>
    <row r="59" spans="1:9" ht="15.75">
      <c r="A59" s="1"/>
      <c r="B59" s="711"/>
      <c r="C59" s="1"/>
      <c r="D59" s="1"/>
      <c r="E59" s="1"/>
      <c r="F59" s="1"/>
      <c r="G59" s="1"/>
      <c r="H59" s="1"/>
      <c r="I59" s="1"/>
    </row>
    <row r="60" spans="1:9" ht="15.75">
      <c r="A60" s="1"/>
      <c r="B60" s="711"/>
      <c r="C60" s="1"/>
      <c r="D60" s="1"/>
      <c r="E60" s="1"/>
      <c r="F60" s="1"/>
      <c r="G60" s="1"/>
      <c r="H60" s="1"/>
      <c r="I60" s="1"/>
    </row>
    <row r="61" spans="1:9" ht="15.75">
      <c r="A61" s="1"/>
      <c r="B61" s="711"/>
      <c r="C61" s="1"/>
      <c r="D61" s="1"/>
      <c r="E61" s="1"/>
      <c r="F61" s="1"/>
      <c r="G61" s="1"/>
      <c r="H61" s="1"/>
      <c r="I61" s="1"/>
    </row>
    <row r="62" spans="1:9" ht="15.75">
      <c r="A62" s="1"/>
      <c r="B62" s="711"/>
      <c r="C62" s="1"/>
      <c r="D62" s="1"/>
      <c r="E62" s="1"/>
      <c r="F62" s="1"/>
      <c r="G62" s="1"/>
      <c r="H62" s="1"/>
      <c r="I62" s="1"/>
    </row>
    <row r="63" spans="1:9" ht="15.75">
      <c r="A63" s="1"/>
      <c r="B63" s="711"/>
      <c r="C63" s="1"/>
      <c r="D63" s="1"/>
      <c r="E63" s="1"/>
      <c r="F63" s="1"/>
      <c r="G63" s="1"/>
      <c r="H63" s="1"/>
      <c r="I63" s="1"/>
    </row>
    <row r="64" spans="1:9" ht="15.75">
      <c r="A64" s="1"/>
      <c r="B64" s="711"/>
      <c r="C64" s="1"/>
      <c r="D64" s="1"/>
      <c r="E64" s="1"/>
      <c r="F64" s="1"/>
      <c r="G64" s="1"/>
      <c r="H64" s="1"/>
      <c r="I64" s="1"/>
    </row>
    <row r="65" spans="1:9" ht="15.75">
      <c r="A65" s="1"/>
      <c r="B65" s="711"/>
      <c r="C65" s="1"/>
      <c r="D65" s="1"/>
      <c r="E65" s="1"/>
      <c r="F65" s="1"/>
      <c r="G65" s="1"/>
      <c r="H65" s="1"/>
      <c r="I65" s="1"/>
    </row>
    <row r="66" spans="1:9" ht="15.75">
      <c r="A66" s="1"/>
      <c r="B66" s="711"/>
      <c r="C66" s="1"/>
      <c r="D66" s="1"/>
      <c r="E66" s="1"/>
      <c r="F66" s="1"/>
      <c r="G66" s="1"/>
      <c r="H66" s="1"/>
      <c r="I66" s="1"/>
    </row>
    <row r="67" spans="1:9" ht="15.75">
      <c r="A67" s="1"/>
      <c r="B67" s="711"/>
      <c r="C67" s="1"/>
      <c r="D67" s="1"/>
      <c r="E67" s="1"/>
      <c r="F67" s="1"/>
      <c r="G67" s="1"/>
      <c r="H67" s="1"/>
      <c r="I67" s="1"/>
    </row>
    <row r="68" spans="1:9" ht="15.75">
      <c r="A68" s="1"/>
      <c r="B68" s="1"/>
      <c r="C68" s="8"/>
      <c r="D68" s="1"/>
      <c r="E68" s="1" t="s">
        <v>1059</v>
      </c>
      <c r="F68" s="1"/>
      <c r="G68" s="1"/>
      <c r="H68" s="1"/>
      <c r="I68" s="1"/>
    </row>
  </sheetData>
  <sheetProtection/>
  <mergeCells count="2">
    <mergeCell ref="G6:G7"/>
    <mergeCell ref="H6:H7"/>
  </mergeCells>
  <printOptions/>
  <pageMargins left="0.44" right="0.5" top="0.74" bottom="0.34" header="0.5" footer="0"/>
  <pageSetup blackAndWhite="1" horizontalDpi="120" verticalDpi="120" orientation="portrait" scale="65" r:id="rId1"/>
  <headerFooter alignWithMargins="0">
    <oddHeader>&amp;RState of Kansas
County
</oddHeader>
  </headerFooter>
</worksheet>
</file>

<file path=xl/worksheets/sheet3.xml><?xml version="1.0" encoding="utf-8"?>
<worksheet xmlns="http://schemas.openxmlformats.org/spreadsheetml/2006/main" xmlns:r="http://schemas.openxmlformats.org/officeDocument/2006/relationships">
  <dimension ref="A1:E70"/>
  <sheetViews>
    <sheetView zoomScalePageLayoutView="0" workbookViewId="0" topLeftCell="A1">
      <selection activeCell="B36" sqref="B36"/>
    </sheetView>
  </sheetViews>
  <sheetFormatPr defaultColWidth="8.796875" defaultRowHeight="15"/>
  <cols>
    <col min="1" max="1" width="15.796875" style="69" customWidth="1"/>
    <col min="2" max="2" width="20.796875" style="69" customWidth="1"/>
    <col min="3" max="3" width="9.796875" style="69" customWidth="1"/>
    <col min="4" max="4" width="15.296875" style="69" customWidth="1"/>
    <col min="5" max="5" width="15.796875" style="69" customWidth="1"/>
    <col min="6" max="16384" width="8.8984375" style="69" customWidth="1"/>
  </cols>
  <sheetData>
    <row r="1" spans="1:5" ht="15.75">
      <c r="A1" s="141" t="str">
        <f>inputPrYr!C2</f>
        <v>Sheridan County</v>
      </c>
      <c r="B1" s="122"/>
      <c r="C1" s="122"/>
      <c r="D1" s="122"/>
      <c r="E1" s="122">
        <f>inputPrYr!C4</f>
        <v>2013</v>
      </c>
    </row>
    <row r="2" spans="1:5" ht="15.75">
      <c r="A2" s="141"/>
      <c r="B2" s="122"/>
      <c r="C2" s="122"/>
      <c r="D2" s="122"/>
      <c r="E2" s="122"/>
    </row>
    <row r="3" spans="1:5" ht="15.75">
      <c r="A3" s="718" t="s">
        <v>54</v>
      </c>
      <c r="B3" s="719"/>
      <c r="C3" s="719"/>
      <c r="D3" s="719"/>
      <c r="E3" s="719"/>
    </row>
    <row r="4" spans="1:5" ht="15.75">
      <c r="A4" s="122"/>
      <c r="B4" s="122"/>
      <c r="C4" s="122"/>
      <c r="D4" s="122"/>
      <c r="E4" s="122"/>
    </row>
    <row r="5" spans="1:5" ht="15.75">
      <c r="A5" s="121" t="str">
        <f>CONCATENATE("From the County Clerks ",E1," Budget Information:")</f>
        <v>From the County Clerks 2013 Budget Information:</v>
      </c>
      <c r="B5" s="123"/>
      <c r="C5" s="92"/>
      <c r="D5" s="82"/>
      <c r="E5" s="142"/>
    </row>
    <row r="6" spans="1:5" ht="15.75">
      <c r="A6" s="143" t="str">
        <f>CONCATENATE("Total Assessed Valuation for ",E1-1,"")</f>
        <v>Total Assessed Valuation for 2012</v>
      </c>
      <c r="B6" s="129"/>
      <c r="C6" s="129"/>
      <c r="D6" s="129"/>
      <c r="E6" s="109">
        <v>43195695</v>
      </c>
    </row>
    <row r="7" spans="1:5" ht="15.75">
      <c r="A7" s="143" t="str">
        <f>CONCATENATE("New Improvements for ",E1-1,"")</f>
        <v>New Improvements for 2012</v>
      </c>
      <c r="B7" s="129"/>
      <c r="C7" s="129"/>
      <c r="D7" s="129"/>
      <c r="E7" s="144">
        <v>534880</v>
      </c>
    </row>
    <row r="8" spans="1:5" ht="15.75">
      <c r="A8" s="143" t="str">
        <f>CONCATENATE("Personal Property excluding oil, gas, and mobile homes- ",E1-1,"")</f>
        <v>Personal Property excluding oil, gas, and mobile homes- 2012</v>
      </c>
      <c r="B8" s="129"/>
      <c r="C8" s="129"/>
      <c r="D8" s="129"/>
      <c r="E8" s="144">
        <v>1828526</v>
      </c>
    </row>
    <row r="9" spans="1:5" ht="15.75">
      <c r="A9" s="143" t="str">
        <f>CONCATENATE("Property that has changed in use for ",E1-1,"")</f>
        <v>Property that has changed in use for 2012</v>
      </c>
      <c r="B9" s="129"/>
      <c r="C9" s="129"/>
      <c r="D9" s="129"/>
      <c r="E9" s="144">
        <v>232609</v>
      </c>
    </row>
    <row r="10" spans="1:5" ht="15.75">
      <c r="A10" s="143" t="str">
        <f>CONCATENATE("Personal Property excluding oil, gas, and mobile homes- ",E1-2,"")</f>
        <v>Personal Property excluding oil, gas, and mobile homes- 2011</v>
      </c>
      <c r="B10" s="129"/>
      <c r="C10" s="129"/>
      <c r="D10" s="129"/>
      <c r="E10" s="144">
        <v>1713098</v>
      </c>
    </row>
    <row r="11" spans="1:5" ht="15.75">
      <c r="A11" s="143" t="str">
        <f>CONCATENATE("Gross earnings (intangible) tax esitmate for ",E1,"")</f>
        <v>Gross earnings (intangible) tax esitmate for 2013</v>
      </c>
      <c r="B11" s="129"/>
      <c r="C11" s="129"/>
      <c r="D11" s="129"/>
      <c r="E11" s="109"/>
    </row>
    <row r="12" spans="1:5" ht="15.75">
      <c r="A12" s="145" t="s">
        <v>307</v>
      </c>
      <c r="B12" s="129"/>
      <c r="C12" s="129"/>
      <c r="D12" s="112"/>
      <c r="E12" s="109">
        <v>237777</v>
      </c>
    </row>
    <row r="13" spans="1:5" ht="15.75">
      <c r="A13" s="82"/>
      <c r="B13" s="82"/>
      <c r="C13" s="82"/>
      <c r="D13" s="98"/>
      <c r="E13" s="98"/>
    </row>
    <row r="14" spans="1:5" ht="15.75">
      <c r="A14" s="121" t="str">
        <f>CONCATENATE("From the County Treasurer's ",E1," Budget Information:")</f>
        <v>From the County Treasurer's 2013 Budget Information:</v>
      </c>
      <c r="B14" s="123"/>
      <c r="C14" s="123"/>
      <c r="D14" s="142"/>
      <c r="E14" s="142"/>
    </row>
    <row r="15" spans="1:5" ht="15.75">
      <c r="A15" s="110" t="s">
        <v>125</v>
      </c>
      <c r="B15" s="111"/>
      <c r="C15" s="111"/>
      <c r="D15" s="146"/>
      <c r="E15" s="109">
        <v>325333</v>
      </c>
    </row>
    <row r="16" spans="1:5" ht="15.75">
      <c r="A16" s="143" t="s">
        <v>126</v>
      </c>
      <c r="B16" s="129"/>
      <c r="C16" s="129"/>
      <c r="D16" s="147"/>
      <c r="E16" s="109">
        <v>5949</v>
      </c>
    </row>
    <row r="17" spans="1:5" ht="15.75">
      <c r="A17" s="143" t="s">
        <v>227</v>
      </c>
      <c r="B17" s="129"/>
      <c r="C17" s="129"/>
      <c r="D17" s="147"/>
      <c r="E17" s="109">
        <v>46456</v>
      </c>
    </row>
    <row r="18" spans="1:5" ht="15.75">
      <c r="A18" s="143" t="s">
        <v>308</v>
      </c>
      <c r="B18" s="129"/>
      <c r="C18" s="129"/>
      <c r="D18" s="148"/>
      <c r="E18" s="109"/>
    </row>
    <row r="19" spans="1:5" ht="15.75">
      <c r="A19" s="143" t="s">
        <v>309</v>
      </c>
      <c r="B19" s="129"/>
      <c r="C19" s="129"/>
      <c r="D19" s="148"/>
      <c r="E19" s="109"/>
    </row>
    <row r="20" spans="1:5" ht="15.75">
      <c r="A20" s="82"/>
      <c r="B20" s="82"/>
      <c r="C20" s="82"/>
      <c r="D20" s="82"/>
      <c r="E20" s="82"/>
    </row>
    <row r="21" spans="1:5" ht="15.75">
      <c r="A21" s="149" t="s">
        <v>310</v>
      </c>
      <c r="B21" s="82"/>
      <c r="C21" s="82"/>
      <c r="D21" s="82"/>
      <c r="E21" s="82"/>
    </row>
    <row r="22" spans="1:5" ht="15.75">
      <c r="A22" s="663" t="str">
        <f>CONCATENATE("Actual Delinquency for ",E1-3," Tax - (rate .01213 = 1.213%, key in 1.2)")</f>
        <v>Actual Delinquency for 2010 Tax - (rate .01213 = 1.213%, key in 1.2)</v>
      </c>
      <c r="B22" s="111"/>
      <c r="C22" s="111"/>
      <c r="D22" s="116"/>
      <c r="E22" s="662">
        <v>0</v>
      </c>
    </row>
    <row r="23" spans="1:5" ht="15.75">
      <c r="A23" s="665" t="s">
        <v>809</v>
      </c>
      <c r="B23" s="111"/>
      <c r="C23" s="111"/>
      <c r="D23" s="111"/>
      <c r="E23" s="664">
        <v>0.01</v>
      </c>
    </row>
    <row r="24" spans="1:5" ht="15.75">
      <c r="A24" s="79" t="s">
        <v>311</v>
      </c>
      <c r="B24" s="79"/>
      <c r="C24" s="79"/>
      <c r="D24" s="79"/>
      <c r="E24" s="79"/>
    </row>
    <row r="25" spans="1:5" ht="15.75">
      <c r="A25" s="150"/>
      <c r="B25" s="150"/>
      <c r="C25" s="150"/>
      <c r="D25" s="150"/>
      <c r="E25" s="150"/>
    </row>
    <row r="26" spans="1:5" ht="15.75">
      <c r="A26" s="723" t="str">
        <f>CONCATENATE("From the ",E1-2," Budget Certificate Page")</f>
        <v>From the 2011 Budget Certificate Page</v>
      </c>
      <c r="B26" s="724"/>
      <c r="C26" s="150"/>
      <c r="D26" s="150"/>
      <c r="E26" s="150"/>
    </row>
    <row r="27" spans="1:5" ht="15.75">
      <c r="A27" s="151"/>
      <c r="B27" s="725" t="str">
        <f>CONCATENATE("",E1-2,"                         Expenditure Amt Budget Authority")</f>
        <v>2011                         Expenditure Amt Budget Authority</v>
      </c>
      <c r="C27" s="728" t="str">
        <f>CONCATENATE("Note: If the ",E1-2," budget was amended, then the")</f>
        <v>Note: If the 2011 budget was amended, then the</v>
      </c>
      <c r="D27" s="729"/>
      <c r="E27" s="729"/>
    </row>
    <row r="28" spans="1:5" ht="15.75">
      <c r="A28" s="152" t="s">
        <v>65</v>
      </c>
      <c r="B28" s="726"/>
      <c r="C28" s="153" t="s">
        <v>66</v>
      </c>
      <c r="D28" s="154"/>
      <c r="E28" s="154"/>
    </row>
    <row r="29" spans="1:5" ht="15.75">
      <c r="A29" s="155"/>
      <c r="B29" s="727"/>
      <c r="C29" s="153" t="s">
        <v>67</v>
      </c>
      <c r="D29" s="154"/>
      <c r="E29" s="154"/>
    </row>
    <row r="30" spans="1:5" ht="15.75">
      <c r="A30" s="156" t="str">
        <f>inputPrYr!B16</f>
        <v>General</v>
      </c>
      <c r="B30" s="157">
        <v>2664981</v>
      </c>
      <c r="C30" s="153"/>
      <c r="D30" s="154"/>
      <c r="E30" s="154"/>
    </row>
    <row r="31" spans="1:5" ht="15.75">
      <c r="A31" s="156" t="str">
        <f>inputPrYr!B17</f>
        <v>Debt Service</v>
      </c>
      <c r="B31" s="102"/>
      <c r="C31" s="153"/>
      <c r="D31" s="154"/>
      <c r="E31" s="154"/>
    </row>
    <row r="32" spans="1:5" ht="15.75">
      <c r="A32" s="156" t="str">
        <f>inputPrYr!B18</f>
        <v>Road &amp; Bridge</v>
      </c>
      <c r="B32" s="102">
        <v>1987500</v>
      </c>
      <c r="C32" s="150"/>
      <c r="D32" s="150"/>
      <c r="E32" s="150"/>
    </row>
    <row r="33" spans="1:5" ht="15.75">
      <c r="A33" s="156" t="str">
        <f>inputPrYr!B19</f>
        <v>Noxious Weed</v>
      </c>
      <c r="B33" s="102">
        <v>139529</v>
      </c>
      <c r="C33" s="150"/>
      <c r="D33" s="150"/>
      <c r="E33" s="150"/>
    </row>
    <row r="34" spans="1:5" ht="15.75">
      <c r="A34" s="156" t="str">
        <f>inputPrYr!B20</f>
        <v>Mental Health</v>
      </c>
      <c r="B34" s="102">
        <v>16500</v>
      </c>
      <c r="C34" s="150"/>
      <c r="D34" s="150"/>
      <c r="E34" s="150"/>
    </row>
    <row r="35" spans="1:5" ht="15.75">
      <c r="A35" s="156" t="str">
        <f>inputPrYr!B21</f>
        <v>Public Health</v>
      </c>
      <c r="B35" s="102">
        <v>177346</v>
      </c>
      <c r="C35" s="150"/>
      <c r="D35" s="150"/>
      <c r="E35" s="150"/>
    </row>
    <row r="36" spans="1:5" ht="15.75">
      <c r="A36" s="156" t="str">
        <f>inputPrYr!B22</f>
        <v>Council on Aging</v>
      </c>
      <c r="B36" s="102">
        <v>31387</v>
      </c>
      <c r="C36" s="150"/>
      <c r="D36" s="150"/>
      <c r="E36" s="150"/>
    </row>
    <row r="37" spans="1:5" ht="15.75">
      <c r="A37" s="156" t="str">
        <f>inputPrYr!B23</f>
        <v>Library Service Contract</v>
      </c>
      <c r="B37" s="102">
        <v>17500</v>
      </c>
      <c r="C37" s="150"/>
      <c r="D37" s="150"/>
      <c r="E37" s="150"/>
    </row>
    <row r="38" spans="1:5" ht="15.75">
      <c r="A38" s="156" t="str">
        <f>inputPrYr!B24</f>
        <v>Hospital Maintenance</v>
      </c>
      <c r="B38" s="102">
        <v>795000</v>
      </c>
      <c r="C38" s="150"/>
      <c r="D38" s="150"/>
      <c r="E38" s="150"/>
    </row>
    <row r="39" spans="1:5" ht="15.75">
      <c r="A39" s="156" t="str">
        <f>inputPrYr!B25</f>
        <v>Mental Retardation</v>
      </c>
      <c r="B39" s="102">
        <v>44100</v>
      </c>
      <c r="C39" s="150"/>
      <c r="D39" s="150"/>
      <c r="E39" s="150"/>
    </row>
    <row r="40" spans="1:5" ht="15.75">
      <c r="A40" s="156" t="str">
        <f>inputPrYr!B26</f>
        <v>Pool Lease-Purchase</v>
      </c>
      <c r="B40" s="102"/>
      <c r="C40" s="150"/>
      <c r="D40" s="150"/>
      <c r="E40" s="150"/>
    </row>
    <row r="41" spans="1:5" ht="15.75">
      <c r="A41" s="156">
        <f>inputPrYr!B27</f>
        <v>0</v>
      </c>
      <c r="B41" s="102"/>
      <c r="C41" s="150"/>
      <c r="D41" s="150"/>
      <c r="E41" s="150"/>
    </row>
    <row r="42" spans="1:5" ht="15.75">
      <c r="A42" s="156">
        <f>inputPrYr!B28</f>
        <v>0</v>
      </c>
      <c r="B42" s="102"/>
      <c r="C42" s="150"/>
      <c r="D42" s="150"/>
      <c r="E42" s="150"/>
    </row>
    <row r="43" spans="1:5" ht="15.75">
      <c r="A43" s="156">
        <f>inputPrYr!B29</f>
        <v>0</v>
      </c>
      <c r="B43" s="102"/>
      <c r="C43" s="150"/>
      <c r="D43" s="150"/>
      <c r="E43" s="150"/>
    </row>
    <row r="44" spans="1:5" ht="15.75">
      <c r="A44" s="156">
        <f>inputPrYr!B30</f>
        <v>0</v>
      </c>
      <c r="B44" s="102"/>
      <c r="C44" s="150"/>
      <c r="D44" s="150"/>
      <c r="E44" s="150"/>
    </row>
    <row r="45" spans="1:5" ht="15.75">
      <c r="A45" s="156">
        <f>inputPrYr!B31</f>
        <v>0</v>
      </c>
      <c r="B45" s="102"/>
      <c r="C45" s="150"/>
      <c r="D45" s="150"/>
      <c r="E45" s="150"/>
    </row>
    <row r="46" spans="1:5" ht="15.75">
      <c r="A46" s="156">
        <f>inputPrYr!B32</f>
        <v>0</v>
      </c>
      <c r="B46" s="102"/>
      <c r="C46" s="150"/>
      <c r="D46" s="150"/>
      <c r="E46" s="150"/>
    </row>
    <row r="47" spans="1:5" ht="15.75">
      <c r="A47" s="156">
        <f>inputPrYr!B33</f>
        <v>0</v>
      </c>
      <c r="B47" s="102"/>
      <c r="C47" s="150"/>
      <c r="D47" s="150"/>
      <c r="E47" s="150"/>
    </row>
    <row r="48" spans="1:5" ht="15.75">
      <c r="A48" s="156">
        <f>inputPrYr!B34</f>
        <v>0</v>
      </c>
      <c r="B48" s="102"/>
      <c r="C48" s="150"/>
      <c r="D48" s="150"/>
      <c r="E48" s="150"/>
    </row>
    <row r="49" spans="1:5" ht="15.75">
      <c r="A49" s="156">
        <f>inputPrYr!B35</f>
        <v>0</v>
      </c>
      <c r="B49" s="102"/>
      <c r="C49" s="150"/>
      <c r="D49" s="150"/>
      <c r="E49" s="150"/>
    </row>
    <row r="50" spans="1:5" ht="15.75">
      <c r="A50" s="156">
        <f>inputPrYr!B36</f>
        <v>0</v>
      </c>
      <c r="B50" s="102"/>
      <c r="C50" s="150"/>
      <c r="D50" s="150"/>
      <c r="E50" s="150"/>
    </row>
    <row r="51" spans="1:5" ht="15.75">
      <c r="A51" s="156">
        <f>inputPrYr!B37</f>
        <v>0</v>
      </c>
      <c r="B51" s="102"/>
      <c r="C51" s="150"/>
      <c r="D51" s="150"/>
      <c r="E51" s="150"/>
    </row>
    <row r="52" spans="1:5" ht="15.75">
      <c r="A52" s="156">
        <f>inputPrYr!B38</f>
        <v>0</v>
      </c>
      <c r="B52" s="102"/>
      <c r="C52" s="150"/>
      <c r="D52" s="150"/>
      <c r="E52" s="150"/>
    </row>
    <row r="53" spans="1:5" ht="15.75">
      <c r="A53" s="156">
        <f>inputPrYr!B39</f>
        <v>0</v>
      </c>
      <c r="B53" s="102"/>
      <c r="C53" s="150"/>
      <c r="D53" s="150"/>
      <c r="E53" s="150"/>
    </row>
    <row r="54" spans="1:5" ht="15.75">
      <c r="A54" s="156">
        <f>inputPrYr!B40</f>
        <v>0</v>
      </c>
      <c r="B54" s="102"/>
      <c r="C54" s="150"/>
      <c r="D54" s="150"/>
      <c r="E54" s="150"/>
    </row>
    <row r="55" spans="1:5" ht="15.75">
      <c r="A55" s="156" t="str">
        <f>inputPrYr!B43</f>
        <v>Noxious Weed Capital Outlay</v>
      </c>
      <c r="B55" s="102">
        <v>56088</v>
      </c>
      <c r="C55" s="150"/>
      <c r="D55" s="150"/>
      <c r="E55" s="150"/>
    </row>
    <row r="56" spans="1:5" ht="15.75">
      <c r="A56" s="156" t="str">
        <f>inputPrYr!B44</f>
        <v>911 Emergency Tax</v>
      </c>
      <c r="B56" s="102">
        <v>40211</v>
      </c>
      <c r="C56" s="150"/>
      <c r="D56" s="150"/>
      <c r="E56" s="150"/>
    </row>
    <row r="57" spans="1:5" ht="15.75">
      <c r="A57" s="156" t="str">
        <f>inputPrYr!B45</f>
        <v>Parks &amp; Recreation</v>
      </c>
      <c r="B57" s="102">
        <v>3200</v>
      </c>
      <c r="C57" s="150"/>
      <c r="D57" s="150"/>
      <c r="E57" s="150"/>
    </row>
    <row r="58" spans="1:5" ht="15.75">
      <c r="A58" s="156" t="str">
        <f>inputPrYr!B46</f>
        <v>Solid Waste Disposal</v>
      </c>
      <c r="B58" s="102">
        <v>151541</v>
      </c>
      <c r="C58" s="150"/>
      <c r="D58" s="150"/>
      <c r="E58" s="150"/>
    </row>
    <row r="59" spans="1:5" ht="15.75">
      <c r="A59" s="156" t="str">
        <f>inputPrYr!B47</f>
        <v>Alcohol Program</v>
      </c>
      <c r="B59" s="102">
        <v>34537</v>
      </c>
      <c r="C59" s="150"/>
      <c r="D59" s="150"/>
      <c r="E59" s="150"/>
    </row>
    <row r="60" spans="1:5" ht="15.75">
      <c r="A60" s="156" t="str">
        <f>inputPrYr!B48</f>
        <v>Special Ambulance</v>
      </c>
      <c r="B60" s="102">
        <v>308641</v>
      </c>
      <c r="C60" s="150"/>
      <c r="D60" s="150"/>
      <c r="E60" s="150"/>
    </row>
    <row r="61" spans="1:5" ht="15.75">
      <c r="A61" s="156" t="str">
        <f>inputPrYr!B49</f>
        <v>911 Wireless</v>
      </c>
      <c r="B61" s="102">
        <v>71219</v>
      </c>
      <c r="C61" s="150"/>
      <c r="D61" s="150"/>
      <c r="E61" s="150"/>
    </row>
    <row r="62" spans="1:5" ht="15.75">
      <c r="A62" s="156">
        <f>inputPrYr!B50</f>
        <v>0</v>
      </c>
      <c r="B62" s="102"/>
      <c r="C62" s="150"/>
      <c r="D62" s="150"/>
      <c r="E62" s="150"/>
    </row>
    <row r="63" spans="1:5" ht="15.75">
      <c r="A63" s="156">
        <f>inputPrYr!B51</f>
        <v>0</v>
      </c>
      <c r="B63" s="102"/>
      <c r="C63" s="150"/>
      <c r="D63" s="150"/>
      <c r="E63" s="150"/>
    </row>
    <row r="64" spans="1:5" ht="15.75">
      <c r="A64" s="156">
        <f>inputPrYr!B52</f>
        <v>0</v>
      </c>
      <c r="B64" s="102"/>
      <c r="C64" s="150"/>
      <c r="D64" s="150"/>
      <c r="E64" s="150"/>
    </row>
    <row r="65" spans="1:5" ht="15.75">
      <c r="A65" s="156">
        <f>inputPrYr!B53</f>
        <v>0</v>
      </c>
      <c r="B65" s="102"/>
      <c r="C65" s="150"/>
      <c r="D65" s="150"/>
      <c r="E65" s="150"/>
    </row>
    <row r="66" spans="1:5" ht="15.75">
      <c r="A66" s="156">
        <f>inputPrYr!B54</f>
        <v>0</v>
      </c>
      <c r="B66" s="102"/>
      <c r="C66" s="150"/>
      <c r="D66" s="150"/>
      <c r="E66" s="150"/>
    </row>
    <row r="67" spans="1:5" ht="15.75">
      <c r="A67" s="156">
        <f>inputPrYr!B55</f>
        <v>0</v>
      </c>
      <c r="B67" s="102"/>
      <c r="C67" s="150"/>
      <c r="D67" s="150"/>
      <c r="E67" s="150"/>
    </row>
    <row r="68" spans="1:5" ht="15.75">
      <c r="A68" s="156">
        <f>inputPrYr!B56</f>
        <v>0</v>
      </c>
      <c r="B68" s="102"/>
      <c r="C68" s="150"/>
      <c r="D68" s="150"/>
      <c r="E68" s="150"/>
    </row>
    <row r="69" spans="1:5" ht="15.75">
      <c r="A69" s="156">
        <f>inputPrYr!B57</f>
        <v>0</v>
      </c>
      <c r="B69" s="102"/>
      <c r="C69" s="150"/>
      <c r="D69" s="150"/>
      <c r="E69" s="150"/>
    </row>
    <row r="70" spans="1:5" ht="15.75">
      <c r="A70" s="156">
        <f>inputPrYr!B58</f>
        <v>0</v>
      </c>
      <c r="B70" s="102"/>
      <c r="C70" s="150"/>
      <c r="D70" s="150"/>
      <c r="E70" s="150"/>
    </row>
  </sheetData>
  <sheetProtection sheet="1"/>
  <mergeCells count="4">
    <mergeCell ref="A3:E3"/>
    <mergeCell ref="A26:B26"/>
    <mergeCell ref="B27:B29"/>
    <mergeCell ref="C27:E27"/>
  </mergeCells>
  <printOptions/>
  <pageMargins left="0.75" right="0.75" top="1" bottom="1"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dimension ref="A1:F46"/>
  <sheetViews>
    <sheetView zoomScalePageLayoutView="0" workbookViewId="0" topLeftCell="A1">
      <selection activeCell="E43" sqref="E43"/>
    </sheetView>
  </sheetViews>
  <sheetFormatPr defaultColWidth="8.796875" defaultRowHeight="15"/>
  <cols>
    <col min="1" max="1" width="9.19921875" style="161" customWidth="1"/>
    <col min="2" max="2" width="18.59765625" style="161" customWidth="1"/>
    <col min="3" max="4" width="12.796875" style="161" customWidth="1"/>
    <col min="5" max="5" width="11.796875" style="161" customWidth="1"/>
    <col min="6" max="6" width="13.09765625" style="161" customWidth="1"/>
    <col min="7" max="16384" width="8.8984375" style="161" customWidth="1"/>
  </cols>
  <sheetData>
    <row r="1" spans="1:6" ht="15.75">
      <c r="A1" s="224" t="str">
        <f>inputPrYr!C2</f>
        <v>Sheridan County</v>
      </c>
      <c r="B1" s="82"/>
      <c r="C1" s="82"/>
      <c r="D1" s="82"/>
      <c r="E1" s="82"/>
      <c r="F1" s="322">
        <f>inputPrYr!C4</f>
        <v>2013</v>
      </c>
    </row>
    <row r="2" spans="1:6" ht="15.75">
      <c r="A2" s="82"/>
      <c r="B2" s="82"/>
      <c r="C2" s="82"/>
      <c r="D2" s="82"/>
      <c r="E2" s="82"/>
      <c r="F2" s="82"/>
    </row>
    <row r="3" spans="1:6" ht="15.75">
      <c r="A3" s="82"/>
      <c r="B3" s="749" t="str">
        <f>CONCATENATE("",F1," Neighborhood Revitalization Rebate")</f>
        <v>2013 Neighborhood Revitalization Rebate</v>
      </c>
      <c r="C3" s="795"/>
      <c r="D3" s="795"/>
      <c r="E3" s="795"/>
      <c r="F3" s="82"/>
    </row>
    <row r="4" spans="1:6" ht="15.75">
      <c r="A4" s="82"/>
      <c r="B4" s="82"/>
      <c r="C4" s="82"/>
      <c r="D4" s="82"/>
      <c r="E4" s="82"/>
      <c r="F4" s="82"/>
    </row>
    <row r="5" spans="1:6" ht="62.25" customHeight="1">
      <c r="A5" s="82"/>
      <c r="B5" s="378" t="str">
        <f>CONCATENATE("Budgeted Funds                       for ",F1,"")</f>
        <v>Budgeted Funds                       for 2013</v>
      </c>
      <c r="C5" s="378" t="str">
        <f>CONCATENATE("",F1-1," Ad Valorem before Rebate**")</f>
        <v>2012 Ad Valorem before Rebate**</v>
      </c>
      <c r="D5" s="379" t="str">
        <f>CONCATENATE("",F1-1," Mil Rate before Rebate")</f>
        <v>2012 Mil Rate before Rebate</v>
      </c>
      <c r="E5" s="380" t="str">
        <f>CONCATENATE("Estimate ",F1," NR Rebate")</f>
        <v>Estimate 2013 NR Rebate</v>
      </c>
      <c r="F5" s="134"/>
    </row>
    <row r="6" spans="1:6" ht="15.75">
      <c r="A6" s="82"/>
      <c r="B6" s="100" t="str">
        <f>inputPrYr!B16</f>
        <v>General</v>
      </c>
      <c r="C6" s="381">
        <v>1813981</v>
      </c>
      <c r="D6" s="382">
        <f aca="true" t="shared" si="0" ref="D6:D26">IF(C6&gt;0,C6/$D$32,"")</f>
        <v>41.994485793086554</v>
      </c>
      <c r="E6" s="276">
        <f aca="true" t="shared" si="1" ref="E6:E26">IF(C6&gt;0,ROUND(D6*$D$36,0),"")</f>
        <v>9985</v>
      </c>
      <c r="F6" s="134"/>
    </row>
    <row r="7" spans="1:6" ht="15.75">
      <c r="A7" s="82"/>
      <c r="B7" s="100" t="str">
        <f>inputPrYr!B18</f>
        <v>Road &amp; Bridge</v>
      </c>
      <c r="C7" s="381">
        <v>1401743</v>
      </c>
      <c r="D7" s="382">
        <f t="shared" si="0"/>
        <v>32.45098846077138</v>
      </c>
      <c r="E7" s="276">
        <f t="shared" si="1"/>
        <v>7716</v>
      </c>
      <c r="F7" s="134"/>
    </row>
    <row r="8" spans="1:6" ht="15.75">
      <c r="A8" s="82"/>
      <c r="B8" s="100" t="str">
        <f>inputPrYr!B19</f>
        <v>Noxious Weed</v>
      </c>
      <c r="C8" s="381">
        <v>119695</v>
      </c>
      <c r="D8" s="382">
        <f t="shared" si="0"/>
        <v>2.7709937298149736</v>
      </c>
      <c r="E8" s="276">
        <f t="shared" si="1"/>
        <v>659</v>
      </c>
      <c r="F8" s="134"/>
    </row>
    <row r="9" spans="1:6" ht="15.75">
      <c r="A9" s="82"/>
      <c r="B9" s="100" t="str">
        <f>inputPrYr!B20</f>
        <v>Mental Health</v>
      </c>
      <c r="C9" s="381">
        <v>14950</v>
      </c>
      <c r="D9" s="382">
        <f t="shared" si="0"/>
        <v>0.34609930457190236</v>
      </c>
      <c r="E9" s="276">
        <f t="shared" si="1"/>
        <v>82</v>
      </c>
      <c r="F9" s="134"/>
    </row>
    <row r="10" spans="1:6" ht="15.75">
      <c r="A10" s="82"/>
      <c r="B10" s="100" t="str">
        <f>inputPrYr!B21</f>
        <v>Public Health</v>
      </c>
      <c r="C10" s="381">
        <v>21598</v>
      </c>
      <c r="D10" s="382">
        <f t="shared" si="0"/>
        <v>0.5000035304444111</v>
      </c>
      <c r="E10" s="276">
        <f t="shared" si="1"/>
        <v>119</v>
      </c>
      <c r="F10" s="134"/>
    </row>
    <row r="11" spans="1:6" ht="15.75">
      <c r="A11" s="82"/>
      <c r="B11" s="100" t="str">
        <f>inputPrYr!B22</f>
        <v>Council on Aging</v>
      </c>
      <c r="C11" s="383">
        <v>32721</v>
      </c>
      <c r="D11" s="382">
        <f t="shared" si="0"/>
        <v>0.7575060431369376</v>
      </c>
      <c r="E11" s="276">
        <f t="shared" si="1"/>
        <v>180</v>
      </c>
      <c r="F11" s="134"/>
    </row>
    <row r="12" spans="1:6" ht="15.75">
      <c r="A12" s="82"/>
      <c r="B12" s="100" t="str">
        <f>inputPrYr!B23</f>
        <v>Library Service Contract</v>
      </c>
      <c r="C12" s="383">
        <v>15812</v>
      </c>
      <c r="D12" s="382">
        <f t="shared" si="0"/>
        <v>0.36605499691578064</v>
      </c>
      <c r="E12" s="276">
        <f t="shared" si="1"/>
        <v>87</v>
      </c>
      <c r="F12" s="134"/>
    </row>
    <row r="13" spans="1:6" ht="15.75">
      <c r="A13" s="82"/>
      <c r="B13" s="100" t="str">
        <f>inputPrYr!B24</f>
        <v>Hospital Maintenance</v>
      </c>
      <c r="C13" s="383">
        <v>440640</v>
      </c>
      <c r="D13" s="382">
        <f t="shared" si="0"/>
        <v>10.201016559636326</v>
      </c>
      <c r="E13" s="276">
        <f t="shared" si="1"/>
        <v>2426</v>
      </c>
      <c r="F13" s="134"/>
    </row>
    <row r="14" spans="1:6" ht="15.75">
      <c r="A14" s="82"/>
      <c r="B14" s="100" t="str">
        <f>inputPrYr!B25</f>
        <v>Mental Retardation</v>
      </c>
      <c r="C14" s="383">
        <v>42070</v>
      </c>
      <c r="D14" s="382">
        <f t="shared" si="0"/>
        <v>0.973939648383942</v>
      </c>
      <c r="E14" s="276">
        <f t="shared" si="1"/>
        <v>232</v>
      </c>
      <c r="F14" s="134"/>
    </row>
    <row r="15" spans="1:6" ht="15.75">
      <c r="A15" s="82"/>
      <c r="B15" s="100" t="str">
        <f>inputPrYr!B26</f>
        <v>Pool Lease-Purchase</v>
      </c>
      <c r="C15" s="383">
        <v>139380</v>
      </c>
      <c r="D15" s="382">
        <f t="shared" si="0"/>
        <v>3.2267104395472743</v>
      </c>
      <c r="E15" s="276">
        <f t="shared" si="1"/>
        <v>767</v>
      </c>
      <c r="F15" s="134"/>
    </row>
    <row r="16" spans="1:6" ht="15.75">
      <c r="A16" s="82"/>
      <c r="B16" s="100">
        <f>inputPrYr!B27</f>
        <v>0</v>
      </c>
      <c r="C16" s="383"/>
      <c r="D16" s="382">
        <f t="shared" si="0"/>
      </c>
      <c r="E16" s="276">
        <f t="shared" si="1"/>
      </c>
      <c r="F16" s="134"/>
    </row>
    <row r="17" spans="1:6" ht="15.75">
      <c r="A17" s="82"/>
      <c r="B17" s="100">
        <f>inputPrYr!B28</f>
        <v>0</v>
      </c>
      <c r="C17" s="383"/>
      <c r="D17" s="382">
        <f t="shared" si="0"/>
      </c>
      <c r="E17" s="276">
        <f t="shared" si="1"/>
      </c>
      <c r="F17" s="134"/>
    </row>
    <row r="18" spans="1:6" ht="15.75">
      <c r="A18" s="82"/>
      <c r="B18" s="100">
        <f>inputPrYr!B29</f>
        <v>0</v>
      </c>
      <c r="C18" s="383"/>
      <c r="D18" s="382">
        <f t="shared" si="0"/>
      </c>
      <c r="E18" s="276">
        <f t="shared" si="1"/>
      </c>
      <c r="F18" s="134"/>
    </row>
    <row r="19" spans="1:6" ht="15.75">
      <c r="A19" s="82"/>
      <c r="B19" s="100">
        <f>inputPrYr!B30</f>
        <v>0</v>
      </c>
      <c r="C19" s="383"/>
      <c r="D19" s="382">
        <f t="shared" si="0"/>
      </c>
      <c r="E19" s="276">
        <f t="shared" si="1"/>
      </c>
      <c r="F19" s="134"/>
    </row>
    <row r="20" spans="1:6" ht="15.75">
      <c r="A20" s="82"/>
      <c r="B20" s="100">
        <f>inputPrYr!B31</f>
        <v>0</v>
      </c>
      <c r="C20" s="383"/>
      <c r="D20" s="382">
        <f t="shared" si="0"/>
      </c>
      <c r="E20" s="276">
        <f t="shared" si="1"/>
      </c>
      <c r="F20" s="134"/>
    </row>
    <row r="21" spans="1:6" ht="15.75">
      <c r="A21" s="82"/>
      <c r="B21" s="100">
        <f>inputPrYr!B32</f>
        <v>0</v>
      </c>
      <c r="C21" s="383"/>
      <c r="D21" s="382">
        <f t="shared" si="0"/>
      </c>
      <c r="E21" s="276">
        <f t="shared" si="1"/>
      </c>
      <c r="F21" s="134"/>
    </row>
    <row r="22" spans="1:6" ht="15.75">
      <c r="A22" s="82"/>
      <c r="B22" s="100">
        <f>inputPrYr!B36</f>
        <v>0</v>
      </c>
      <c r="C22" s="383"/>
      <c r="D22" s="382">
        <f t="shared" si="0"/>
      </c>
      <c r="E22" s="276">
        <f t="shared" si="1"/>
      </c>
      <c r="F22" s="134"/>
    </row>
    <row r="23" spans="1:6" ht="15.75">
      <c r="A23" s="82"/>
      <c r="B23" s="100">
        <f>inputPrYr!B37</f>
        <v>0</v>
      </c>
      <c r="C23" s="383"/>
      <c r="D23" s="382">
        <f t="shared" si="0"/>
      </c>
      <c r="E23" s="276">
        <f t="shared" si="1"/>
      </c>
      <c r="F23" s="134"/>
    </row>
    <row r="24" spans="1:6" ht="15.75">
      <c r="A24" s="82"/>
      <c r="B24" s="100">
        <f>inputPrYr!B38</f>
        <v>0</v>
      </c>
      <c r="C24" s="383"/>
      <c r="D24" s="382">
        <f t="shared" si="0"/>
      </c>
      <c r="E24" s="276">
        <f t="shared" si="1"/>
      </c>
      <c r="F24" s="134"/>
    </row>
    <row r="25" spans="1:6" ht="15.75">
      <c r="A25" s="82"/>
      <c r="B25" s="100">
        <f>inputPrYr!B39</f>
        <v>0</v>
      </c>
      <c r="C25" s="383"/>
      <c r="D25" s="382">
        <f t="shared" si="0"/>
      </c>
      <c r="E25" s="276">
        <f t="shared" si="1"/>
      </c>
      <c r="F25" s="134"/>
    </row>
    <row r="26" spans="1:6" ht="15.75">
      <c r="A26" s="82"/>
      <c r="B26" s="100">
        <f>inputPrYr!B40</f>
        <v>0</v>
      </c>
      <c r="C26" s="383"/>
      <c r="D26" s="382">
        <f t="shared" si="0"/>
      </c>
      <c r="E26" s="276">
        <f t="shared" si="1"/>
      </c>
      <c r="F26" s="134"/>
    </row>
    <row r="27" spans="1:6" ht="16.5" thickBot="1">
      <c r="A27" s="82"/>
      <c r="B27" s="105" t="s">
        <v>146</v>
      </c>
      <c r="C27" s="384">
        <f>SUM(C6:C26)</f>
        <v>4042590</v>
      </c>
      <c r="D27" s="385">
        <f>SUM(D6:D26)</f>
        <v>93.5877985063095</v>
      </c>
      <c r="E27" s="384">
        <f>SUM(E6:E26)</f>
        <v>22253</v>
      </c>
      <c r="F27" s="134"/>
    </row>
    <row r="28" spans="1:6" ht="16.5" thickTop="1">
      <c r="A28" s="82"/>
      <c r="B28" s="82"/>
      <c r="C28" s="82"/>
      <c r="D28" s="82"/>
      <c r="E28" s="82"/>
      <c r="F28" s="134"/>
    </row>
    <row r="29" spans="1:6" ht="15.75">
      <c r="A29" s="82"/>
      <c r="B29" s="82"/>
      <c r="C29" s="82"/>
      <c r="D29" s="82"/>
      <c r="E29" s="82"/>
      <c r="F29" s="134"/>
    </row>
    <row r="30" spans="1:6" ht="15.75">
      <c r="A30" s="796" t="str">
        <f>CONCATENATE("",F1-1," July 1 Valuation:")</f>
        <v>2012 July 1 Valuation:</v>
      </c>
      <c r="B30" s="769"/>
      <c r="C30" s="796"/>
      <c r="D30" s="386">
        <f>inputOth!E6</f>
        <v>43195695</v>
      </c>
      <c r="E30" s="82"/>
      <c r="F30" s="134"/>
    </row>
    <row r="31" spans="1:6" ht="15.75">
      <c r="A31" s="82"/>
      <c r="B31" s="82"/>
      <c r="C31" s="82"/>
      <c r="D31" s="82"/>
      <c r="E31" s="82"/>
      <c r="F31" s="134"/>
    </row>
    <row r="32" spans="1:6" ht="15.75">
      <c r="A32" s="82"/>
      <c r="B32" s="796" t="s">
        <v>382</v>
      </c>
      <c r="C32" s="796"/>
      <c r="D32" s="387">
        <f>IF(D30&gt;0,(D30*0.001),"")</f>
        <v>43195.695</v>
      </c>
      <c r="E32" s="82"/>
      <c r="F32" s="134"/>
    </row>
    <row r="33" spans="1:6" ht="15.75">
      <c r="A33" s="82"/>
      <c r="B33" s="284"/>
      <c r="C33" s="284"/>
      <c r="D33" s="388"/>
      <c r="E33" s="82"/>
      <c r="F33" s="134"/>
    </row>
    <row r="34" spans="1:6" ht="15.75">
      <c r="A34" s="794" t="s">
        <v>383</v>
      </c>
      <c r="B34" s="741"/>
      <c r="C34" s="741"/>
      <c r="D34" s="389">
        <f>inputOth!E12</f>
        <v>237777</v>
      </c>
      <c r="E34" s="150"/>
      <c r="F34" s="150"/>
    </row>
    <row r="35" spans="1:6" ht="15">
      <c r="A35" s="150"/>
      <c r="B35" s="150"/>
      <c r="C35" s="150"/>
      <c r="D35" s="390"/>
      <c r="E35" s="150"/>
      <c r="F35" s="150"/>
    </row>
    <row r="36" spans="1:6" ht="15.75">
      <c r="A36" s="150"/>
      <c r="B36" s="794" t="s">
        <v>384</v>
      </c>
      <c r="C36" s="769"/>
      <c r="D36" s="391">
        <f>IF(D34&gt;0,(D34*0.001),"")</f>
        <v>237.77700000000002</v>
      </c>
      <c r="E36" s="150"/>
      <c r="F36" s="150"/>
    </row>
    <row r="37" spans="1:6" ht="15">
      <c r="A37" s="150"/>
      <c r="B37" s="150"/>
      <c r="C37" s="150"/>
      <c r="D37" s="150"/>
      <c r="E37" s="150"/>
      <c r="F37" s="150"/>
    </row>
    <row r="38" spans="1:6" ht="15">
      <c r="A38" s="150"/>
      <c r="B38" s="150"/>
      <c r="C38" s="150"/>
      <c r="D38" s="150"/>
      <c r="E38" s="150"/>
      <c r="F38" s="150"/>
    </row>
    <row r="39" spans="1:6" ht="15.75">
      <c r="A39" s="25" t="str">
        <f>CONCATENATE("**This information comes from the ",F1," Budget Summary page.  See instructions tab #11 for completing")</f>
        <v>**This information comes from the 2013 Budget Summary page.  See instructions tab #11 for completing</v>
      </c>
      <c r="B39" s="150"/>
      <c r="C39" s="150"/>
      <c r="D39" s="150"/>
      <c r="E39" s="150"/>
      <c r="F39" s="150"/>
    </row>
    <row r="40" spans="1:6" ht="15.75">
      <c r="A40" s="25" t="s">
        <v>628</v>
      </c>
      <c r="B40" s="150"/>
      <c r="C40" s="150"/>
      <c r="D40" s="150"/>
      <c r="E40" s="150"/>
      <c r="F40" s="150"/>
    </row>
    <row r="41" spans="1:6" ht="15.75">
      <c r="A41" s="25"/>
      <c r="B41" s="150"/>
      <c r="C41" s="150"/>
      <c r="D41" s="150"/>
      <c r="E41" s="150"/>
      <c r="F41" s="150"/>
    </row>
    <row r="42" spans="1:6" ht="15.75">
      <c r="A42" s="25"/>
      <c r="B42" s="150"/>
      <c r="C42" s="150"/>
      <c r="D42" s="150"/>
      <c r="E42" s="150"/>
      <c r="F42" s="150"/>
    </row>
    <row r="43" spans="1:6" ht="15.75">
      <c r="A43" s="25"/>
      <c r="B43" s="150"/>
      <c r="C43" s="150"/>
      <c r="D43" s="150"/>
      <c r="E43" s="150"/>
      <c r="F43" s="150"/>
    </row>
    <row r="44" spans="1:6" ht="15.75">
      <c r="A44" s="25"/>
      <c r="B44" s="150"/>
      <c r="C44" s="150"/>
      <c r="D44" s="150"/>
      <c r="E44" s="150"/>
      <c r="F44" s="150"/>
    </row>
    <row r="45" spans="1:6" ht="15.75">
      <c r="A45" s="150"/>
      <c r="B45" s="318"/>
      <c r="C45" s="335" t="s">
        <v>1060</v>
      </c>
      <c r="D45" s="150"/>
      <c r="E45" s="150"/>
      <c r="F45" s="150"/>
    </row>
    <row r="46" spans="1:6" ht="15.75">
      <c r="A46" s="134"/>
      <c r="B46" s="82"/>
      <c r="C46" s="82"/>
      <c r="D46" s="392"/>
      <c r="E46" s="134"/>
      <c r="F46" s="134"/>
    </row>
  </sheetData>
  <sheetProtection/>
  <mergeCells count="5">
    <mergeCell ref="B36:C36"/>
    <mergeCell ref="B3:E3"/>
    <mergeCell ref="A30:C30"/>
    <mergeCell ref="B32:C32"/>
    <mergeCell ref="A34:C34"/>
  </mergeCells>
  <printOptions/>
  <pageMargins left="0.86" right="0.75" top="1" bottom="0.59" header="0.5" footer="0.5"/>
  <pageSetup blackAndWhite="1" horizontalDpi="600" verticalDpi="600" orientation="portrait" scale="90" r:id="rId1"/>
  <headerFooter alignWithMargins="0">
    <oddHeader>&amp;RState of Kansas
County</oddHeader>
  </headerFooter>
</worksheet>
</file>

<file path=xl/worksheets/sheet31.xml><?xml version="1.0" encoding="utf-8"?>
<worksheet xmlns="http://schemas.openxmlformats.org/spreadsheetml/2006/main" xmlns:r="http://schemas.openxmlformats.org/officeDocument/2006/relationships">
  <dimension ref="A1:H55"/>
  <sheetViews>
    <sheetView zoomScalePageLayoutView="0" workbookViewId="0" topLeftCell="A1">
      <selection activeCell="D49" sqref="D49"/>
    </sheetView>
  </sheetViews>
  <sheetFormatPr defaultColWidth="9.796875" defaultRowHeight="15"/>
  <cols>
    <col min="1" max="16384" width="9.796875" style="37" customWidth="1"/>
  </cols>
  <sheetData>
    <row r="1" spans="1:8" ht="11.25" customHeight="1">
      <c r="A1" s="33"/>
      <c r="B1" s="34"/>
      <c r="C1" s="34"/>
      <c r="D1" s="34"/>
      <c r="E1" s="34"/>
      <c r="F1" s="34"/>
      <c r="G1" s="35"/>
      <c r="H1" s="36"/>
    </row>
    <row r="2" spans="1:8" ht="15.75" customHeight="1">
      <c r="A2" s="797" t="s">
        <v>277</v>
      </c>
      <c r="B2" s="797"/>
      <c r="C2" s="797"/>
      <c r="D2" s="797"/>
      <c r="E2" s="797"/>
      <c r="F2" s="797"/>
      <c r="G2" s="797"/>
      <c r="H2" s="797"/>
    </row>
    <row r="3" spans="1:8" ht="9" customHeight="1">
      <c r="A3" s="33"/>
      <c r="B3" s="51"/>
      <c r="C3" s="51"/>
      <c r="D3" s="51"/>
      <c r="E3" s="51"/>
      <c r="F3" s="51"/>
      <c r="G3" s="38"/>
      <c r="H3" s="52"/>
    </row>
    <row r="4" spans="1:8" ht="15.75" customHeight="1">
      <c r="A4" s="798" t="s">
        <v>1071</v>
      </c>
      <c r="B4" s="798"/>
      <c r="C4" s="798"/>
      <c r="D4" s="798"/>
      <c r="E4" s="798"/>
      <c r="F4" s="798"/>
      <c r="G4" s="798"/>
      <c r="H4" s="798"/>
    </row>
    <row r="5" spans="1:8" ht="9" customHeight="1">
      <c r="A5" s="39"/>
      <c r="B5" s="51"/>
      <c r="C5" s="51"/>
      <c r="D5" s="51"/>
      <c r="E5" s="51"/>
      <c r="F5" s="51"/>
      <c r="G5" s="51"/>
      <c r="H5" s="52"/>
    </row>
    <row r="6" spans="1:8" ht="15.75" customHeight="1">
      <c r="A6" s="40" t="str">
        <f>CONCATENATE("A resolution expressing the property taxation policy of the Board of ",(inputPrYr!C2)," Commissioners")</f>
        <v>A resolution expressing the property taxation policy of the Board of Sheridan County Commissioners</v>
      </c>
      <c r="B6" s="51"/>
      <c r="C6" s="51"/>
      <c r="D6" s="51"/>
      <c r="E6" s="51"/>
      <c r="F6" s="51"/>
      <c r="G6" s="51"/>
      <c r="H6" s="52"/>
    </row>
    <row r="7" spans="1:8" ht="15.75" customHeight="1">
      <c r="A7" s="40" t="str">
        <f>CONCATENATE("with respect to financing the ",inputPrYr!C4," annual budget for ",(inputPrYr!E2)," .")</f>
        <v>with respect to financing the 2013 annual budget for  .</v>
      </c>
      <c r="B7" s="51"/>
      <c r="C7" s="51"/>
      <c r="D7" s="51"/>
      <c r="E7" s="51"/>
      <c r="F7" s="51"/>
      <c r="G7" s="51"/>
      <c r="H7" s="52"/>
    </row>
    <row r="8" spans="1:8" ht="9" customHeight="1">
      <c r="A8" s="33"/>
      <c r="B8" s="51"/>
      <c r="C8" s="51"/>
      <c r="D8" s="51"/>
      <c r="E8" s="51"/>
      <c r="F8" s="51"/>
      <c r="G8" s="51"/>
      <c r="H8" s="52"/>
    </row>
    <row r="9" spans="1:8" ht="15.75" customHeight="1">
      <c r="A9" s="41" t="str">
        <f>CONCATENATE("Whereas, K.S.A. 79-2925b provides that a resolution be adopted if property taxes levied to finance the ",inputPrYr!C4,"")</f>
        <v>Whereas, K.S.A. 79-2925b provides that a resolution be adopted if property taxes levied to finance the 2013</v>
      </c>
      <c r="B9" s="51"/>
      <c r="C9" s="51"/>
      <c r="D9" s="51"/>
      <c r="E9" s="51"/>
      <c r="F9" s="51"/>
      <c r="G9" s="51"/>
      <c r="H9" s="52"/>
    </row>
    <row r="10" spans="1:8" ht="15.75" customHeight="1">
      <c r="A10" s="800" t="str">
        <f>CONCATENATE("",(inputPrYr!C2)," budget exceed the amount levied to finance the ",inputPrYr!C4-1," ",(inputPrYr!C2)," ",A16,)</f>
        <v>Sheridan County budget exceed the amount levied to finance the 2012 Sheridan County budget, except with regard to revenue produced and attributable to the 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v>
      </c>
      <c r="B10" s="800"/>
      <c r="C10" s="800"/>
      <c r="D10" s="800"/>
      <c r="E10" s="800"/>
      <c r="F10" s="800"/>
      <c r="G10" s="800"/>
      <c r="H10" s="800"/>
    </row>
    <row r="11" spans="1:8" ht="15.75" customHeight="1">
      <c r="A11" s="800"/>
      <c r="B11" s="800"/>
      <c r="C11" s="800"/>
      <c r="D11" s="800"/>
      <c r="E11" s="800"/>
      <c r="F11" s="800"/>
      <c r="G11" s="800"/>
      <c r="H11" s="800"/>
    </row>
    <row r="12" spans="1:8" ht="15.75" customHeight="1">
      <c r="A12" s="800"/>
      <c r="B12" s="800"/>
      <c r="C12" s="800"/>
      <c r="D12" s="800"/>
      <c r="E12" s="800"/>
      <c r="F12" s="800"/>
      <c r="G12" s="800"/>
      <c r="H12" s="800"/>
    </row>
    <row r="13" spans="1:8" ht="15.75" customHeight="1">
      <c r="A13" s="800"/>
      <c r="B13" s="800"/>
      <c r="C13" s="800"/>
      <c r="D13" s="800"/>
      <c r="E13" s="800"/>
      <c r="F13" s="800"/>
      <c r="G13" s="800"/>
      <c r="H13" s="800"/>
    </row>
    <row r="14" spans="1:8" ht="15.75" customHeight="1">
      <c r="A14" s="800"/>
      <c r="B14" s="800"/>
      <c r="C14" s="800"/>
      <c r="D14" s="800"/>
      <c r="E14" s="800"/>
      <c r="F14" s="800"/>
      <c r="G14" s="800"/>
      <c r="H14" s="800"/>
    </row>
    <row r="15" spans="1:8" ht="12" customHeight="1">
      <c r="A15" s="800"/>
      <c r="B15" s="800"/>
      <c r="C15" s="800"/>
      <c r="D15" s="800"/>
      <c r="E15" s="800"/>
      <c r="F15" s="800"/>
      <c r="G15" s="800"/>
      <c r="H15" s="800"/>
    </row>
    <row r="16" spans="1:8" ht="9" customHeight="1">
      <c r="A16" s="53" t="s">
        <v>299</v>
      </c>
      <c r="B16" s="51"/>
      <c r="C16" s="51"/>
      <c r="D16" s="51"/>
      <c r="E16" s="51"/>
      <c r="F16" s="51"/>
      <c r="G16" s="51"/>
      <c r="H16" s="52" t="s">
        <v>178</v>
      </c>
    </row>
    <row r="17" spans="1:8" ht="15.75" customHeight="1">
      <c r="A17" s="800" t="s">
        <v>278</v>
      </c>
      <c r="B17" s="800"/>
      <c r="C17" s="800"/>
      <c r="D17" s="800"/>
      <c r="E17" s="800"/>
      <c r="F17" s="800"/>
      <c r="G17" s="800"/>
      <c r="H17" s="800"/>
    </row>
    <row r="18" spans="1:8" ht="15.75" customHeight="1">
      <c r="A18" s="800"/>
      <c r="B18" s="800"/>
      <c r="C18" s="800"/>
      <c r="D18" s="800"/>
      <c r="E18" s="800"/>
      <c r="F18" s="800"/>
      <c r="G18" s="800"/>
      <c r="H18" s="800"/>
    </row>
    <row r="19" spans="1:8" ht="9" customHeight="1">
      <c r="A19" s="39"/>
      <c r="B19" s="51"/>
      <c r="C19" s="51"/>
      <c r="D19" s="51"/>
      <c r="E19" s="51"/>
      <c r="F19" s="51"/>
      <c r="G19" s="51"/>
      <c r="H19" s="52"/>
    </row>
    <row r="20" spans="1:8" ht="15.75" customHeight="1">
      <c r="A20" s="800" t="str">
        <f>CONCATENATE("Whereas, ",(inputPrYr!C2)," provides the essential services to protect the health, safety, and well being of the citizens of the county; and")</f>
        <v>Whereas, Sheridan County provides the essential services to protect the health, safety, and well being of the citizens of the county; and</v>
      </c>
      <c r="B20" s="800"/>
      <c r="C20" s="800"/>
      <c r="D20" s="800"/>
      <c r="E20" s="800"/>
      <c r="F20" s="800"/>
      <c r="G20" s="800"/>
      <c r="H20" s="800"/>
    </row>
    <row r="21" spans="1:8" ht="15.75" customHeight="1">
      <c r="A21" s="800"/>
      <c r="B21" s="800"/>
      <c r="C21" s="800"/>
      <c r="D21" s="800"/>
      <c r="E21" s="800"/>
      <c r="F21" s="800"/>
      <c r="G21" s="800"/>
      <c r="H21" s="800"/>
    </row>
    <row r="22" spans="1:8" ht="9" customHeight="1">
      <c r="A22" s="42"/>
      <c r="B22" s="51"/>
      <c r="C22" s="51"/>
      <c r="D22" s="51"/>
      <c r="E22" s="51"/>
      <c r="F22" s="51"/>
      <c r="G22" s="51"/>
      <c r="H22" s="52"/>
    </row>
    <row r="23" spans="1:8" ht="15.75" customHeight="1">
      <c r="A23" s="42" t="s">
        <v>279</v>
      </c>
      <c r="B23" s="51"/>
      <c r="C23" s="51"/>
      <c r="D23" s="51"/>
      <c r="E23" s="51"/>
      <c r="F23" s="51"/>
      <c r="G23" s="51"/>
      <c r="H23" s="52"/>
    </row>
    <row r="24" spans="1:8" ht="9" customHeight="1">
      <c r="A24" s="39"/>
      <c r="B24" s="51"/>
      <c r="C24" s="51"/>
      <c r="D24" s="51"/>
      <c r="E24" s="51"/>
      <c r="F24" s="51"/>
      <c r="G24" s="51"/>
      <c r="H24" s="52"/>
    </row>
    <row r="25" spans="1:8" ht="15.75" customHeight="1">
      <c r="A25" s="800" t="str">
        <f>CONCATENATE("Whereas, the ",inputPrYr!C4-1," Kansas State Legislature failed to fulfill its obligations in regard to the statutory funding of demand transfers and, by significantly ",A28," ",(inputPrYr!C2),B28)</f>
        <v>Whereas, the 2012 Kansas State Legislature failed to fulfill its obligations in regard to the statutory funding of demand transfers and, by significantly limiting state revenue sharing payments to counties, has contributed to higher county property tax levies to finance the 2013 Sheridan County budget.</v>
      </c>
      <c r="B25" s="800"/>
      <c r="C25" s="800"/>
      <c r="D25" s="800"/>
      <c r="E25" s="800"/>
      <c r="F25" s="800"/>
      <c r="G25" s="800"/>
      <c r="H25" s="800"/>
    </row>
    <row r="26" spans="1:8" ht="15.75" customHeight="1">
      <c r="A26" s="800"/>
      <c r="B26" s="800"/>
      <c r="C26" s="800"/>
      <c r="D26" s="800"/>
      <c r="E26" s="800"/>
      <c r="F26" s="800"/>
      <c r="G26" s="800"/>
      <c r="H26" s="800"/>
    </row>
    <row r="27" spans="1:8" ht="15.75" customHeight="1">
      <c r="A27" s="800"/>
      <c r="B27" s="800"/>
      <c r="C27" s="800"/>
      <c r="D27" s="800"/>
      <c r="E27" s="800"/>
      <c r="F27" s="800"/>
      <c r="G27" s="800"/>
      <c r="H27" s="800"/>
    </row>
    <row r="28" spans="1:8" ht="9" customHeight="1">
      <c r="A28" s="43" t="str">
        <f>CONCATENATE("limiting state revenue sharing payments to counties, has contributed to higher county property tax levies to finance the ",inputPrYr!C4,"")</f>
        <v>limiting state revenue sharing payments to counties, has contributed to higher county property tax levies to finance the 2013</v>
      </c>
      <c r="B28" s="54" t="s">
        <v>300</v>
      </c>
      <c r="C28" s="6"/>
      <c r="D28" s="6"/>
      <c r="E28" s="6"/>
      <c r="F28" s="6"/>
      <c r="G28" s="6"/>
      <c r="H28" s="55"/>
    </row>
    <row r="29" spans="1:8" ht="15.75" customHeight="1">
      <c r="A29" s="800" t="str">
        <f>CONCATENATE("NOW, THEREFORE, BE IT RESOLVED by the Board of ",(inputPrYr!C2)," Commissioners that is our desire to notify the public of the possibility of increased property taxes to finance the ",inputPrYr!C4," ",(inputPrYr!C2)," budget due to the above mentioned constraints, and that all persons are invited and encouraged to attend budget meeting conducted by the Board of ",(inputPrYr!C2)," Commissioners.  The date and time of budget hearings with the Board of ",(inputPrYr!C2),A38,)</f>
        <v>NOW, THEREFORE, BE IT RESOLVED by the Board of Sheridan County Commissioners that is our desire to notify the public of the possibility of increased property taxes to finance the 2013 Sheridan County budget due to the above mentioned constraints, and that all persons are invited and encouraged to attend budget meeting conducted by the Board of Sheridan County Commissioners.  The date and time of budget hearings with the Board of Sheridan County Commissioners will be published in the Hoxie Sentinel (newspaper).   Interested persons can also address questions concerning the budget to Sheridan Co. Clerk's office by calling 785-675-3361 between the hours of 8:00 a.m. to 5:00 p.m., Monday through Fridays, excluding holidays.  </v>
      </c>
      <c r="B29" s="800"/>
      <c r="C29" s="800"/>
      <c r="D29" s="800"/>
      <c r="E29" s="800"/>
      <c r="F29" s="800"/>
      <c r="G29" s="800"/>
      <c r="H29" s="800"/>
    </row>
    <row r="30" spans="1:8" ht="15.75" customHeight="1">
      <c r="A30" s="800"/>
      <c r="B30" s="800"/>
      <c r="C30" s="800"/>
      <c r="D30" s="800"/>
      <c r="E30" s="800"/>
      <c r="F30" s="800"/>
      <c r="G30" s="800"/>
      <c r="H30" s="800"/>
    </row>
    <row r="31" spans="1:8" ht="15.75" customHeight="1">
      <c r="A31" s="800"/>
      <c r="B31" s="800"/>
      <c r="C31" s="800"/>
      <c r="D31" s="800"/>
      <c r="E31" s="800"/>
      <c r="F31" s="800"/>
      <c r="G31" s="800"/>
      <c r="H31" s="800"/>
    </row>
    <row r="32" spans="1:8" ht="15.75" customHeight="1">
      <c r="A32" s="800"/>
      <c r="B32" s="800"/>
      <c r="C32" s="800"/>
      <c r="D32" s="800"/>
      <c r="E32" s="800"/>
      <c r="F32" s="800"/>
      <c r="G32" s="800"/>
      <c r="H32" s="800"/>
    </row>
    <row r="33" spans="1:8" ht="15.75" customHeight="1">
      <c r="A33" s="800"/>
      <c r="B33" s="800"/>
      <c r="C33" s="800"/>
      <c r="D33" s="800"/>
      <c r="E33" s="800"/>
      <c r="F33" s="800"/>
      <c r="G33" s="800"/>
      <c r="H33" s="800"/>
    </row>
    <row r="34" spans="1:8" ht="15.75" customHeight="1">
      <c r="A34" s="800"/>
      <c r="B34" s="800"/>
      <c r="C34" s="800"/>
      <c r="D34" s="800"/>
      <c r="E34" s="800"/>
      <c r="F34" s="800"/>
      <c r="G34" s="800"/>
      <c r="H34" s="800"/>
    </row>
    <row r="35" spans="1:8" ht="15.75" customHeight="1">
      <c r="A35" s="800"/>
      <c r="B35" s="800"/>
      <c r="C35" s="800"/>
      <c r="D35" s="800"/>
      <c r="E35" s="800"/>
      <c r="F35" s="800"/>
      <c r="G35" s="800"/>
      <c r="H35" s="800"/>
    </row>
    <row r="36" spans="1:8" ht="8.25" customHeight="1">
      <c r="A36" s="800"/>
      <c r="B36" s="800"/>
      <c r="C36" s="800"/>
      <c r="D36" s="800"/>
      <c r="E36" s="800"/>
      <c r="F36" s="800"/>
      <c r="G36" s="800"/>
      <c r="H36" s="800"/>
    </row>
    <row r="37" spans="1:8" ht="15.75" customHeight="1" hidden="1">
      <c r="A37" s="800"/>
      <c r="B37" s="800"/>
      <c r="C37" s="800"/>
      <c r="D37" s="800"/>
      <c r="E37" s="800"/>
      <c r="F37" s="800"/>
      <c r="G37" s="800"/>
      <c r="H37" s="800"/>
    </row>
    <row r="38" spans="1:8" ht="13.5" customHeight="1">
      <c r="A38" s="44" t="s">
        <v>1076</v>
      </c>
      <c r="B38" s="6"/>
      <c r="C38" s="6"/>
      <c r="D38" s="6"/>
      <c r="E38" s="6"/>
      <c r="F38" s="6"/>
      <c r="G38" s="6"/>
      <c r="H38" s="55" t="s">
        <v>178</v>
      </c>
    </row>
    <row r="39" spans="1:8" ht="15.75" customHeight="1">
      <c r="A39" s="799" t="str">
        <f>CONCATENATE("                                                 Adopted this 18th day of June, ",inputPrYr!C4-1," by the Board of ",(inputPrYr!C2)," Commissioners.")</f>
        <v>                                                 Adopted this 18th day of June, 2012 by the Board of Sheridan County Commissioners.</v>
      </c>
      <c r="B39" s="799"/>
      <c r="C39" s="799"/>
      <c r="D39" s="799"/>
      <c r="E39" s="799"/>
      <c r="F39" s="799"/>
      <c r="G39" s="799"/>
      <c r="H39" s="799"/>
    </row>
    <row r="40" spans="1:8" ht="15.75" customHeight="1">
      <c r="A40" s="799"/>
      <c r="B40" s="799"/>
      <c r="C40" s="799"/>
      <c r="D40" s="799"/>
      <c r="E40" s="799"/>
      <c r="F40" s="799"/>
      <c r="G40" s="799"/>
      <c r="H40" s="799"/>
    </row>
    <row r="41" spans="1:8" ht="15.75" customHeight="1">
      <c r="A41" s="6"/>
      <c r="B41" s="6"/>
      <c r="C41" s="6"/>
      <c r="D41" s="6"/>
      <c r="E41" s="801" t="s">
        <v>280</v>
      </c>
      <c r="F41" s="801"/>
      <c r="G41" s="801"/>
      <c r="H41" s="801"/>
    </row>
    <row r="42" spans="1:8" ht="15.75" customHeight="1">
      <c r="A42" s="45"/>
      <c r="B42" s="6"/>
      <c r="C42" s="6"/>
      <c r="D42" s="6"/>
      <c r="E42" s="801"/>
      <c r="F42" s="801"/>
      <c r="G42" s="801"/>
      <c r="H42" s="801"/>
    </row>
    <row r="43" spans="1:8" ht="15.75" customHeight="1">
      <c r="A43" s="6"/>
      <c r="B43" s="6"/>
      <c r="C43" s="6"/>
      <c r="D43" s="6"/>
      <c r="E43" s="801" t="s">
        <v>1074</v>
      </c>
      <c r="F43" s="801"/>
      <c r="G43" s="801"/>
      <c r="H43" s="801"/>
    </row>
    <row r="44" spans="1:8" ht="15.75" customHeight="1">
      <c r="A44" s="45"/>
      <c r="B44" s="6"/>
      <c r="C44" s="6"/>
      <c r="D44" s="6"/>
      <c r="E44" s="801"/>
      <c r="F44" s="801"/>
      <c r="G44" s="801"/>
      <c r="H44" s="801"/>
    </row>
    <row r="45" spans="1:8" ht="15.75" customHeight="1">
      <c r="A45" s="6"/>
      <c r="B45" s="6"/>
      <c r="C45" s="6"/>
      <c r="D45" s="6"/>
      <c r="E45" s="801" t="s">
        <v>1072</v>
      </c>
      <c r="F45" s="801"/>
      <c r="G45" s="801"/>
      <c r="H45" s="801"/>
    </row>
    <row r="46" spans="1:8" ht="15.75" customHeight="1">
      <c r="A46" s="45"/>
      <c r="B46" s="6"/>
      <c r="C46" s="6"/>
      <c r="D46" s="6"/>
      <c r="E46" s="801"/>
      <c r="F46" s="801"/>
      <c r="G46" s="801"/>
      <c r="H46" s="801"/>
    </row>
    <row r="47" spans="1:8" ht="15.75" customHeight="1">
      <c r="A47" s="6"/>
      <c r="B47" s="6"/>
      <c r="C47" s="6"/>
      <c r="D47" s="6"/>
      <c r="E47" s="801" t="s">
        <v>1073</v>
      </c>
      <c r="F47" s="801"/>
      <c r="G47" s="801"/>
      <c r="H47" s="801"/>
    </row>
    <row r="48" spans="1:8" ht="8.25" customHeight="1">
      <c r="A48" s="45"/>
      <c r="B48" s="6"/>
      <c r="C48" s="6"/>
      <c r="D48" s="6"/>
      <c r="E48" s="6"/>
      <c r="F48" s="6"/>
      <c r="G48" s="6"/>
      <c r="H48" s="55"/>
    </row>
    <row r="49" spans="1:8" ht="15.75" customHeight="1">
      <c r="A49" s="45" t="s">
        <v>281</v>
      </c>
      <c r="B49" s="6"/>
      <c r="C49" s="6"/>
      <c r="D49" s="6"/>
      <c r="E49" s="6"/>
      <c r="F49" s="6"/>
      <c r="G49" s="6"/>
      <c r="H49" s="55"/>
    </row>
    <row r="50" spans="1:8" ht="15.75" customHeight="1">
      <c r="A50" s="715"/>
      <c r="B50" s="714" t="s">
        <v>902</v>
      </c>
      <c r="C50" s="714"/>
      <c r="D50" s="2"/>
      <c r="E50" s="2"/>
      <c r="F50" s="2"/>
      <c r="G50" s="45"/>
      <c r="H50" s="55"/>
    </row>
    <row r="51" spans="1:8" ht="15.75" customHeight="1">
      <c r="A51" s="801" t="s">
        <v>282</v>
      </c>
      <c r="B51" s="801"/>
      <c r="C51" s="801"/>
      <c r="D51" s="2"/>
      <c r="E51" s="2"/>
      <c r="F51" s="2"/>
      <c r="G51" s="45"/>
      <c r="H51" s="55"/>
    </row>
    <row r="52" spans="1:8" ht="12.75" customHeight="1">
      <c r="A52" s="46"/>
      <c r="B52" s="2"/>
      <c r="C52" s="2"/>
      <c r="D52" s="2"/>
      <c r="E52" s="2"/>
      <c r="F52" s="2"/>
      <c r="G52" s="45"/>
      <c r="H52" s="55"/>
    </row>
    <row r="53" spans="1:7" ht="15.75" customHeight="1">
      <c r="A53" s="47" t="s">
        <v>283</v>
      </c>
      <c r="B53" s="2"/>
      <c r="C53" s="2"/>
      <c r="E53" s="57" t="s">
        <v>1075</v>
      </c>
      <c r="F53" s="45"/>
      <c r="G53" s="55"/>
    </row>
    <row r="54" spans="1:8" ht="15" customHeight="1">
      <c r="A54" s="55"/>
      <c r="B54" s="55"/>
      <c r="C54" s="55"/>
      <c r="D54" s="55"/>
      <c r="E54" s="55"/>
      <c r="F54" s="55"/>
      <c r="G54" s="55"/>
      <c r="H54" s="55"/>
    </row>
    <row r="55" spans="1:8" ht="15" customHeight="1">
      <c r="A55" s="55"/>
      <c r="B55" s="55"/>
      <c r="C55" s="55"/>
      <c r="D55" s="55"/>
      <c r="E55" s="55"/>
      <c r="F55" s="55"/>
      <c r="G55" s="55"/>
      <c r="H55" s="55"/>
    </row>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sheetData>
  <sheetProtection/>
  <mergeCells count="16">
    <mergeCell ref="E45:H45"/>
    <mergeCell ref="E46:H46"/>
    <mergeCell ref="E47:H47"/>
    <mergeCell ref="A51:C51"/>
    <mergeCell ref="E41:H41"/>
    <mergeCell ref="E42:H42"/>
    <mergeCell ref="E43:H43"/>
    <mergeCell ref="E44:H44"/>
    <mergeCell ref="A2:H2"/>
    <mergeCell ref="A4:H4"/>
    <mergeCell ref="A39:H40"/>
    <mergeCell ref="A10:H15"/>
    <mergeCell ref="A29:H37"/>
    <mergeCell ref="A17:H18"/>
    <mergeCell ref="A20:H21"/>
    <mergeCell ref="A25:H27"/>
  </mergeCells>
  <printOptions/>
  <pageMargins left="0.37" right="0.27" top="0.41" bottom="0.5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416" t="s">
        <v>400</v>
      </c>
      <c r="B3" s="416"/>
      <c r="C3" s="416"/>
      <c r="D3" s="416"/>
      <c r="E3" s="416"/>
      <c r="F3" s="416"/>
      <c r="G3" s="416"/>
      <c r="H3" s="416"/>
      <c r="I3" s="416"/>
      <c r="J3" s="416"/>
      <c r="K3" s="416"/>
      <c r="L3" s="416"/>
    </row>
    <row r="5" ht="15">
      <c r="A5" s="417" t="s">
        <v>401</v>
      </c>
    </row>
    <row r="6" ht="15">
      <c r="A6" s="417" t="str">
        <f>CONCATENATE(inputPrYr!C4-2," 'total expenditures' exceed your ",inputPrYr!C4-2," 'budget authority.'")</f>
        <v>2011 'total expenditures' exceed your 2011 'budget authority.'</v>
      </c>
    </row>
    <row r="7" ht="15">
      <c r="A7" s="417"/>
    </row>
    <row r="8" ht="15">
      <c r="A8" s="417" t="s">
        <v>402</v>
      </c>
    </row>
    <row r="9" ht="15">
      <c r="A9" s="417" t="s">
        <v>403</v>
      </c>
    </row>
    <row r="10" ht="15">
      <c r="A10" s="417" t="s">
        <v>404</v>
      </c>
    </row>
    <row r="11" ht="15">
      <c r="A11" s="417"/>
    </row>
    <row r="12" ht="15">
      <c r="A12" s="417"/>
    </row>
    <row r="13" ht="15">
      <c r="A13" s="418" t="s">
        <v>405</v>
      </c>
    </row>
    <row r="15" ht="15">
      <c r="A15" s="417" t="s">
        <v>406</v>
      </c>
    </row>
    <row r="16" ht="15">
      <c r="A16" s="417" t="str">
        <f>CONCATENATE("(i.e. an audit has not been completed, or the ",inputPrYr!C4," adopted")</f>
        <v>(i.e. an audit has not been completed, or the 2013 adopted</v>
      </c>
    </row>
    <row r="17" ht="15">
      <c r="A17" s="417" t="s">
        <v>407</v>
      </c>
    </row>
    <row r="18" ht="15">
      <c r="A18" s="417" t="s">
        <v>408</v>
      </c>
    </row>
    <row r="19" ht="15">
      <c r="A19" s="417" t="s">
        <v>409</v>
      </c>
    </row>
    <row r="21" ht="15">
      <c r="A21" s="418" t="s">
        <v>410</v>
      </c>
    </row>
    <row r="22" ht="15">
      <c r="A22" s="418"/>
    </row>
    <row r="23" ht="15">
      <c r="A23" s="417" t="s">
        <v>411</v>
      </c>
    </row>
    <row r="24" ht="15">
      <c r="A24" s="417" t="s">
        <v>412</v>
      </c>
    </row>
    <row r="25" ht="15">
      <c r="A25" s="417" t="str">
        <f>CONCATENATE("particular fund.  If your ",inputPrYr!C4-2," budget was amended, did you")</f>
        <v>particular fund.  If your 2011 budget was amended, did you</v>
      </c>
    </row>
    <row r="26" ht="15">
      <c r="A26" s="417" t="s">
        <v>413</v>
      </c>
    </row>
    <row r="27" ht="15">
      <c r="A27" s="417"/>
    </row>
    <row r="28" ht="15">
      <c r="A28" s="417" t="str">
        <f>CONCATENATE("Next, look to see if any of your ",inputPrYr!C4-2," expenditures can be")</f>
        <v>Next, look to see if any of your 2011 expenditures can be</v>
      </c>
    </row>
    <row r="29" ht="15">
      <c r="A29" s="417" t="s">
        <v>414</v>
      </c>
    </row>
    <row r="30" ht="15">
      <c r="A30" s="417" t="s">
        <v>415</v>
      </c>
    </row>
    <row r="31" ht="15">
      <c r="A31" s="417" t="s">
        <v>416</v>
      </c>
    </row>
    <row r="32" ht="15">
      <c r="A32" s="417"/>
    </row>
    <row r="33" ht="15">
      <c r="A33" s="417" t="str">
        <f>CONCATENATE("Additionally, do your ",inputPrYr!C4-2," receipts contain a reimbursement")</f>
        <v>Additionally, do your 2011 receipts contain a reimbursement</v>
      </c>
    </row>
    <row r="34" ht="15">
      <c r="A34" s="417" t="s">
        <v>417</v>
      </c>
    </row>
    <row r="35" ht="15">
      <c r="A35" s="417" t="s">
        <v>418</v>
      </c>
    </row>
    <row r="36" ht="15">
      <c r="A36" s="417"/>
    </row>
    <row r="37" ht="15">
      <c r="A37" s="417" t="s">
        <v>419</v>
      </c>
    </row>
    <row r="38" ht="15">
      <c r="A38" s="417" t="s">
        <v>420</v>
      </c>
    </row>
    <row r="39" ht="15">
      <c r="A39" s="417" t="s">
        <v>421</v>
      </c>
    </row>
    <row r="40" ht="15">
      <c r="A40" s="417" t="s">
        <v>422</v>
      </c>
    </row>
    <row r="41" ht="15">
      <c r="A41" s="417" t="s">
        <v>423</v>
      </c>
    </row>
    <row r="42" ht="15">
      <c r="A42" s="417" t="s">
        <v>424</v>
      </c>
    </row>
    <row r="43" ht="15">
      <c r="A43" s="417" t="s">
        <v>425</v>
      </c>
    </row>
    <row r="44" ht="15">
      <c r="A44" s="417" t="s">
        <v>426</v>
      </c>
    </row>
    <row r="45" ht="15">
      <c r="A45" s="417"/>
    </row>
    <row r="46" ht="15">
      <c r="A46" s="417" t="s">
        <v>427</v>
      </c>
    </row>
    <row r="47" ht="15">
      <c r="A47" s="417" t="s">
        <v>428</v>
      </c>
    </row>
    <row r="48" ht="15">
      <c r="A48" s="417" t="s">
        <v>429</v>
      </c>
    </row>
    <row r="49" ht="15">
      <c r="A49" s="417"/>
    </row>
    <row r="50" ht="15">
      <c r="A50" s="417" t="s">
        <v>430</v>
      </c>
    </row>
    <row r="51" ht="15">
      <c r="A51" s="417" t="s">
        <v>431</v>
      </c>
    </row>
    <row r="52" ht="15">
      <c r="A52" s="417" t="s">
        <v>432</v>
      </c>
    </row>
    <row r="53" ht="15">
      <c r="A53" s="417"/>
    </row>
    <row r="54" ht="15">
      <c r="A54" s="418" t="s">
        <v>433</v>
      </c>
    </row>
    <row r="55" ht="15">
      <c r="A55" s="417"/>
    </row>
    <row r="56" ht="15">
      <c r="A56" s="417" t="s">
        <v>434</v>
      </c>
    </row>
    <row r="57" ht="15">
      <c r="A57" s="417" t="s">
        <v>435</v>
      </c>
    </row>
    <row r="58" ht="15">
      <c r="A58" s="417" t="s">
        <v>436</v>
      </c>
    </row>
    <row r="59" ht="15">
      <c r="A59" s="417" t="s">
        <v>437</v>
      </c>
    </row>
    <row r="60" ht="15">
      <c r="A60" s="417" t="s">
        <v>438</v>
      </c>
    </row>
    <row r="61" ht="15">
      <c r="A61" s="417" t="s">
        <v>439</v>
      </c>
    </row>
    <row r="62" ht="15">
      <c r="A62" s="417" t="s">
        <v>440</v>
      </c>
    </row>
    <row r="63" ht="15">
      <c r="A63" s="417" t="s">
        <v>441</v>
      </c>
    </row>
    <row r="64" ht="15">
      <c r="A64" s="417" t="s">
        <v>442</v>
      </c>
    </row>
    <row r="65" ht="15">
      <c r="A65" s="417" t="s">
        <v>443</v>
      </c>
    </row>
    <row r="66" ht="15">
      <c r="A66" s="417" t="s">
        <v>444</v>
      </c>
    </row>
    <row r="67" ht="15">
      <c r="A67" s="417" t="s">
        <v>445</v>
      </c>
    </row>
    <row r="68" ht="15">
      <c r="A68" s="417" t="s">
        <v>446</v>
      </c>
    </row>
    <row r="69" ht="15">
      <c r="A69" s="417"/>
    </row>
    <row r="70" ht="15">
      <c r="A70" s="417" t="s">
        <v>447</v>
      </c>
    </row>
    <row r="71" ht="15">
      <c r="A71" s="417" t="s">
        <v>448</v>
      </c>
    </row>
    <row r="72" ht="15">
      <c r="A72" s="417" t="s">
        <v>449</v>
      </c>
    </row>
    <row r="73" ht="15">
      <c r="A73" s="417"/>
    </row>
    <row r="74" ht="15">
      <c r="A74" s="418" t="str">
        <f>CONCATENATE("What if the ",inputPrYr!C4-2," financial records have been closed?")</f>
        <v>What if the 2011 financial records have been closed?</v>
      </c>
    </row>
    <row r="76" ht="15">
      <c r="A76" s="417" t="s">
        <v>450</v>
      </c>
    </row>
    <row r="77" ht="15">
      <c r="A77" s="417" t="str">
        <f>CONCATENATE("(i.e. an audit for ",inputPrYr!C4-2," has been completed, or the ",inputPrYr!C4)</f>
        <v>(i.e. an audit for 2011 has been completed, or the 2013</v>
      </c>
    </row>
    <row r="78" ht="15">
      <c r="A78" s="417" t="s">
        <v>451</v>
      </c>
    </row>
    <row r="79" ht="15">
      <c r="A79" s="417" t="s">
        <v>452</v>
      </c>
    </row>
    <row r="80" ht="15">
      <c r="A80" s="417"/>
    </row>
    <row r="81" ht="15">
      <c r="A81" s="417" t="s">
        <v>453</v>
      </c>
    </row>
    <row r="82" ht="15">
      <c r="A82" s="417" t="s">
        <v>454</v>
      </c>
    </row>
    <row r="83" ht="15">
      <c r="A83" s="417" t="s">
        <v>455</v>
      </c>
    </row>
    <row r="84" ht="15">
      <c r="A84" s="417"/>
    </row>
    <row r="85" ht="15">
      <c r="A85" s="417" t="s">
        <v>456</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2" sqref="A2"/>
    </sheetView>
  </sheetViews>
  <sheetFormatPr defaultColWidth="8.796875" defaultRowHeight="15"/>
  <cols>
    <col min="1" max="1" width="71.296875" style="0" customWidth="1"/>
  </cols>
  <sheetData>
    <row r="3" spans="1:10" ht="15">
      <c r="A3" s="416" t="s">
        <v>457</v>
      </c>
      <c r="B3" s="416"/>
      <c r="C3" s="416"/>
      <c r="D3" s="416"/>
      <c r="E3" s="416"/>
      <c r="F3" s="416"/>
      <c r="G3" s="416"/>
      <c r="H3" s="419"/>
      <c r="I3" s="419"/>
      <c r="J3" s="419"/>
    </row>
    <row r="5" ht="15">
      <c r="A5" s="417" t="s">
        <v>458</v>
      </c>
    </row>
    <row r="6" ht="15">
      <c r="A6" t="str">
        <f>CONCATENATE(inputPrYr!C4-2," expenditures show that you finished the year with a ")</f>
        <v>2011 expenditures show that you finished the year with a </v>
      </c>
    </row>
    <row r="7" ht="15">
      <c r="A7" t="s">
        <v>459</v>
      </c>
    </row>
    <row r="9" ht="15">
      <c r="A9" t="s">
        <v>460</v>
      </c>
    </row>
    <row r="10" ht="15">
      <c r="A10" t="s">
        <v>461</v>
      </c>
    </row>
    <row r="11" ht="15">
      <c r="A11" t="s">
        <v>462</v>
      </c>
    </row>
    <row r="13" ht="15">
      <c r="A13" s="418" t="s">
        <v>463</v>
      </c>
    </row>
    <row r="14" ht="15">
      <c r="A14" s="418"/>
    </row>
    <row r="15" ht="15">
      <c r="A15" s="417" t="s">
        <v>464</v>
      </c>
    </row>
    <row r="16" ht="15">
      <c r="A16" s="417" t="s">
        <v>465</v>
      </c>
    </row>
    <row r="17" ht="15">
      <c r="A17" s="417" t="s">
        <v>466</v>
      </c>
    </row>
    <row r="18" ht="15">
      <c r="A18" s="417"/>
    </row>
    <row r="19" ht="15">
      <c r="A19" s="418" t="s">
        <v>467</v>
      </c>
    </row>
    <row r="20" ht="15">
      <c r="A20" s="418"/>
    </row>
    <row r="21" ht="15">
      <c r="A21" s="417" t="s">
        <v>468</v>
      </c>
    </row>
    <row r="22" ht="15">
      <c r="A22" s="417" t="s">
        <v>469</v>
      </c>
    </row>
    <row r="23" ht="15">
      <c r="A23" s="417" t="s">
        <v>470</v>
      </c>
    </row>
    <row r="24" ht="15">
      <c r="A24" s="417"/>
    </row>
    <row r="25" ht="15">
      <c r="A25" s="418" t="s">
        <v>471</v>
      </c>
    </row>
    <row r="26" ht="15">
      <c r="A26" s="418"/>
    </row>
    <row r="27" ht="15">
      <c r="A27" s="417" t="s">
        <v>472</v>
      </c>
    </row>
    <row r="28" ht="15">
      <c r="A28" s="417" t="s">
        <v>473</v>
      </c>
    </row>
    <row r="29" ht="15">
      <c r="A29" s="417" t="s">
        <v>474</v>
      </c>
    </row>
    <row r="30" ht="15">
      <c r="A30" s="417"/>
    </row>
    <row r="31" ht="15">
      <c r="A31" s="418" t="s">
        <v>475</v>
      </c>
    </row>
    <row r="32" ht="15">
      <c r="A32" s="418"/>
    </row>
    <row r="33" spans="1:8" ht="15">
      <c r="A33" s="417" t="str">
        <f>CONCATENATE("If your financial records for ",inputPrYr!C4-2," are not closed")</f>
        <v>If your financial records for 2011 are not closed</v>
      </c>
      <c r="B33" s="417"/>
      <c r="C33" s="417"/>
      <c r="D33" s="417"/>
      <c r="E33" s="417"/>
      <c r="F33" s="417"/>
      <c r="G33" s="417"/>
      <c r="H33" s="417"/>
    </row>
    <row r="34" spans="1:8" ht="15">
      <c r="A34" s="417" t="str">
        <f>CONCATENATE("(i.e. an audit has not been completed, or the ",inputPrYr!C4," adopted ")</f>
        <v>(i.e. an audit has not been completed, or the 2013 adopted </v>
      </c>
      <c r="B34" s="417"/>
      <c r="C34" s="417"/>
      <c r="D34" s="417"/>
      <c r="E34" s="417"/>
      <c r="F34" s="417"/>
      <c r="G34" s="417"/>
      <c r="H34" s="417"/>
    </row>
    <row r="35" spans="1:8" ht="15">
      <c r="A35" s="417" t="s">
        <v>476</v>
      </c>
      <c r="B35" s="417"/>
      <c r="C35" s="417"/>
      <c r="D35" s="417"/>
      <c r="E35" s="417"/>
      <c r="F35" s="417"/>
      <c r="G35" s="417"/>
      <c r="H35" s="417"/>
    </row>
    <row r="36" spans="1:8" ht="15">
      <c r="A36" s="417" t="s">
        <v>477</v>
      </c>
      <c r="B36" s="417"/>
      <c r="C36" s="417"/>
      <c r="D36" s="417"/>
      <c r="E36" s="417"/>
      <c r="F36" s="417"/>
      <c r="G36" s="417"/>
      <c r="H36" s="417"/>
    </row>
    <row r="37" spans="1:8" ht="15">
      <c r="A37" s="417" t="s">
        <v>478</v>
      </c>
      <c r="B37" s="417"/>
      <c r="C37" s="417"/>
      <c r="D37" s="417"/>
      <c r="E37" s="417"/>
      <c r="F37" s="417"/>
      <c r="G37" s="417"/>
      <c r="H37" s="417"/>
    </row>
    <row r="38" spans="1:8" ht="15">
      <c r="A38" s="417" t="s">
        <v>479</v>
      </c>
      <c r="B38" s="417"/>
      <c r="C38" s="417"/>
      <c r="D38" s="417"/>
      <c r="E38" s="417"/>
      <c r="F38" s="417"/>
      <c r="G38" s="417"/>
      <c r="H38" s="417"/>
    </row>
    <row r="39" spans="1:8" ht="15">
      <c r="A39" s="417" t="s">
        <v>480</v>
      </c>
      <c r="B39" s="417"/>
      <c r="C39" s="417"/>
      <c r="D39" s="417"/>
      <c r="E39" s="417"/>
      <c r="F39" s="417"/>
      <c r="G39" s="417"/>
      <c r="H39" s="417"/>
    </row>
    <row r="40" spans="1:8" ht="15">
      <c r="A40" s="417"/>
      <c r="B40" s="417"/>
      <c r="C40" s="417"/>
      <c r="D40" s="417"/>
      <c r="E40" s="417"/>
      <c r="F40" s="417"/>
      <c r="G40" s="417"/>
      <c r="H40" s="417"/>
    </row>
    <row r="41" spans="1:8" ht="15">
      <c r="A41" s="417" t="s">
        <v>481</v>
      </c>
      <c r="B41" s="417"/>
      <c r="C41" s="417"/>
      <c r="D41" s="417"/>
      <c r="E41" s="417"/>
      <c r="F41" s="417"/>
      <c r="G41" s="417"/>
      <c r="H41" s="417"/>
    </row>
    <row r="42" spans="1:8" ht="15">
      <c r="A42" s="417" t="s">
        <v>482</v>
      </c>
      <c r="B42" s="417"/>
      <c r="C42" s="417"/>
      <c r="D42" s="417"/>
      <c r="E42" s="417"/>
      <c r="F42" s="417"/>
      <c r="G42" s="417"/>
      <c r="H42" s="417"/>
    </row>
    <row r="43" spans="1:8" ht="15">
      <c r="A43" s="417" t="s">
        <v>483</v>
      </c>
      <c r="B43" s="417"/>
      <c r="C43" s="417"/>
      <c r="D43" s="417"/>
      <c r="E43" s="417"/>
      <c r="F43" s="417"/>
      <c r="G43" s="417"/>
      <c r="H43" s="417"/>
    </row>
    <row r="44" spans="1:8" ht="15">
      <c r="A44" s="417" t="s">
        <v>484</v>
      </c>
      <c r="B44" s="417"/>
      <c r="C44" s="417"/>
      <c r="D44" s="417"/>
      <c r="E44" s="417"/>
      <c r="F44" s="417"/>
      <c r="G44" s="417"/>
      <c r="H44" s="417"/>
    </row>
    <row r="45" spans="1:8" ht="15">
      <c r="A45" s="417"/>
      <c r="B45" s="417"/>
      <c r="C45" s="417"/>
      <c r="D45" s="417"/>
      <c r="E45" s="417"/>
      <c r="F45" s="417"/>
      <c r="G45" s="417"/>
      <c r="H45" s="417"/>
    </row>
    <row r="46" spans="1:8" ht="15">
      <c r="A46" s="417" t="s">
        <v>485</v>
      </c>
      <c r="B46" s="417"/>
      <c r="C46" s="417"/>
      <c r="D46" s="417"/>
      <c r="E46" s="417"/>
      <c r="F46" s="417"/>
      <c r="G46" s="417"/>
      <c r="H46" s="417"/>
    </row>
    <row r="47" spans="1:8" ht="15">
      <c r="A47" s="417" t="s">
        <v>486</v>
      </c>
      <c r="B47" s="417"/>
      <c r="C47" s="417"/>
      <c r="D47" s="417"/>
      <c r="E47" s="417"/>
      <c r="F47" s="417"/>
      <c r="G47" s="417"/>
      <c r="H47" s="417"/>
    </row>
    <row r="48" spans="1:8" ht="15">
      <c r="A48" s="417" t="s">
        <v>487</v>
      </c>
      <c r="B48" s="417"/>
      <c r="C48" s="417"/>
      <c r="D48" s="417"/>
      <c r="E48" s="417"/>
      <c r="F48" s="417"/>
      <c r="G48" s="417"/>
      <c r="H48" s="417"/>
    </row>
    <row r="49" spans="1:8" ht="15">
      <c r="A49" s="417" t="s">
        <v>488</v>
      </c>
      <c r="B49" s="417"/>
      <c r="C49" s="417"/>
      <c r="D49" s="417"/>
      <c r="E49" s="417"/>
      <c r="F49" s="417"/>
      <c r="G49" s="417"/>
      <c r="H49" s="417"/>
    </row>
    <row r="50" spans="1:8" ht="15">
      <c r="A50" s="417" t="s">
        <v>489</v>
      </c>
      <c r="B50" s="417"/>
      <c r="C50" s="417"/>
      <c r="D50" s="417"/>
      <c r="E50" s="417"/>
      <c r="F50" s="417"/>
      <c r="G50" s="417"/>
      <c r="H50" s="417"/>
    </row>
    <row r="51" spans="1:8" ht="15">
      <c r="A51" s="417"/>
      <c r="B51" s="417"/>
      <c r="C51" s="417"/>
      <c r="D51" s="417"/>
      <c r="E51" s="417"/>
      <c r="F51" s="417"/>
      <c r="G51" s="417"/>
      <c r="H51" s="417"/>
    </row>
    <row r="52" spans="1:8" ht="15">
      <c r="A52" s="418" t="s">
        <v>490</v>
      </c>
      <c r="B52" s="418"/>
      <c r="C52" s="418"/>
      <c r="D52" s="418"/>
      <c r="E52" s="418"/>
      <c r="F52" s="418"/>
      <c r="G52" s="418"/>
      <c r="H52" s="417"/>
    </row>
    <row r="53" spans="1:8" ht="15">
      <c r="A53" s="418" t="s">
        <v>491</v>
      </c>
      <c r="B53" s="418"/>
      <c r="C53" s="418"/>
      <c r="D53" s="418"/>
      <c r="E53" s="418"/>
      <c r="F53" s="418"/>
      <c r="G53" s="418"/>
      <c r="H53" s="417"/>
    </row>
    <row r="54" spans="1:8" ht="15">
      <c r="A54" s="417"/>
      <c r="B54" s="417"/>
      <c r="C54" s="417"/>
      <c r="D54" s="417"/>
      <c r="E54" s="417"/>
      <c r="F54" s="417"/>
      <c r="G54" s="417"/>
      <c r="H54" s="417"/>
    </row>
    <row r="55" spans="1:8" ht="15">
      <c r="A55" s="417" t="s">
        <v>492</v>
      </c>
      <c r="B55" s="417"/>
      <c r="C55" s="417"/>
      <c r="D55" s="417"/>
      <c r="E55" s="417"/>
      <c r="F55" s="417"/>
      <c r="G55" s="417"/>
      <c r="H55" s="417"/>
    </row>
    <row r="56" spans="1:8" ht="15">
      <c r="A56" s="417" t="s">
        <v>493</v>
      </c>
      <c r="B56" s="417"/>
      <c r="C56" s="417"/>
      <c r="D56" s="417"/>
      <c r="E56" s="417"/>
      <c r="F56" s="417"/>
      <c r="G56" s="417"/>
      <c r="H56" s="417"/>
    </row>
    <row r="57" spans="1:8" ht="15">
      <c r="A57" s="417" t="s">
        <v>494</v>
      </c>
      <c r="B57" s="417"/>
      <c r="C57" s="417"/>
      <c r="D57" s="417"/>
      <c r="E57" s="417"/>
      <c r="F57" s="417"/>
      <c r="G57" s="417"/>
      <c r="H57" s="417"/>
    </row>
    <row r="58" spans="1:8" ht="15">
      <c r="A58" s="417" t="s">
        <v>495</v>
      </c>
      <c r="B58" s="417"/>
      <c r="C58" s="417"/>
      <c r="D58" s="417"/>
      <c r="E58" s="417"/>
      <c r="F58" s="417"/>
      <c r="G58" s="417"/>
      <c r="H58" s="417"/>
    </row>
    <row r="59" spans="1:8" ht="15">
      <c r="A59" s="417"/>
      <c r="B59" s="417"/>
      <c r="C59" s="417"/>
      <c r="D59" s="417"/>
      <c r="E59" s="417"/>
      <c r="F59" s="417"/>
      <c r="G59" s="417"/>
      <c r="H59" s="417"/>
    </row>
    <row r="60" spans="1:8" ht="15">
      <c r="A60" s="417" t="s">
        <v>496</v>
      </c>
      <c r="B60" s="417"/>
      <c r="C60" s="417"/>
      <c r="D60" s="417"/>
      <c r="E60" s="417"/>
      <c r="F60" s="417"/>
      <c r="G60" s="417"/>
      <c r="H60" s="417"/>
    </row>
    <row r="61" spans="1:8" ht="15">
      <c r="A61" s="417" t="s">
        <v>497</v>
      </c>
      <c r="B61" s="417"/>
      <c r="C61" s="417"/>
      <c r="D61" s="417"/>
      <c r="E61" s="417"/>
      <c r="F61" s="417"/>
      <c r="G61" s="417"/>
      <c r="H61" s="417"/>
    </row>
    <row r="62" spans="1:8" ht="15">
      <c r="A62" s="417" t="s">
        <v>498</v>
      </c>
      <c r="B62" s="417"/>
      <c r="C62" s="417"/>
      <c r="D62" s="417"/>
      <c r="E62" s="417"/>
      <c r="F62" s="417"/>
      <c r="G62" s="417"/>
      <c r="H62" s="417"/>
    </row>
    <row r="63" spans="1:8" ht="15">
      <c r="A63" s="417" t="s">
        <v>499</v>
      </c>
      <c r="B63" s="417"/>
      <c r="C63" s="417"/>
      <c r="D63" s="417"/>
      <c r="E63" s="417"/>
      <c r="F63" s="417"/>
      <c r="G63" s="417"/>
      <c r="H63" s="417"/>
    </row>
    <row r="64" spans="1:8" ht="15">
      <c r="A64" s="417" t="s">
        <v>500</v>
      </c>
      <c r="B64" s="417"/>
      <c r="C64" s="417"/>
      <c r="D64" s="417"/>
      <c r="E64" s="417"/>
      <c r="F64" s="417"/>
      <c r="G64" s="417"/>
      <c r="H64" s="417"/>
    </row>
    <row r="65" spans="1:8" ht="15">
      <c r="A65" s="417" t="s">
        <v>501</v>
      </c>
      <c r="B65" s="417"/>
      <c r="C65" s="417"/>
      <c r="D65" s="417"/>
      <c r="E65" s="417"/>
      <c r="F65" s="417"/>
      <c r="G65" s="417"/>
      <c r="H65" s="417"/>
    </row>
    <row r="66" spans="1:8" ht="15">
      <c r="A66" s="417"/>
      <c r="B66" s="417"/>
      <c r="C66" s="417"/>
      <c r="D66" s="417"/>
      <c r="E66" s="417"/>
      <c r="F66" s="417"/>
      <c r="G66" s="417"/>
      <c r="H66" s="417"/>
    </row>
    <row r="67" spans="1:8" ht="15">
      <c r="A67" s="417" t="s">
        <v>502</v>
      </c>
      <c r="B67" s="417"/>
      <c r="C67" s="417"/>
      <c r="D67" s="417"/>
      <c r="E67" s="417"/>
      <c r="F67" s="417"/>
      <c r="G67" s="417"/>
      <c r="H67" s="417"/>
    </row>
    <row r="68" spans="1:8" ht="15">
      <c r="A68" s="417" t="s">
        <v>503</v>
      </c>
      <c r="B68" s="417"/>
      <c r="C68" s="417"/>
      <c r="D68" s="417"/>
      <c r="E68" s="417"/>
      <c r="F68" s="417"/>
      <c r="G68" s="417"/>
      <c r="H68" s="417"/>
    </row>
    <row r="69" spans="1:8" ht="15">
      <c r="A69" s="417" t="s">
        <v>504</v>
      </c>
      <c r="B69" s="417"/>
      <c r="C69" s="417"/>
      <c r="D69" s="417"/>
      <c r="E69" s="417"/>
      <c r="F69" s="417"/>
      <c r="G69" s="417"/>
      <c r="H69" s="417"/>
    </row>
    <row r="70" spans="1:8" ht="15">
      <c r="A70" s="417" t="s">
        <v>505</v>
      </c>
      <c r="B70" s="417"/>
      <c r="C70" s="417"/>
      <c r="D70" s="417"/>
      <c r="E70" s="417"/>
      <c r="F70" s="417"/>
      <c r="G70" s="417"/>
      <c r="H70" s="417"/>
    </row>
    <row r="71" spans="1:8" ht="15">
      <c r="A71" s="417" t="s">
        <v>506</v>
      </c>
      <c r="B71" s="417"/>
      <c r="C71" s="417"/>
      <c r="D71" s="417"/>
      <c r="E71" s="417"/>
      <c r="F71" s="417"/>
      <c r="G71" s="417"/>
      <c r="H71" s="417"/>
    </row>
    <row r="72" spans="1:8" ht="15">
      <c r="A72" s="417" t="s">
        <v>507</v>
      </c>
      <c r="B72" s="417"/>
      <c r="C72" s="417"/>
      <c r="D72" s="417"/>
      <c r="E72" s="417"/>
      <c r="F72" s="417"/>
      <c r="G72" s="417"/>
      <c r="H72" s="417"/>
    </row>
    <row r="73" spans="1:8" ht="15">
      <c r="A73" s="417" t="s">
        <v>508</v>
      </c>
      <c r="B73" s="417"/>
      <c r="C73" s="417"/>
      <c r="D73" s="417"/>
      <c r="E73" s="417"/>
      <c r="F73" s="417"/>
      <c r="G73" s="417"/>
      <c r="H73" s="417"/>
    </row>
    <row r="74" spans="1:8" ht="15">
      <c r="A74" s="417"/>
      <c r="B74" s="417"/>
      <c r="C74" s="417"/>
      <c r="D74" s="417"/>
      <c r="E74" s="417"/>
      <c r="F74" s="417"/>
      <c r="G74" s="417"/>
      <c r="H74" s="417"/>
    </row>
    <row r="75" spans="1:8" ht="15">
      <c r="A75" s="417" t="s">
        <v>509</v>
      </c>
      <c r="B75" s="417"/>
      <c r="C75" s="417"/>
      <c r="D75" s="417"/>
      <c r="E75" s="417"/>
      <c r="F75" s="417"/>
      <c r="G75" s="417"/>
      <c r="H75" s="417"/>
    </row>
    <row r="76" spans="1:8" ht="15">
      <c r="A76" s="417" t="s">
        <v>510</v>
      </c>
      <c r="B76" s="417"/>
      <c r="C76" s="417"/>
      <c r="D76" s="417"/>
      <c r="E76" s="417"/>
      <c r="F76" s="417"/>
      <c r="G76" s="417"/>
      <c r="H76" s="417"/>
    </row>
    <row r="77" spans="1:8" ht="15">
      <c r="A77" s="417" t="s">
        <v>511</v>
      </c>
      <c r="B77" s="417"/>
      <c r="C77" s="417"/>
      <c r="D77" s="417"/>
      <c r="E77" s="417"/>
      <c r="F77" s="417"/>
      <c r="G77" s="417"/>
      <c r="H77" s="417"/>
    </row>
    <row r="78" spans="1:8" ht="15">
      <c r="A78" s="417"/>
      <c r="B78" s="417"/>
      <c r="C78" s="417"/>
      <c r="D78" s="417"/>
      <c r="E78" s="417"/>
      <c r="F78" s="417"/>
      <c r="G78" s="417"/>
      <c r="H78" s="417"/>
    </row>
    <row r="79" ht="15">
      <c r="A79" s="417" t="s">
        <v>456</v>
      </c>
    </row>
    <row r="80" ht="15">
      <c r="A80" s="418"/>
    </row>
    <row r="81" ht="15">
      <c r="A81" s="417"/>
    </row>
    <row r="82" ht="15">
      <c r="A82" s="417"/>
    </row>
    <row r="83" ht="15">
      <c r="A83" s="417"/>
    </row>
    <row r="84" ht="15">
      <c r="A84" s="417"/>
    </row>
    <row r="85" ht="15">
      <c r="A85" s="417"/>
    </row>
    <row r="86" ht="15">
      <c r="A86" s="417"/>
    </row>
    <row r="87" ht="15">
      <c r="A87" s="417"/>
    </row>
    <row r="88" ht="15">
      <c r="A88" s="417"/>
    </row>
    <row r="89" ht="15">
      <c r="A89" s="417"/>
    </row>
    <row r="90" ht="15">
      <c r="A90" s="417"/>
    </row>
    <row r="91" ht="15">
      <c r="A91" s="417"/>
    </row>
    <row r="92" ht="15">
      <c r="A92" s="417"/>
    </row>
    <row r="93" ht="15">
      <c r="A93" s="417"/>
    </row>
    <row r="94" ht="15">
      <c r="A94" s="417"/>
    </row>
    <row r="95" ht="15">
      <c r="A95" s="417"/>
    </row>
    <row r="96" ht="15">
      <c r="A96" s="417"/>
    </row>
    <row r="97" ht="15">
      <c r="A97" s="417"/>
    </row>
    <row r="98" ht="15">
      <c r="A98" s="417"/>
    </row>
    <row r="99" ht="15">
      <c r="A99" s="417"/>
    </row>
    <row r="100" ht="15">
      <c r="A100" s="417"/>
    </row>
    <row r="101" ht="15">
      <c r="A101" s="417"/>
    </row>
    <row r="103" ht="15">
      <c r="A103" s="417"/>
    </row>
    <row r="104" ht="15">
      <c r="A104" s="417"/>
    </row>
    <row r="105" ht="15">
      <c r="A105" s="417"/>
    </row>
    <row r="107" ht="15">
      <c r="A107" s="418"/>
    </row>
    <row r="108" ht="15">
      <c r="A108" s="418"/>
    </row>
    <row r="109" ht="15">
      <c r="A109" s="418"/>
    </row>
  </sheetData>
  <sheetProtection sheet="1"/>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2" sqref="A2"/>
    </sheetView>
  </sheetViews>
  <sheetFormatPr defaultColWidth="8.796875" defaultRowHeight="15"/>
  <cols>
    <col min="1" max="1" width="71.296875" style="0" customWidth="1"/>
  </cols>
  <sheetData>
    <row r="3" spans="1:12" ht="15">
      <c r="A3" s="416" t="s">
        <v>512</v>
      </c>
      <c r="B3" s="416"/>
      <c r="C3" s="416"/>
      <c r="D3" s="416"/>
      <c r="E3" s="416"/>
      <c r="F3" s="416"/>
      <c r="G3" s="416"/>
      <c r="H3" s="416"/>
      <c r="I3" s="416"/>
      <c r="J3" s="416"/>
      <c r="K3" s="416"/>
      <c r="L3" s="416"/>
    </row>
    <row r="4" spans="1:12" ht="15">
      <c r="A4" s="416"/>
      <c r="B4" s="416"/>
      <c r="C4" s="416"/>
      <c r="D4" s="416"/>
      <c r="E4" s="416"/>
      <c r="F4" s="416"/>
      <c r="G4" s="416"/>
      <c r="H4" s="416"/>
      <c r="I4" s="416"/>
      <c r="J4" s="416"/>
      <c r="K4" s="416"/>
      <c r="L4" s="416"/>
    </row>
    <row r="5" spans="1:12" ht="15">
      <c r="A5" s="417" t="s">
        <v>401</v>
      </c>
      <c r="I5" s="416"/>
      <c r="J5" s="416"/>
      <c r="K5" s="416"/>
      <c r="L5" s="416"/>
    </row>
    <row r="6" spans="1:12" ht="15">
      <c r="A6" s="417" t="str">
        <f>CONCATENATE("estimated ",inputPrYr!C4-1," 'total expenditures' exceed your ",inputPrYr!C4-1,"")</f>
        <v>estimated 2012 'total expenditures' exceed your 2012</v>
      </c>
      <c r="I6" s="416"/>
      <c r="J6" s="416"/>
      <c r="K6" s="416"/>
      <c r="L6" s="416"/>
    </row>
    <row r="7" spans="1:12" ht="15">
      <c r="A7" s="420" t="s">
        <v>513</v>
      </c>
      <c r="I7" s="416"/>
      <c r="J7" s="416"/>
      <c r="K7" s="416"/>
      <c r="L7" s="416"/>
    </row>
    <row r="8" spans="1:12" ht="15">
      <c r="A8" s="417"/>
      <c r="I8" s="416"/>
      <c r="J8" s="416"/>
      <c r="K8" s="416"/>
      <c r="L8" s="416"/>
    </row>
    <row r="9" spans="1:12" ht="15">
      <c r="A9" s="417" t="s">
        <v>514</v>
      </c>
      <c r="I9" s="416"/>
      <c r="J9" s="416"/>
      <c r="K9" s="416"/>
      <c r="L9" s="416"/>
    </row>
    <row r="10" spans="1:12" ht="15">
      <c r="A10" s="417" t="s">
        <v>515</v>
      </c>
      <c r="I10" s="416"/>
      <c r="J10" s="416"/>
      <c r="K10" s="416"/>
      <c r="L10" s="416"/>
    </row>
    <row r="11" spans="1:12" ht="15">
      <c r="A11" s="417" t="s">
        <v>516</v>
      </c>
      <c r="I11" s="416"/>
      <c r="J11" s="416"/>
      <c r="K11" s="416"/>
      <c r="L11" s="416"/>
    </row>
    <row r="12" spans="1:12" ht="15">
      <c r="A12" s="417" t="s">
        <v>517</v>
      </c>
      <c r="I12" s="416"/>
      <c r="J12" s="416"/>
      <c r="K12" s="416"/>
      <c r="L12" s="416"/>
    </row>
    <row r="13" spans="1:12" ht="15">
      <c r="A13" s="417" t="s">
        <v>518</v>
      </c>
      <c r="I13" s="416"/>
      <c r="J13" s="416"/>
      <c r="K13" s="416"/>
      <c r="L13" s="416"/>
    </row>
    <row r="14" spans="1:12" ht="15">
      <c r="A14" s="416"/>
      <c r="B14" s="416"/>
      <c r="C14" s="416"/>
      <c r="D14" s="416"/>
      <c r="E14" s="416"/>
      <c r="F14" s="416"/>
      <c r="G14" s="416"/>
      <c r="H14" s="416"/>
      <c r="I14" s="416"/>
      <c r="J14" s="416"/>
      <c r="K14" s="416"/>
      <c r="L14" s="416"/>
    </row>
    <row r="15" ht="15">
      <c r="A15" s="418" t="s">
        <v>519</v>
      </c>
    </row>
    <row r="16" ht="15">
      <c r="A16" s="418" t="s">
        <v>520</v>
      </c>
    </row>
    <row r="17" ht="15">
      <c r="A17" s="418"/>
    </row>
    <row r="18" spans="1:7" ht="15">
      <c r="A18" s="417" t="s">
        <v>521</v>
      </c>
      <c r="B18" s="417"/>
      <c r="C18" s="417"/>
      <c r="D18" s="417"/>
      <c r="E18" s="417"/>
      <c r="F18" s="417"/>
      <c r="G18" s="417"/>
    </row>
    <row r="19" spans="1:7" ht="15">
      <c r="A19" s="417" t="str">
        <f>CONCATENATE("your ",inputPrYr!C4-1," numbers to see what steps might be necessary to")</f>
        <v>your 2012 numbers to see what steps might be necessary to</v>
      </c>
      <c r="B19" s="417"/>
      <c r="C19" s="417"/>
      <c r="D19" s="417"/>
      <c r="E19" s="417"/>
      <c r="F19" s="417"/>
      <c r="G19" s="417"/>
    </row>
    <row r="20" spans="1:7" ht="15">
      <c r="A20" s="417" t="s">
        <v>522</v>
      </c>
      <c r="B20" s="417"/>
      <c r="C20" s="417"/>
      <c r="D20" s="417"/>
      <c r="E20" s="417"/>
      <c r="F20" s="417"/>
      <c r="G20" s="417"/>
    </row>
    <row r="21" spans="1:7" ht="15">
      <c r="A21" s="417" t="s">
        <v>523</v>
      </c>
      <c r="B21" s="417"/>
      <c r="C21" s="417"/>
      <c r="D21" s="417"/>
      <c r="E21" s="417"/>
      <c r="F21" s="417"/>
      <c r="G21" s="417"/>
    </row>
    <row r="22" ht="15">
      <c r="A22" s="417"/>
    </row>
    <row r="23" ht="15">
      <c r="A23" s="418" t="s">
        <v>524</v>
      </c>
    </row>
    <row r="24" ht="15">
      <c r="A24" s="418"/>
    </row>
    <row r="25" ht="15">
      <c r="A25" s="417" t="s">
        <v>525</v>
      </c>
    </row>
    <row r="26" spans="1:6" ht="15">
      <c r="A26" s="417" t="s">
        <v>526</v>
      </c>
      <c r="B26" s="417"/>
      <c r="C26" s="417"/>
      <c r="D26" s="417"/>
      <c r="E26" s="417"/>
      <c r="F26" s="417"/>
    </row>
    <row r="27" spans="1:6" ht="15">
      <c r="A27" s="417" t="s">
        <v>527</v>
      </c>
      <c r="B27" s="417"/>
      <c r="C27" s="417"/>
      <c r="D27" s="417"/>
      <c r="E27" s="417"/>
      <c r="F27" s="417"/>
    </row>
    <row r="28" spans="1:6" ht="15">
      <c r="A28" s="417" t="s">
        <v>528</v>
      </c>
      <c r="B28" s="417"/>
      <c r="C28" s="417"/>
      <c r="D28" s="417"/>
      <c r="E28" s="417"/>
      <c r="F28" s="417"/>
    </row>
    <row r="29" spans="1:6" ht="15">
      <c r="A29" s="417"/>
      <c r="B29" s="417"/>
      <c r="C29" s="417"/>
      <c r="D29" s="417"/>
      <c r="E29" s="417"/>
      <c r="F29" s="417"/>
    </row>
    <row r="30" spans="1:7" ht="15">
      <c r="A30" s="418" t="s">
        <v>529</v>
      </c>
      <c r="B30" s="418"/>
      <c r="C30" s="418"/>
      <c r="D30" s="418"/>
      <c r="E30" s="418"/>
      <c r="F30" s="418"/>
      <c r="G30" s="418"/>
    </row>
    <row r="31" spans="1:7" ht="15">
      <c r="A31" s="418" t="s">
        <v>530</v>
      </c>
      <c r="B31" s="418"/>
      <c r="C31" s="418"/>
      <c r="D31" s="418"/>
      <c r="E31" s="418"/>
      <c r="F31" s="418"/>
      <c r="G31" s="418"/>
    </row>
    <row r="32" spans="1:6" ht="15">
      <c r="A32" s="417"/>
      <c r="B32" s="417"/>
      <c r="C32" s="417"/>
      <c r="D32" s="417"/>
      <c r="E32" s="417"/>
      <c r="F32" s="417"/>
    </row>
    <row r="33" spans="1:6" ht="15">
      <c r="A33" s="421" t="str">
        <f>CONCATENATE("Well, let's look to see if any of your ",inputPrYr!C4-1," expenditures can")</f>
        <v>Well, let's look to see if any of your 2012 expenditures can</v>
      </c>
      <c r="B33" s="417"/>
      <c r="C33" s="417"/>
      <c r="D33" s="417"/>
      <c r="E33" s="417"/>
      <c r="F33" s="417"/>
    </row>
    <row r="34" spans="1:6" ht="15">
      <c r="A34" s="421" t="s">
        <v>531</v>
      </c>
      <c r="B34" s="417"/>
      <c r="C34" s="417"/>
      <c r="D34" s="417"/>
      <c r="E34" s="417"/>
      <c r="F34" s="417"/>
    </row>
    <row r="35" spans="1:6" ht="15">
      <c r="A35" s="421" t="s">
        <v>415</v>
      </c>
      <c r="B35" s="417"/>
      <c r="C35" s="417"/>
      <c r="D35" s="417"/>
      <c r="E35" s="417"/>
      <c r="F35" s="417"/>
    </row>
    <row r="36" spans="1:6" ht="15">
      <c r="A36" s="421" t="s">
        <v>416</v>
      </c>
      <c r="B36" s="417"/>
      <c r="C36" s="417"/>
      <c r="D36" s="417"/>
      <c r="E36" s="417"/>
      <c r="F36" s="417"/>
    </row>
    <row r="37" spans="1:6" ht="15">
      <c r="A37" s="421"/>
      <c r="B37" s="417"/>
      <c r="C37" s="417"/>
      <c r="D37" s="417"/>
      <c r="E37" s="417"/>
      <c r="F37" s="417"/>
    </row>
    <row r="38" spans="1:6" ht="15">
      <c r="A38" s="421" t="str">
        <f>CONCATENATE("Additionally, do your ",inputPrYr!C4-1," receipts contain a reimbursement")</f>
        <v>Additionally, do your 2012 receipts contain a reimbursement</v>
      </c>
      <c r="B38" s="417"/>
      <c r="C38" s="417"/>
      <c r="D38" s="417"/>
      <c r="E38" s="417"/>
      <c r="F38" s="417"/>
    </row>
    <row r="39" spans="1:6" ht="15">
      <c r="A39" s="421" t="s">
        <v>417</v>
      </c>
      <c r="B39" s="417"/>
      <c r="C39" s="417"/>
      <c r="D39" s="417"/>
      <c r="E39" s="417"/>
      <c r="F39" s="417"/>
    </row>
    <row r="40" spans="1:6" ht="15">
      <c r="A40" s="421" t="s">
        <v>418</v>
      </c>
      <c r="B40" s="417"/>
      <c r="C40" s="417"/>
      <c r="D40" s="417"/>
      <c r="E40" s="417"/>
      <c r="F40" s="417"/>
    </row>
    <row r="41" spans="1:6" ht="15">
      <c r="A41" s="421"/>
      <c r="B41" s="417"/>
      <c r="C41" s="417"/>
      <c r="D41" s="417"/>
      <c r="E41" s="417"/>
      <c r="F41" s="417"/>
    </row>
    <row r="42" spans="1:6" ht="15">
      <c r="A42" s="421" t="s">
        <v>419</v>
      </c>
      <c r="B42" s="417"/>
      <c r="C42" s="417"/>
      <c r="D42" s="417"/>
      <c r="E42" s="417"/>
      <c r="F42" s="417"/>
    </row>
    <row r="43" spans="1:6" ht="15">
      <c r="A43" s="421" t="s">
        <v>420</v>
      </c>
      <c r="B43" s="417"/>
      <c r="C43" s="417"/>
      <c r="D43" s="417"/>
      <c r="E43" s="417"/>
      <c r="F43" s="417"/>
    </row>
    <row r="44" spans="1:6" ht="15">
      <c r="A44" s="421" t="s">
        <v>421</v>
      </c>
      <c r="B44" s="417"/>
      <c r="C44" s="417"/>
      <c r="D44" s="417"/>
      <c r="E44" s="417"/>
      <c r="F44" s="417"/>
    </row>
    <row r="45" spans="1:6" ht="15">
      <c r="A45" s="421" t="s">
        <v>532</v>
      </c>
      <c r="B45" s="417"/>
      <c r="C45" s="417"/>
      <c r="D45" s="417"/>
      <c r="E45" s="417"/>
      <c r="F45" s="417"/>
    </row>
    <row r="46" spans="1:6" ht="15">
      <c r="A46" s="421" t="s">
        <v>423</v>
      </c>
      <c r="B46" s="417"/>
      <c r="C46" s="417"/>
      <c r="D46" s="417"/>
      <c r="E46" s="417"/>
      <c r="F46" s="417"/>
    </row>
    <row r="47" spans="1:6" ht="15">
      <c r="A47" s="421" t="s">
        <v>533</v>
      </c>
      <c r="B47" s="417"/>
      <c r="C47" s="417"/>
      <c r="D47" s="417"/>
      <c r="E47" s="417"/>
      <c r="F47" s="417"/>
    </row>
    <row r="48" spans="1:6" ht="15">
      <c r="A48" s="421" t="s">
        <v>534</v>
      </c>
      <c r="B48" s="417"/>
      <c r="C48" s="417"/>
      <c r="D48" s="417"/>
      <c r="E48" s="417"/>
      <c r="F48" s="417"/>
    </row>
    <row r="49" spans="1:6" ht="15">
      <c r="A49" s="421" t="s">
        <v>426</v>
      </c>
      <c r="B49" s="417"/>
      <c r="C49" s="417"/>
      <c r="D49" s="417"/>
      <c r="E49" s="417"/>
      <c r="F49" s="417"/>
    </row>
    <row r="50" spans="1:6" ht="15">
      <c r="A50" s="421"/>
      <c r="B50" s="417"/>
      <c r="C50" s="417"/>
      <c r="D50" s="417"/>
      <c r="E50" s="417"/>
      <c r="F50" s="417"/>
    </row>
    <row r="51" spans="1:6" ht="15">
      <c r="A51" s="421" t="s">
        <v>427</v>
      </c>
      <c r="B51" s="417"/>
      <c r="C51" s="417"/>
      <c r="D51" s="417"/>
      <c r="E51" s="417"/>
      <c r="F51" s="417"/>
    </row>
    <row r="52" spans="1:6" ht="15">
      <c r="A52" s="421" t="s">
        <v>428</v>
      </c>
      <c r="B52" s="417"/>
      <c r="C52" s="417"/>
      <c r="D52" s="417"/>
      <c r="E52" s="417"/>
      <c r="F52" s="417"/>
    </row>
    <row r="53" spans="1:6" ht="15">
      <c r="A53" s="421" t="s">
        <v>429</v>
      </c>
      <c r="B53" s="417"/>
      <c r="C53" s="417"/>
      <c r="D53" s="417"/>
      <c r="E53" s="417"/>
      <c r="F53" s="417"/>
    </row>
    <row r="54" spans="1:6" ht="15">
      <c r="A54" s="421"/>
      <c r="B54" s="417"/>
      <c r="C54" s="417"/>
      <c r="D54" s="417"/>
      <c r="E54" s="417"/>
      <c r="F54" s="417"/>
    </row>
    <row r="55" spans="1:6" ht="15">
      <c r="A55" s="421" t="s">
        <v>535</v>
      </c>
      <c r="B55" s="417"/>
      <c r="C55" s="417"/>
      <c r="D55" s="417"/>
      <c r="E55" s="417"/>
      <c r="F55" s="417"/>
    </row>
    <row r="56" spans="1:6" ht="15">
      <c r="A56" s="421" t="s">
        <v>536</v>
      </c>
      <c r="B56" s="417"/>
      <c r="C56" s="417"/>
      <c r="D56" s="417"/>
      <c r="E56" s="417"/>
      <c r="F56" s="417"/>
    </row>
    <row r="57" spans="1:6" ht="15">
      <c r="A57" s="421" t="s">
        <v>537</v>
      </c>
      <c r="B57" s="417"/>
      <c r="C57" s="417"/>
      <c r="D57" s="417"/>
      <c r="E57" s="417"/>
      <c r="F57" s="417"/>
    </row>
    <row r="58" spans="1:6" ht="15">
      <c r="A58" s="421" t="s">
        <v>538</v>
      </c>
      <c r="B58" s="417"/>
      <c r="C58" s="417"/>
      <c r="D58" s="417"/>
      <c r="E58" s="417"/>
      <c r="F58" s="417"/>
    </row>
    <row r="59" spans="1:6" ht="15">
      <c r="A59" s="421" t="s">
        <v>539</v>
      </c>
      <c r="B59" s="417"/>
      <c r="C59" s="417"/>
      <c r="D59" s="417"/>
      <c r="E59" s="417"/>
      <c r="F59" s="417"/>
    </row>
    <row r="60" spans="1:6" ht="15">
      <c r="A60" s="421"/>
      <c r="B60" s="417"/>
      <c r="C60" s="417"/>
      <c r="D60" s="417"/>
      <c r="E60" s="417"/>
      <c r="F60" s="417"/>
    </row>
    <row r="61" spans="1:6" ht="15">
      <c r="A61" s="422" t="s">
        <v>540</v>
      </c>
      <c r="B61" s="417"/>
      <c r="C61" s="417"/>
      <c r="D61" s="417"/>
      <c r="E61" s="417"/>
      <c r="F61" s="417"/>
    </row>
    <row r="62" spans="1:6" ht="15">
      <c r="A62" s="422" t="s">
        <v>541</v>
      </c>
      <c r="B62" s="417"/>
      <c r="C62" s="417"/>
      <c r="D62" s="417"/>
      <c r="E62" s="417"/>
      <c r="F62" s="417"/>
    </row>
    <row r="63" spans="1:6" ht="15">
      <c r="A63" s="422" t="s">
        <v>542</v>
      </c>
      <c r="B63" s="417"/>
      <c r="C63" s="417"/>
      <c r="D63" s="417"/>
      <c r="E63" s="417"/>
      <c r="F63" s="417"/>
    </row>
    <row r="64" ht="15">
      <c r="A64" s="422" t="s">
        <v>543</v>
      </c>
    </row>
    <row r="65" ht="15">
      <c r="A65" s="422" t="s">
        <v>544</v>
      </c>
    </row>
    <row r="66" ht="15">
      <c r="A66" s="422" t="s">
        <v>545</v>
      </c>
    </row>
    <row r="68" ht="15">
      <c r="A68" s="417" t="s">
        <v>546</v>
      </c>
    </row>
    <row r="69" ht="15">
      <c r="A69" s="417" t="s">
        <v>547</v>
      </c>
    </row>
    <row r="70" ht="15">
      <c r="A70" s="417" t="s">
        <v>548</v>
      </c>
    </row>
    <row r="71" ht="15">
      <c r="A71" s="417" t="s">
        <v>549</v>
      </c>
    </row>
    <row r="72" ht="15">
      <c r="A72" s="417" t="s">
        <v>550</v>
      </c>
    </row>
    <row r="73" ht="15">
      <c r="A73" s="417" t="s">
        <v>551</v>
      </c>
    </row>
    <row r="75" ht="15">
      <c r="A75" s="417" t="s">
        <v>456</v>
      </c>
    </row>
  </sheetData>
  <sheetProtection sheet="1"/>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416" t="s">
        <v>552</v>
      </c>
      <c r="B3" s="416"/>
      <c r="C3" s="416"/>
      <c r="D3" s="416"/>
      <c r="E3" s="416"/>
      <c r="F3" s="416"/>
      <c r="G3" s="416"/>
    </row>
    <row r="4" spans="1:7" ht="15">
      <c r="A4" s="416"/>
      <c r="B4" s="416"/>
      <c r="C4" s="416"/>
      <c r="D4" s="416"/>
      <c r="E4" s="416"/>
      <c r="F4" s="416"/>
      <c r="G4" s="416"/>
    </row>
    <row r="5" ht="15">
      <c r="A5" s="417" t="s">
        <v>458</v>
      </c>
    </row>
    <row r="6" ht="15">
      <c r="A6" s="417" t="str">
        <f>CONCATENATE(inputPrYr!C4-1," estimated expenditures show that at the end of this year")</f>
        <v>2012 estimated expenditures show that at the end of this year</v>
      </c>
    </row>
    <row r="7" ht="15">
      <c r="A7" s="417" t="s">
        <v>553</v>
      </c>
    </row>
    <row r="8" ht="15">
      <c r="A8" s="417" t="s">
        <v>554</v>
      </c>
    </row>
    <row r="10" ht="15">
      <c r="A10" t="s">
        <v>460</v>
      </c>
    </row>
    <row r="11" ht="15">
      <c r="A11" t="s">
        <v>461</v>
      </c>
    </row>
    <row r="12" ht="15">
      <c r="A12" t="s">
        <v>462</v>
      </c>
    </row>
    <row r="13" spans="1:7" ht="15">
      <c r="A13" s="416"/>
      <c r="B13" s="416"/>
      <c r="C13" s="416"/>
      <c r="D13" s="416"/>
      <c r="E13" s="416"/>
      <c r="F13" s="416"/>
      <c r="G13" s="416"/>
    </row>
    <row r="14" ht="15">
      <c r="A14" s="418" t="s">
        <v>555</v>
      </c>
    </row>
    <row r="15" ht="15">
      <c r="A15" s="417"/>
    </row>
    <row r="16" ht="15">
      <c r="A16" s="417" t="s">
        <v>556</v>
      </c>
    </row>
    <row r="17" ht="15">
      <c r="A17" s="417" t="s">
        <v>557</v>
      </c>
    </row>
    <row r="18" ht="15">
      <c r="A18" s="417" t="s">
        <v>558</v>
      </c>
    </row>
    <row r="19" ht="15">
      <c r="A19" s="417"/>
    </row>
    <row r="20" ht="15">
      <c r="A20" s="417" t="s">
        <v>559</v>
      </c>
    </row>
    <row r="21" ht="15">
      <c r="A21" s="417" t="s">
        <v>560</v>
      </c>
    </row>
    <row r="22" ht="15">
      <c r="A22" s="417" t="s">
        <v>561</v>
      </c>
    </row>
    <row r="23" ht="15">
      <c r="A23" s="417" t="s">
        <v>562</v>
      </c>
    </row>
    <row r="24" ht="15">
      <c r="A24" s="417"/>
    </row>
    <row r="25" ht="15">
      <c r="A25" s="418" t="s">
        <v>524</v>
      </c>
    </row>
    <row r="26" ht="15">
      <c r="A26" s="418"/>
    </row>
    <row r="27" ht="15">
      <c r="A27" s="417" t="s">
        <v>525</v>
      </c>
    </row>
    <row r="28" spans="1:6" ht="15">
      <c r="A28" s="417" t="s">
        <v>526</v>
      </c>
      <c r="B28" s="417"/>
      <c r="C28" s="417"/>
      <c r="D28" s="417"/>
      <c r="E28" s="417"/>
      <c r="F28" s="417"/>
    </row>
    <row r="29" spans="1:6" ht="15">
      <c r="A29" s="417" t="s">
        <v>527</v>
      </c>
      <c r="B29" s="417"/>
      <c r="C29" s="417"/>
      <c r="D29" s="417"/>
      <c r="E29" s="417"/>
      <c r="F29" s="417"/>
    </row>
    <row r="30" spans="1:6" ht="15">
      <c r="A30" s="417" t="s">
        <v>528</v>
      </c>
      <c r="B30" s="417"/>
      <c r="C30" s="417"/>
      <c r="D30" s="417"/>
      <c r="E30" s="417"/>
      <c r="F30" s="417"/>
    </row>
    <row r="31" ht="15">
      <c r="A31" s="417"/>
    </row>
    <row r="32" spans="1:7" ht="15">
      <c r="A32" s="418" t="s">
        <v>529</v>
      </c>
      <c r="B32" s="418"/>
      <c r="C32" s="418"/>
      <c r="D32" s="418"/>
      <c r="E32" s="418"/>
      <c r="F32" s="418"/>
      <c r="G32" s="418"/>
    </row>
    <row r="33" spans="1:7" ht="15">
      <c r="A33" s="418" t="s">
        <v>530</v>
      </c>
      <c r="B33" s="418"/>
      <c r="C33" s="418"/>
      <c r="D33" s="418"/>
      <c r="E33" s="418"/>
      <c r="F33" s="418"/>
      <c r="G33" s="418"/>
    </row>
    <row r="34" spans="1:7" ht="15">
      <c r="A34" s="418"/>
      <c r="B34" s="418"/>
      <c r="C34" s="418"/>
      <c r="D34" s="418"/>
      <c r="E34" s="418"/>
      <c r="F34" s="418"/>
      <c r="G34" s="418"/>
    </row>
    <row r="35" spans="1:7" ht="15">
      <c r="A35" s="417" t="s">
        <v>563</v>
      </c>
      <c r="B35" s="417"/>
      <c r="C35" s="417"/>
      <c r="D35" s="417"/>
      <c r="E35" s="417"/>
      <c r="F35" s="417"/>
      <c r="G35" s="417"/>
    </row>
    <row r="36" spans="1:7" ht="15">
      <c r="A36" s="417" t="s">
        <v>564</v>
      </c>
      <c r="B36" s="417"/>
      <c r="C36" s="417"/>
      <c r="D36" s="417"/>
      <c r="E36" s="417"/>
      <c r="F36" s="417"/>
      <c r="G36" s="417"/>
    </row>
    <row r="37" spans="1:7" ht="15">
      <c r="A37" s="417" t="s">
        <v>565</v>
      </c>
      <c r="B37" s="417"/>
      <c r="C37" s="417"/>
      <c r="D37" s="417"/>
      <c r="E37" s="417"/>
      <c r="F37" s="417"/>
      <c r="G37" s="417"/>
    </row>
    <row r="38" spans="1:7" ht="15">
      <c r="A38" s="417" t="s">
        <v>566</v>
      </c>
      <c r="B38" s="417"/>
      <c r="C38" s="417"/>
      <c r="D38" s="417"/>
      <c r="E38" s="417"/>
      <c r="F38" s="417"/>
      <c r="G38" s="417"/>
    </row>
    <row r="39" spans="1:7" ht="15">
      <c r="A39" s="417" t="s">
        <v>567</v>
      </c>
      <c r="B39" s="417"/>
      <c r="C39" s="417"/>
      <c r="D39" s="417"/>
      <c r="E39" s="417"/>
      <c r="F39" s="417"/>
      <c r="G39" s="417"/>
    </row>
    <row r="40" spans="1:7" ht="15">
      <c r="A40" s="418"/>
      <c r="B40" s="418"/>
      <c r="C40" s="418"/>
      <c r="D40" s="418"/>
      <c r="E40" s="418"/>
      <c r="F40" s="418"/>
      <c r="G40" s="418"/>
    </row>
    <row r="41" spans="1:6" ht="15">
      <c r="A41" s="421" t="str">
        <f>CONCATENATE("So, let's look to see if any of your ",inputPrYr!C4-1," expenditures can")</f>
        <v>So, let's look to see if any of your 2012 expenditures can</v>
      </c>
      <c r="B41" s="417"/>
      <c r="C41" s="417"/>
      <c r="D41" s="417"/>
      <c r="E41" s="417"/>
      <c r="F41" s="417"/>
    </row>
    <row r="42" spans="1:6" ht="15">
      <c r="A42" s="421" t="s">
        <v>531</v>
      </c>
      <c r="B42" s="417"/>
      <c r="C42" s="417"/>
      <c r="D42" s="417"/>
      <c r="E42" s="417"/>
      <c r="F42" s="417"/>
    </row>
    <row r="43" spans="1:6" ht="15">
      <c r="A43" s="421" t="s">
        <v>415</v>
      </c>
      <c r="B43" s="417"/>
      <c r="C43" s="417"/>
      <c r="D43" s="417"/>
      <c r="E43" s="417"/>
      <c r="F43" s="417"/>
    </row>
    <row r="44" spans="1:6" ht="15">
      <c r="A44" s="421" t="s">
        <v>416</v>
      </c>
      <c r="B44" s="417"/>
      <c r="C44" s="417"/>
      <c r="D44" s="417"/>
      <c r="E44" s="417"/>
      <c r="F44" s="417"/>
    </row>
    <row r="45" ht="15">
      <c r="A45" s="417"/>
    </row>
    <row r="46" spans="1:6" ht="15">
      <c r="A46" s="421" t="str">
        <f>CONCATENATE("Additionally, do your ",inputPrYr!C4-1," receipts contain a reimbursement")</f>
        <v>Additionally, do your 2012 receipts contain a reimbursement</v>
      </c>
      <c r="B46" s="417"/>
      <c r="C46" s="417"/>
      <c r="D46" s="417"/>
      <c r="E46" s="417"/>
      <c r="F46" s="417"/>
    </row>
    <row r="47" spans="1:6" ht="15">
      <c r="A47" s="421" t="s">
        <v>417</v>
      </c>
      <c r="B47" s="417"/>
      <c r="C47" s="417"/>
      <c r="D47" s="417"/>
      <c r="E47" s="417"/>
      <c r="F47" s="417"/>
    </row>
    <row r="48" spans="1:6" ht="15">
      <c r="A48" s="421" t="s">
        <v>418</v>
      </c>
      <c r="B48" s="417"/>
      <c r="C48" s="417"/>
      <c r="D48" s="417"/>
      <c r="E48" s="417"/>
      <c r="F48" s="417"/>
    </row>
    <row r="49" spans="1:7" ht="15">
      <c r="A49" s="417"/>
      <c r="B49" s="417"/>
      <c r="C49" s="417"/>
      <c r="D49" s="417"/>
      <c r="E49" s="417"/>
      <c r="F49" s="417"/>
      <c r="G49" s="417"/>
    </row>
    <row r="50" spans="1:7" ht="15">
      <c r="A50" s="417" t="s">
        <v>485</v>
      </c>
      <c r="B50" s="417"/>
      <c r="C50" s="417"/>
      <c r="D50" s="417"/>
      <c r="E50" s="417"/>
      <c r="F50" s="417"/>
      <c r="G50" s="417"/>
    </row>
    <row r="51" spans="1:7" ht="15">
      <c r="A51" s="417" t="s">
        <v>486</v>
      </c>
      <c r="B51" s="417"/>
      <c r="C51" s="417"/>
      <c r="D51" s="417"/>
      <c r="E51" s="417"/>
      <c r="F51" s="417"/>
      <c r="G51" s="417"/>
    </row>
    <row r="52" spans="1:7" ht="15">
      <c r="A52" s="417" t="s">
        <v>487</v>
      </c>
      <c r="B52" s="417"/>
      <c r="C52" s="417"/>
      <c r="D52" s="417"/>
      <c r="E52" s="417"/>
      <c r="F52" s="417"/>
      <c r="G52" s="417"/>
    </row>
    <row r="53" spans="1:7" ht="15">
      <c r="A53" s="417" t="s">
        <v>488</v>
      </c>
      <c r="B53" s="417"/>
      <c r="C53" s="417"/>
      <c r="D53" s="417"/>
      <c r="E53" s="417"/>
      <c r="F53" s="417"/>
      <c r="G53" s="417"/>
    </row>
    <row r="54" spans="1:7" ht="15">
      <c r="A54" s="417" t="s">
        <v>489</v>
      </c>
      <c r="B54" s="417"/>
      <c r="C54" s="417"/>
      <c r="D54" s="417"/>
      <c r="E54" s="417"/>
      <c r="F54" s="417"/>
      <c r="G54" s="417"/>
    </row>
    <row r="55" spans="1:7" ht="15">
      <c r="A55" s="417"/>
      <c r="B55" s="417"/>
      <c r="C55" s="417"/>
      <c r="D55" s="417"/>
      <c r="E55" s="417"/>
      <c r="F55" s="417"/>
      <c r="G55" s="417"/>
    </row>
    <row r="56" spans="1:6" ht="15">
      <c r="A56" s="421" t="s">
        <v>427</v>
      </c>
      <c r="B56" s="417"/>
      <c r="C56" s="417"/>
      <c r="D56" s="417"/>
      <c r="E56" s="417"/>
      <c r="F56" s="417"/>
    </row>
    <row r="57" spans="1:6" ht="15">
      <c r="A57" s="421" t="s">
        <v>428</v>
      </c>
      <c r="B57" s="417"/>
      <c r="C57" s="417"/>
      <c r="D57" s="417"/>
      <c r="E57" s="417"/>
      <c r="F57" s="417"/>
    </row>
    <row r="58" spans="1:6" ht="15">
      <c r="A58" s="421" t="s">
        <v>429</v>
      </c>
      <c r="B58" s="417"/>
      <c r="C58" s="417"/>
      <c r="D58" s="417"/>
      <c r="E58" s="417"/>
      <c r="F58" s="417"/>
    </row>
    <row r="59" spans="1:6" ht="15">
      <c r="A59" s="421"/>
      <c r="B59" s="417"/>
      <c r="C59" s="417"/>
      <c r="D59" s="417"/>
      <c r="E59" s="417"/>
      <c r="F59" s="417"/>
    </row>
    <row r="60" spans="1:7" ht="15">
      <c r="A60" s="417" t="s">
        <v>568</v>
      </c>
      <c r="B60" s="417"/>
      <c r="C60" s="417"/>
      <c r="D60" s="417"/>
      <c r="E60" s="417"/>
      <c r="F60" s="417"/>
      <c r="G60" s="417"/>
    </row>
    <row r="61" spans="1:7" ht="15">
      <c r="A61" s="417" t="s">
        <v>569</v>
      </c>
      <c r="B61" s="417"/>
      <c r="C61" s="417"/>
      <c r="D61" s="417"/>
      <c r="E61" s="417"/>
      <c r="F61" s="417"/>
      <c r="G61" s="417"/>
    </row>
    <row r="62" spans="1:7" ht="15">
      <c r="A62" s="417" t="s">
        <v>570</v>
      </c>
      <c r="B62" s="417"/>
      <c r="C62" s="417"/>
      <c r="D62" s="417"/>
      <c r="E62" s="417"/>
      <c r="F62" s="417"/>
      <c r="G62" s="417"/>
    </row>
    <row r="63" spans="1:7" ht="15">
      <c r="A63" s="417" t="s">
        <v>571</v>
      </c>
      <c r="B63" s="417"/>
      <c r="C63" s="417"/>
      <c r="D63" s="417"/>
      <c r="E63" s="417"/>
      <c r="F63" s="417"/>
      <c r="G63" s="417"/>
    </row>
    <row r="64" spans="1:7" ht="15">
      <c r="A64" s="417" t="s">
        <v>572</v>
      </c>
      <c r="B64" s="417"/>
      <c r="C64" s="417"/>
      <c r="D64" s="417"/>
      <c r="E64" s="417"/>
      <c r="F64" s="417"/>
      <c r="G64" s="417"/>
    </row>
    <row r="66" spans="1:6" ht="15">
      <c r="A66" s="421" t="s">
        <v>535</v>
      </c>
      <c r="B66" s="417"/>
      <c r="C66" s="417"/>
      <c r="D66" s="417"/>
      <c r="E66" s="417"/>
      <c r="F66" s="417"/>
    </row>
    <row r="67" spans="1:6" ht="15">
      <c r="A67" s="421" t="s">
        <v>536</v>
      </c>
      <c r="B67" s="417"/>
      <c r="C67" s="417"/>
      <c r="D67" s="417"/>
      <c r="E67" s="417"/>
      <c r="F67" s="417"/>
    </row>
    <row r="68" spans="1:6" ht="15">
      <c r="A68" s="421" t="s">
        <v>537</v>
      </c>
      <c r="B68" s="417"/>
      <c r="C68" s="417"/>
      <c r="D68" s="417"/>
      <c r="E68" s="417"/>
      <c r="F68" s="417"/>
    </row>
    <row r="69" spans="1:6" ht="15">
      <c r="A69" s="421" t="s">
        <v>538</v>
      </c>
      <c r="B69" s="417"/>
      <c r="C69" s="417"/>
      <c r="D69" s="417"/>
      <c r="E69" s="417"/>
      <c r="F69" s="417"/>
    </row>
    <row r="70" spans="1:6" ht="15">
      <c r="A70" s="421" t="s">
        <v>539</v>
      </c>
      <c r="B70" s="417"/>
      <c r="C70" s="417"/>
      <c r="D70" s="417"/>
      <c r="E70" s="417"/>
      <c r="F70" s="417"/>
    </row>
    <row r="71" ht="15">
      <c r="A71" s="417"/>
    </row>
    <row r="72" ht="15">
      <c r="A72" s="417" t="s">
        <v>456</v>
      </c>
    </row>
    <row r="73" ht="15">
      <c r="A73" s="417"/>
    </row>
    <row r="74" ht="15">
      <c r="A74" s="417"/>
    </row>
    <row r="75" ht="15">
      <c r="A75" s="417"/>
    </row>
    <row r="78" ht="15">
      <c r="A78" s="418"/>
    </row>
    <row r="80" ht="15">
      <c r="A80" s="417"/>
    </row>
    <row r="81" ht="15">
      <c r="A81" s="417"/>
    </row>
    <row r="82" ht="15">
      <c r="A82" s="417"/>
    </row>
    <row r="83" ht="15">
      <c r="A83" s="417"/>
    </row>
    <row r="84" ht="15">
      <c r="A84" s="417"/>
    </row>
    <row r="85" ht="15">
      <c r="A85" s="417"/>
    </row>
    <row r="86" ht="15">
      <c r="A86" s="417"/>
    </row>
    <row r="87" ht="15">
      <c r="A87" s="417"/>
    </row>
    <row r="88" ht="15">
      <c r="A88" s="417"/>
    </row>
    <row r="89" ht="15">
      <c r="A89" s="417"/>
    </row>
    <row r="90" ht="15">
      <c r="A90" s="417"/>
    </row>
    <row r="92" ht="15">
      <c r="A92" s="417"/>
    </row>
    <row r="93" ht="15">
      <c r="A93" s="417"/>
    </row>
    <row r="94" ht="15">
      <c r="A94" s="417"/>
    </row>
    <row r="95" ht="15">
      <c r="A95" s="417"/>
    </row>
    <row r="96" ht="15">
      <c r="A96" s="417"/>
    </row>
    <row r="97" ht="15">
      <c r="A97" s="417"/>
    </row>
    <row r="98" ht="15">
      <c r="A98" s="417"/>
    </row>
    <row r="99" ht="15">
      <c r="A99" s="417"/>
    </row>
    <row r="100" ht="15">
      <c r="A100" s="417"/>
    </row>
    <row r="101" ht="15">
      <c r="A101" s="417"/>
    </row>
    <row r="102" ht="15">
      <c r="A102" s="417"/>
    </row>
    <row r="103" ht="15">
      <c r="A103" s="417"/>
    </row>
    <row r="104" ht="15">
      <c r="A104" s="417"/>
    </row>
    <row r="105" ht="15">
      <c r="A105" s="417"/>
    </row>
    <row r="106" ht="15">
      <c r="A106" s="417"/>
    </row>
  </sheetData>
  <sheetProtection sheet="1"/>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2" sqref="A2"/>
    </sheetView>
  </sheetViews>
  <sheetFormatPr defaultColWidth="8.796875" defaultRowHeight="15"/>
  <cols>
    <col min="1" max="1" width="71.296875" style="0" customWidth="1"/>
  </cols>
  <sheetData>
    <row r="3" spans="1:7" ht="15">
      <c r="A3" s="416" t="s">
        <v>573</v>
      </c>
      <c r="B3" s="416"/>
      <c r="C3" s="416"/>
      <c r="D3" s="416"/>
      <c r="E3" s="416"/>
      <c r="F3" s="416"/>
      <c r="G3" s="416"/>
    </row>
    <row r="4" spans="1:7" ht="15">
      <c r="A4" s="416" t="s">
        <v>574</v>
      </c>
      <c r="B4" s="416"/>
      <c r="C4" s="416"/>
      <c r="D4" s="416"/>
      <c r="E4" s="416"/>
      <c r="F4" s="416"/>
      <c r="G4" s="416"/>
    </row>
    <row r="5" spans="1:7" ht="15">
      <c r="A5" s="416"/>
      <c r="B5" s="416"/>
      <c r="C5" s="416"/>
      <c r="D5" s="416"/>
      <c r="E5" s="416"/>
      <c r="F5" s="416"/>
      <c r="G5" s="416"/>
    </row>
    <row r="6" spans="1:7" ht="15">
      <c r="A6" s="416"/>
      <c r="B6" s="416"/>
      <c r="C6" s="416"/>
      <c r="D6" s="416"/>
      <c r="E6" s="416"/>
      <c r="F6" s="416"/>
      <c r="G6" s="416"/>
    </row>
    <row r="7" ht="15">
      <c r="A7" s="417" t="s">
        <v>401</v>
      </c>
    </row>
    <row r="8" ht="15">
      <c r="A8" s="417" t="str">
        <f>CONCATENATE("estimated ",inputPrYr!C4," 'total expenditures' exceed your ",inputPrYr!C4,"")</f>
        <v>estimated 2013 'total expenditures' exceed your 2013</v>
      </c>
    </row>
    <row r="9" ht="15">
      <c r="A9" s="420" t="s">
        <v>575</v>
      </c>
    </row>
    <row r="10" ht="15">
      <c r="A10" s="417"/>
    </row>
    <row r="11" ht="15">
      <c r="A11" s="417" t="s">
        <v>576</v>
      </c>
    </row>
    <row r="12" ht="15">
      <c r="A12" s="417" t="s">
        <v>577</v>
      </c>
    </row>
    <row r="13" ht="15">
      <c r="A13" s="417" t="s">
        <v>578</v>
      </c>
    </row>
    <row r="14" ht="15">
      <c r="A14" s="417"/>
    </row>
    <row r="15" ht="15">
      <c r="A15" s="418" t="s">
        <v>579</v>
      </c>
    </row>
    <row r="16" spans="1:7" ht="15">
      <c r="A16" s="416"/>
      <c r="B16" s="416"/>
      <c r="C16" s="416"/>
      <c r="D16" s="416"/>
      <c r="E16" s="416"/>
      <c r="F16" s="416"/>
      <c r="G16" s="416"/>
    </row>
    <row r="17" spans="1:8" ht="15">
      <c r="A17" s="423" t="s">
        <v>580</v>
      </c>
      <c r="B17" s="401"/>
      <c r="C17" s="401"/>
      <c r="D17" s="401"/>
      <c r="E17" s="401"/>
      <c r="F17" s="401"/>
      <c r="G17" s="401"/>
      <c r="H17" s="401"/>
    </row>
    <row r="18" spans="1:7" ht="15">
      <c r="A18" s="417" t="s">
        <v>581</v>
      </c>
      <c r="B18" s="424"/>
      <c r="C18" s="424"/>
      <c r="D18" s="424"/>
      <c r="E18" s="424"/>
      <c r="F18" s="424"/>
      <c r="G18" s="424"/>
    </row>
    <row r="19" ht="15">
      <c r="A19" s="417" t="s">
        <v>582</v>
      </c>
    </row>
    <row r="20" ht="15">
      <c r="A20" s="417" t="s">
        <v>583</v>
      </c>
    </row>
    <row r="22" ht="15">
      <c r="A22" s="418" t="s">
        <v>584</v>
      </c>
    </row>
    <row r="24" ht="15">
      <c r="A24" s="417" t="s">
        <v>585</v>
      </c>
    </row>
    <row r="25" ht="15">
      <c r="A25" s="417" t="s">
        <v>586</v>
      </c>
    </row>
    <row r="26" ht="15">
      <c r="A26" s="417" t="s">
        <v>587</v>
      </c>
    </row>
    <row r="28" ht="15">
      <c r="A28" s="418" t="s">
        <v>588</v>
      </c>
    </row>
    <row r="30" ht="15">
      <c r="A30" t="s">
        <v>589</v>
      </c>
    </row>
    <row r="31" ht="15">
      <c r="A31" t="s">
        <v>590</v>
      </c>
    </row>
    <row r="32" ht="15">
      <c r="A32" t="s">
        <v>591</v>
      </c>
    </row>
    <row r="33" ht="15">
      <c r="A33" s="417" t="s">
        <v>592</v>
      </c>
    </row>
    <row r="35" ht="15">
      <c r="A35" t="s">
        <v>593</v>
      </c>
    </row>
    <row r="36" ht="15">
      <c r="A36" t="s">
        <v>594</v>
      </c>
    </row>
    <row r="37" ht="15">
      <c r="A37" t="s">
        <v>595</v>
      </c>
    </row>
    <row r="38" ht="15">
      <c r="A38" t="s">
        <v>596</v>
      </c>
    </row>
    <row r="40" ht="15">
      <c r="A40" t="s">
        <v>597</v>
      </c>
    </row>
    <row r="41" ht="15">
      <c r="A41" t="s">
        <v>598</v>
      </c>
    </row>
    <row r="42" ht="15">
      <c r="A42" t="s">
        <v>599</v>
      </c>
    </row>
    <row r="43" ht="15">
      <c r="A43" t="s">
        <v>600</v>
      </c>
    </row>
    <row r="44" ht="15">
      <c r="A44" t="s">
        <v>601</v>
      </c>
    </row>
    <row r="45" ht="15">
      <c r="A45" t="s">
        <v>602</v>
      </c>
    </row>
    <row r="47" ht="15">
      <c r="A47" t="s">
        <v>603</v>
      </c>
    </row>
    <row r="48" ht="15">
      <c r="A48" t="s">
        <v>604</v>
      </c>
    </row>
    <row r="49" ht="15">
      <c r="A49" s="417" t="s">
        <v>605</v>
      </c>
    </row>
    <row r="50" ht="15">
      <c r="A50" s="417" t="s">
        <v>606</v>
      </c>
    </row>
    <row r="52" ht="15">
      <c r="A52" t="s">
        <v>456</v>
      </c>
    </row>
  </sheetData>
  <sheetProtection sheet="1"/>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X354"/>
  <sheetViews>
    <sheetView zoomScalePageLayoutView="0" workbookViewId="0" topLeftCell="A37">
      <selection activeCell="A1" sqref="A1:IV16384"/>
    </sheetView>
  </sheetViews>
  <sheetFormatPr defaultColWidth="8.796875" defaultRowHeight="15"/>
  <cols>
    <col min="1" max="1" width="7.59765625" style="511" customWidth="1"/>
    <col min="2" max="2" width="11.19921875" style="537" customWidth="1"/>
    <col min="3" max="3" width="7.3984375" style="537" customWidth="1"/>
    <col min="4" max="4" width="8.8984375" style="537" customWidth="1"/>
    <col min="5" max="5" width="1.59765625" style="537" customWidth="1"/>
    <col min="6" max="6" width="14.296875" style="537" customWidth="1"/>
    <col min="7" max="7" width="2.59765625" style="537" customWidth="1"/>
    <col min="8" max="8" width="9.796875" style="537" customWidth="1"/>
    <col min="9" max="9" width="2" style="537" customWidth="1"/>
    <col min="10" max="10" width="8.59765625" style="537" customWidth="1"/>
    <col min="11" max="11" width="11.69921875" style="537" customWidth="1"/>
    <col min="12" max="12" width="7.59765625" style="511" customWidth="1"/>
    <col min="13" max="14" width="8.8984375" style="511" customWidth="1"/>
    <col min="15" max="15" width="9.8984375" style="511" bestFit="1" customWidth="1"/>
    <col min="16" max="16384" width="8.8984375" style="511" customWidth="1"/>
  </cols>
  <sheetData>
    <row r="1" spans="1:12" ht="14.25">
      <c r="A1" s="536"/>
      <c r="B1" s="536"/>
      <c r="C1" s="536"/>
      <c r="D1" s="536"/>
      <c r="E1" s="536"/>
      <c r="F1" s="536"/>
      <c r="G1" s="536"/>
      <c r="H1" s="536"/>
      <c r="I1" s="536"/>
      <c r="J1" s="536"/>
      <c r="K1" s="536"/>
      <c r="L1" s="536"/>
    </row>
    <row r="2" spans="1:12" ht="14.25">
      <c r="A2" s="536"/>
      <c r="B2" s="536"/>
      <c r="C2" s="536"/>
      <c r="D2" s="536"/>
      <c r="E2" s="536"/>
      <c r="F2" s="536"/>
      <c r="G2" s="536"/>
      <c r="H2" s="536"/>
      <c r="I2" s="536"/>
      <c r="J2" s="536"/>
      <c r="K2" s="536"/>
      <c r="L2" s="536"/>
    </row>
    <row r="3" spans="1:12" ht="14.25">
      <c r="A3" s="536"/>
      <c r="B3" s="536"/>
      <c r="C3" s="536"/>
      <c r="D3" s="536"/>
      <c r="E3" s="536"/>
      <c r="F3" s="536"/>
      <c r="G3" s="536"/>
      <c r="H3" s="536"/>
      <c r="I3" s="536"/>
      <c r="J3" s="536"/>
      <c r="K3" s="536"/>
      <c r="L3" s="536"/>
    </row>
    <row r="4" spans="1:12" ht="14.25">
      <c r="A4" s="536"/>
      <c r="L4" s="536"/>
    </row>
    <row r="5" spans="1:12" ht="15" customHeight="1">
      <c r="A5" s="536"/>
      <c r="L5" s="536"/>
    </row>
    <row r="6" spans="1:12" ht="33" customHeight="1">
      <c r="A6" s="536"/>
      <c r="B6" s="814" t="s">
        <v>709</v>
      </c>
      <c r="C6" s="819"/>
      <c r="D6" s="819"/>
      <c r="E6" s="819"/>
      <c r="F6" s="819"/>
      <c r="G6" s="819"/>
      <c r="H6" s="819"/>
      <c r="I6" s="819"/>
      <c r="J6" s="819"/>
      <c r="K6" s="819"/>
      <c r="L6" s="538"/>
    </row>
    <row r="7" spans="1:12" ht="40.5" customHeight="1">
      <c r="A7" s="536"/>
      <c r="B7" s="828" t="s">
        <v>710</v>
      </c>
      <c r="C7" s="829"/>
      <c r="D7" s="829"/>
      <c r="E7" s="829"/>
      <c r="F7" s="829"/>
      <c r="G7" s="829"/>
      <c r="H7" s="829"/>
      <c r="I7" s="829"/>
      <c r="J7" s="829"/>
      <c r="K7" s="829"/>
      <c r="L7" s="536"/>
    </row>
    <row r="8" spans="1:12" ht="14.25">
      <c r="A8" s="536"/>
      <c r="B8" s="820" t="s">
        <v>711</v>
      </c>
      <c r="C8" s="820"/>
      <c r="D8" s="820"/>
      <c r="E8" s="820"/>
      <c r="F8" s="820"/>
      <c r="G8" s="820"/>
      <c r="H8" s="820"/>
      <c r="I8" s="820"/>
      <c r="J8" s="820"/>
      <c r="K8" s="820"/>
      <c r="L8" s="536"/>
    </row>
    <row r="9" spans="1:12" ht="14.25">
      <c r="A9" s="536"/>
      <c r="L9" s="536"/>
    </row>
    <row r="10" spans="1:12" ht="14.25">
      <c r="A10" s="536"/>
      <c r="B10" s="820" t="s">
        <v>712</v>
      </c>
      <c r="C10" s="820"/>
      <c r="D10" s="820"/>
      <c r="E10" s="820"/>
      <c r="F10" s="820"/>
      <c r="G10" s="820"/>
      <c r="H10" s="820"/>
      <c r="I10" s="820"/>
      <c r="J10" s="820"/>
      <c r="K10" s="820"/>
      <c r="L10" s="536"/>
    </row>
    <row r="11" spans="1:12" ht="14.25">
      <c r="A11" s="536"/>
      <c r="B11" s="597"/>
      <c r="C11" s="597"/>
      <c r="D11" s="597"/>
      <c r="E11" s="597"/>
      <c r="F11" s="597"/>
      <c r="G11" s="597"/>
      <c r="H11" s="597"/>
      <c r="I11" s="597"/>
      <c r="J11" s="597"/>
      <c r="K11" s="597"/>
      <c r="L11" s="536"/>
    </row>
    <row r="12" spans="1:12" ht="32.25" customHeight="1">
      <c r="A12" s="536"/>
      <c r="B12" s="815" t="s">
        <v>713</v>
      </c>
      <c r="C12" s="815"/>
      <c r="D12" s="815"/>
      <c r="E12" s="815"/>
      <c r="F12" s="815"/>
      <c r="G12" s="815"/>
      <c r="H12" s="815"/>
      <c r="I12" s="815"/>
      <c r="J12" s="815"/>
      <c r="K12" s="815"/>
      <c r="L12" s="536"/>
    </row>
    <row r="13" spans="1:12" ht="14.25">
      <c r="A13" s="536"/>
      <c r="L13" s="536"/>
    </row>
    <row r="14" spans="1:12" ht="14.25">
      <c r="A14" s="536"/>
      <c r="B14" s="519" t="s">
        <v>714</v>
      </c>
      <c r="L14" s="536"/>
    </row>
    <row r="15" spans="1:12" ht="14.25">
      <c r="A15" s="536"/>
      <c r="L15" s="536"/>
    </row>
    <row r="16" spans="1:12" ht="14.25">
      <c r="A16" s="536"/>
      <c r="B16" s="537" t="s">
        <v>715</v>
      </c>
      <c r="L16" s="536"/>
    </row>
    <row r="17" spans="1:12" ht="14.25">
      <c r="A17" s="536"/>
      <c r="B17" s="537" t="s">
        <v>716</v>
      </c>
      <c r="L17" s="536"/>
    </row>
    <row r="18" spans="1:12" ht="14.25">
      <c r="A18" s="536"/>
      <c r="L18" s="536"/>
    </row>
    <row r="19" spans="1:12" ht="14.25">
      <c r="A19" s="536"/>
      <c r="B19" s="519" t="s">
        <v>787</v>
      </c>
      <c r="L19" s="536"/>
    </row>
    <row r="20" spans="1:12" ht="14.25">
      <c r="A20" s="536"/>
      <c r="B20" s="519"/>
      <c r="L20" s="536"/>
    </row>
    <row r="21" spans="1:12" ht="14.25">
      <c r="A21" s="536"/>
      <c r="B21" s="537" t="s">
        <v>788</v>
      </c>
      <c r="L21" s="536"/>
    </row>
    <row r="22" spans="1:12" ht="14.25">
      <c r="A22" s="536"/>
      <c r="L22" s="536"/>
    </row>
    <row r="23" spans="1:12" ht="14.25">
      <c r="A23" s="536"/>
      <c r="B23" s="537" t="s">
        <v>717</v>
      </c>
      <c r="E23" s="537" t="s">
        <v>718</v>
      </c>
      <c r="F23" s="816">
        <v>312000000</v>
      </c>
      <c r="G23" s="816"/>
      <c r="L23" s="536"/>
    </row>
    <row r="24" spans="1:12" ht="14.25">
      <c r="A24" s="536"/>
      <c r="L24" s="536"/>
    </row>
    <row r="25" spans="1:12" ht="14.25">
      <c r="A25" s="536"/>
      <c r="C25" s="830">
        <f>F23</f>
        <v>312000000</v>
      </c>
      <c r="D25" s="830"/>
      <c r="E25" s="537" t="s">
        <v>719</v>
      </c>
      <c r="F25" s="539">
        <v>1000</v>
      </c>
      <c r="G25" s="539" t="s">
        <v>718</v>
      </c>
      <c r="H25" s="598">
        <f>F23/F25</f>
        <v>312000</v>
      </c>
      <c r="L25" s="536"/>
    </row>
    <row r="26" spans="1:12" ht="15" thickBot="1">
      <c r="A26" s="536"/>
      <c r="L26" s="536"/>
    </row>
    <row r="27" spans="1:12" ht="14.25">
      <c r="A27" s="536"/>
      <c r="B27" s="520" t="s">
        <v>714</v>
      </c>
      <c r="C27" s="540"/>
      <c r="D27" s="540"/>
      <c r="E27" s="540"/>
      <c r="F27" s="540"/>
      <c r="G27" s="540"/>
      <c r="H27" s="540"/>
      <c r="I27" s="540"/>
      <c r="J27" s="540"/>
      <c r="K27" s="541"/>
      <c r="L27" s="536"/>
    </row>
    <row r="28" spans="1:12" ht="14.25">
      <c r="A28" s="536"/>
      <c r="B28" s="542">
        <f>F23</f>
        <v>312000000</v>
      </c>
      <c r="C28" s="543" t="s">
        <v>720</v>
      </c>
      <c r="D28" s="543"/>
      <c r="E28" s="543" t="s">
        <v>719</v>
      </c>
      <c r="F28" s="601">
        <v>1000</v>
      </c>
      <c r="G28" s="601" t="s">
        <v>718</v>
      </c>
      <c r="H28" s="544">
        <f>B28/F28</f>
        <v>312000</v>
      </c>
      <c r="I28" s="543" t="s">
        <v>721</v>
      </c>
      <c r="J28" s="543"/>
      <c r="K28" s="545"/>
      <c r="L28" s="536"/>
    </row>
    <row r="29" spans="1:12" ht="15" thickBot="1">
      <c r="A29" s="536"/>
      <c r="B29" s="546"/>
      <c r="C29" s="547"/>
      <c r="D29" s="547"/>
      <c r="E29" s="547"/>
      <c r="F29" s="547"/>
      <c r="G29" s="547"/>
      <c r="H29" s="547"/>
      <c r="I29" s="547"/>
      <c r="J29" s="547"/>
      <c r="K29" s="548"/>
      <c r="L29" s="536"/>
    </row>
    <row r="30" spans="1:12" ht="40.5" customHeight="1">
      <c r="A30" s="536"/>
      <c r="B30" s="817" t="s">
        <v>710</v>
      </c>
      <c r="C30" s="817"/>
      <c r="D30" s="817"/>
      <c r="E30" s="817"/>
      <c r="F30" s="817"/>
      <c r="G30" s="817"/>
      <c r="H30" s="817"/>
      <c r="I30" s="817"/>
      <c r="J30" s="817"/>
      <c r="K30" s="817"/>
      <c r="L30" s="536"/>
    </row>
    <row r="31" spans="1:12" ht="14.25">
      <c r="A31" s="536"/>
      <c r="B31" s="820" t="s">
        <v>722</v>
      </c>
      <c r="C31" s="820"/>
      <c r="D31" s="820"/>
      <c r="E31" s="820"/>
      <c r="F31" s="820"/>
      <c r="G31" s="820"/>
      <c r="H31" s="820"/>
      <c r="I31" s="820"/>
      <c r="J31" s="820"/>
      <c r="K31" s="820"/>
      <c r="L31" s="536"/>
    </row>
    <row r="32" spans="1:12" ht="14.25">
      <c r="A32" s="536"/>
      <c r="L32" s="536"/>
    </row>
    <row r="33" spans="1:12" ht="14.25">
      <c r="A33" s="536"/>
      <c r="B33" s="820" t="s">
        <v>723</v>
      </c>
      <c r="C33" s="820"/>
      <c r="D33" s="820"/>
      <c r="E33" s="820"/>
      <c r="F33" s="820"/>
      <c r="G33" s="820"/>
      <c r="H33" s="820"/>
      <c r="I33" s="820"/>
      <c r="J33" s="820"/>
      <c r="K33" s="820"/>
      <c r="L33" s="536"/>
    </row>
    <row r="34" spans="1:12" ht="14.25">
      <c r="A34" s="536"/>
      <c r="L34" s="536"/>
    </row>
    <row r="35" spans="1:12" ht="89.25" customHeight="1">
      <c r="A35" s="536"/>
      <c r="B35" s="815" t="s">
        <v>724</v>
      </c>
      <c r="C35" s="821"/>
      <c r="D35" s="821"/>
      <c r="E35" s="821"/>
      <c r="F35" s="821"/>
      <c r="G35" s="821"/>
      <c r="H35" s="821"/>
      <c r="I35" s="821"/>
      <c r="J35" s="821"/>
      <c r="K35" s="821"/>
      <c r="L35" s="536"/>
    </row>
    <row r="36" spans="1:12" ht="14.25">
      <c r="A36" s="536"/>
      <c r="L36" s="536"/>
    </row>
    <row r="37" spans="1:12" ht="14.25">
      <c r="A37" s="536"/>
      <c r="B37" s="519" t="s">
        <v>725</v>
      </c>
      <c r="L37" s="536"/>
    </row>
    <row r="38" spans="1:12" ht="14.25">
      <c r="A38" s="536"/>
      <c r="L38" s="536"/>
    </row>
    <row r="39" spans="1:12" ht="14.25">
      <c r="A39" s="536"/>
      <c r="B39" s="537" t="s">
        <v>726</v>
      </c>
      <c r="L39" s="536"/>
    </row>
    <row r="40" spans="1:12" ht="14.25">
      <c r="A40" s="536"/>
      <c r="L40" s="536"/>
    </row>
    <row r="41" spans="1:12" ht="14.25">
      <c r="A41" s="536"/>
      <c r="C41" s="822">
        <v>312000000</v>
      </c>
      <c r="D41" s="822"/>
      <c r="E41" s="537" t="s">
        <v>719</v>
      </c>
      <c r="F41" s="539">
        <v>1000</v>
      </c>
      <c r="G41" s="539" t="s">
        <v>718</v>
      </c>
      <c r="H41" s="549">
        <f>C41/F41</f>
        <v>312000</v>
      </c>
      <c r="L41" s="536"/>
    </row>
    <row r="42" spans="1:12" ht="14.25">
      <c r="A42" s="536"/>
      <c r="L42" s="536"/>
    </row>
    <row r="43" spans="1:12" ht="14.25">
      <c r="A43" s="536"/>
      <c r="B43" s="537" t="s">
        <v>727</v>
      </c>
      <c r="L43" s="536"/>
    </row>
    <row r="44" spans="1:12" ht="14.25">
      <c r="A44" s="536"/>
      <c r="L44" s="536"/>
    </row>
    <row r="45" spans="1:12" ht="14.25">
      <c r="A45" s="536"/>
      <c r="B45" s="537" t="s">
        <v>728</v>
      </c>
      <c r="L45" s="536"/>
    </row>
    <row r="46" spans="1:12" ht="15" thickBot="1">
      <c r="A46" s="536"/>
      <c r="L46" s="536"/>
    </row>
    <row r="47" spans="1:12" ht="14.25">
      <c r="A47" s="536"/>
      <c r="B47" s="550" t="s">
        <v>714</v>
      </c>
      <c r="C47" s="540"/>
      <c r="D47" s="540"/>
      <c r="E47" s="540"/>
      <c r="F47" s="540"/>
      <c r="G47" s="540"/>
      <c r="H47" s="540"/>
      <c r="I47" s="540"/>
      <c r="J47" s="540"/>
      <c r="K47" s="541"/>
      <c r="L47" s="536"/>
    </row>
    <row r="48" spans="1:12" ht="14.25">
      <c r="A48" s="536"/>
      <c r="B48" s="823">
        <v>312000000</v>
      </c>
      <c r="C48" s="816"/>
      <c r="D48" s="543" t="s">
        <v>729</v>
      </c>
      <c r="E48" s="543" t="s">
        <v>719</v>
      </c>
      <c r="F48" s="601">
        <v>1000</v>
      </c>
      <c r="G48" s="601" t="s">
        <v>718</v>
      </c>
      <c r="H48" s="544">
        <f>B48/F48</f>
        <v>312000</v>
      </c>
      <c r="I48" s="543" t="s">
        <v>730</v>
      </c>
      <c r="J48" s="543"/>
      <c r="K48" s="545"/>
      <c r="L48" s="536"/>
    </row>
    <row r="49" spans="1:12" ht="14.25">
      <c r="A49" s="536"/>
      <c r="B49" s="551"/>
      <c r="C49" s="543"/>
      <c r="D49" s="543"/>
      <c r="E49" s="543"/>
      <c r="F49" s="543"/>
      <c r="G49" s="543"/>
      <c r="H49" s="543"/>
      <c r="I49" s="543"/>
      <c r="J49" s="543"/>
      <c r="K49" s="545"/>
      <c r="L49" s="536"/>
    </row>
    <row r="50" spans="1:12" ht="14.25">
      <c r="A50" s="536"/>
      <c r="B50" s="552">
        <v>50000</v>
      </c>
      <c r="C50" s="543" t="s">
        <v>731</v>
      </c>
      <c r="D50" s="543"/>
      <c r="E50" s="543" t="s">
        <v>719</v>
      </c>
      <c r="F50" s="544">
        <f>H48</f>
        <v>312000</v>
      </c>
      <c r="G50" s="824" t="s">
        <v>732</v>
      </c>
      <c r="H50" s="825"/>
      <c r="I50" s="601" t="s">
        <v>718</v>
      </c>
      <c r="J50" s="553">
        <f>B50/F50</f>
        <v>0.16025641025641027</v>
      </c>
      <c r="K50" s="545"/>
      <c r="L50" s="536"/>
    </row>
    <row r="51" spans="1:15" ht="15" thickBot="1">
      <c r="A51" s="536"/>
      <c r="B51" s="546"/>
      <c r="C51" s="547"/>
      <c r="D51" s="547"/>
      <c r="E51" s="547"/>
      <c r="F51" s="547"/>
      <c r="G51" s="547"/>
      <c r="H51" s="547"/>
      <c r="I51" s="826" t="s">
        <v>733</v>
      </c>
      <c r="J51" s="826"/>
      <c r="K51" s="827"/>
      <c r="L51" s="536"/>
      <c r="O51" s="554"/>
    </row>
    <row r="52" spans="1:12" ht="40.5" customHeight="1">
      <c r="A52" s="536"/>
      <c r="B52" s="817" t="s">
        <v>710</v>
      </c>
      <c r="C52" s="817"/>
      <c r="D52" s="817"/>
      <c r="E52" s="817"/>
      <c r="F52" s="817"/>
      <c r="G52" s="817"/>
      <c r="H52" s="817"/>
      <c r="I52" s="817"/>
      <c r="J52" s="817"/>
      <c r="K52" s="817"/>
      <c r="L52" s="536"/>
    </row>
    <row r="53" spans="1:12" ht="14.25">
      <c r="A53" s="536"/>
      <c r="B53" s="820" t="s">
        <v>734</v>
      </c>
      <c r="C53" s="820"/>
      <c r="D53" s="820"/>
      <c r="E53" s="820"/>
      <c r="F53" s="820"/>
      <c r="G53" s="820"/>
      <c r="H53" s="820"/>
      <c r="I53" s="820"/>
      <c r="J53" s="820"/>
      <c r="K53" s="820"/>
      <c r="L53" s="536"/>
    </row>
    <row r="54" spans="1:12" ht="14.25">
      <c r="A54" s="536"/>
      <c r="B54" s="597"/>
      <c r="C54" s="597"/>
      <c r="D54" s="597"/>
      <c r="E54" s="597"/>
      <c r="F54" s="597"/>
      <c r="G54" s="597"/>
      <c r="H54" s="597"/>
      <c r="I54" s="597"/>
      <c r="J54" s="597"/>
      <c r="K54" s="597"/>
      <c r="L54" s="536"/>
    </row>
    <row r="55" spans="1:12" ht="14.25">
      <c r="A55" s="536"/>
      <c r="B55" s="814" t="s">
        <v>735</v>
      </c>
      <c r="C55" s="814"/>
      <c r="D55" s="814"/>
      <c r="E55" s="814"/>
      <c r="F55" s="814"/>
      <c r="G55" s="814"/>
      <c r="H55" s="814"/>
      <c r="I55" s="814"/>
      <c r="J55" s="814"/>
      <c r="K55" s="814"/>
      <c r="L55" s="536"/>
    </row>
    <row r="56" spans="1:12" ht="15" customHeight="1">
      <c r="A56" s="536"/>
      <c r="L56" s="536"/>
    </row>
    <row r="57" spans="1:24" ht="74.25" customHeight="1">
      <c r="A57" s="536"/>
      <c r="B57" s="815" t="s">
        <v>736</v>
      </c>
      <c r="C57" s="821"/>
      <c r="D57" s="821"/>
      <c r="E57" s="821"/>
      <c r="F57" s="821"/>
      <c r="G57" s="821"/>
      <c r="H57" s="821"/>
      <c r="I57" s="821"/>
      <c r="J57" s="821"/>
      <c r="K57" s="821"/>
      <c r="L57" s="536"/>
      <c r="M57" s="521"/>
      <c r="N57" s="510"/>
      <c r="O57" s="510"/>
      <c r="P57" s="510"/>
      <c r="Q57" s="510"/>
      <c r="R57" s="510"/>
      <c r="S57" s="510"/>
      <c r="T57" s="510"/>
      <c r="U57" s="510"/>
      <c r="V57" s="510"/>
      <c r="W57" s="510"/>
      <c r="X57" s="510"/>
    </row>
    <row r="58" spans="1:24" ht="15" customHeight="1">
      <c r="A58" s="536"/>
      <c r="B58" s="815"/>
      <c r="C58" s="821"/>
      <c r="D58" s="821"/>
      <c r="E58" s="821"/>
      <c r="F58" s="821"/>
      <c r="G58" s="821"/>
      <c r="H58" s="821"/>
      <c r="I58" s="821"/>
      <c r="J58" s="821"/>
      <c r="K58" s="821"/>
      <c r="L58" s="536"/>
      <c r="M58" s="521"/>
      <c r="N58" s="510"/>
      <c r="O58" s="510"/>
      <c r="P58" s="510"/>
      <c r="Q58" s="510"/>
      <c r="R58" s="510"/>
      <c r="S58" s="510"/>
      <c r="T58" s="510"/>
      <c r="U58" s="510"/>
      <c r="V58" s="510"/>
      <c r="W58" s="510"/>
      <c r="X58" s="510"/>
    </row>
    <row r="59" spans="1:24" ht="14.25">
      <c r="A59" s="536"/>
      <c r="B59" s="519" t="s">
        <v>725</v>
      </c>
      <c r="L59" s="536"/>
      <c r="M59" s="510"/>
      <c r="N59" s="510"/>
      <c r="O59" s="510"/>
      <c r="P59" s="510"/>
      <c r="Q59" s="510"/>
      <c r="R59" s="510"/>
      <c r="S59" s="510"/>
      <c r="T59" s="510"/>
      <c r="U59" s="510"/>
      <c r="V59" s="510"/>
      <c r="W59" s="510"/>
      <c r="X59" s="510"/>
    </row>
    <row r="60" spans="1:24" ht="14.25">
      <c r="A60" s="536"/>
      <c r="L60" s="536"/>
      <c r="M60" s="510"/>
      <c r="N60" s="510"/>
      <c r="O60" s="510"/>
      <c r="P60" s="510"/>
      <c r="Q60" s="510"/>
      <c r="R60" s="510"/>
      <c r="S60" s="510"/>
      <c r="T60" s="510"/>
      <c r="U60" s="510"/>
      <c r="V60" s="510"/>
      <c r="W60" s="510"/>
      <c r="X60" s="510"/>
    </row>
    <row r="61" spans="1:24" ht="14.25">
      <c r="A61" s="536"/>
      <c r="B61" s="537" t="s">
        <v>737</v>
      </c>
      <c r="L61" s="536"/>
      <c r="M61" s="510"/>
      <c r="N61" s="510"/>
      <c r="O61" s="510"/>
      <c r="P61" s="510"/>
      <c r="Q61" s="510"/>
      <c r="R61" s="510"/>
      <c r="S61" s="510"/>
      <c r="T61" s="510"/>
      <c r="U61" s="510"/>
      <c r="V61" s="510"/>
      <c r="W61" s="510"/>
      <c r="X61" s="510"/>
    </row>
    <row r="62" spans="1:24" ht="14.25">
      <c r="A62" s="536"/>
      <c r="B62" s="537" t="s">
        <v>789</v>
      </c>
      <c r="L62" s="536"/>
      <c r="M62" s="510"/>
      <c r="N62" s="510"/>
      <c r="O62" s="510"/>
      <c r="P62" s="510"/>
      <c r="Q62" s="510"/>
      <c r="R62" s="510"/>
      <c r="S62" s="510"/>
      <c r="T62" s="510"/>
      <c r="U62" s="510"/>
      <c r="V62" s="510"/>
      <c r="W62" s="510"/>
      <c r="X62" s="510"/>
    </row>
    <row r="63" spans="1:24" ht="14.25">
      <c r="A63" s="536"/>
      <c r="B63" s="537" t="s">
        <v>790</v>
      </c>
      <c r="L63" s="536"/>
      <c r="M63" s="510"/>
      <c r="N63" s="510"/>
      <c r="O63" s="510"/>
      <c r="P63" s="510"/>
      <c r="Q63" s="510"/>
      <c r="R63" s="510"/>
      <c r="S63" s="510"/>
      <c r="T63" s="510"/>
      <c r="U63" s="510"/>
      <c r="V63" s="510"/>
      <c r="W63" s="510"/>
      <c r="X63" s="510"/>
    </row>
    <row r="64" spans="1:24" ht="14.25">
      <c r="A64" s="536"/>
      <c r="L64" s="536"/>
      <c r="M64" s="510"/>
      <c r="N64" s="510"/>
      <c r="O64" s="510"/>
      <c r="P64" s="510"/>
      <c r="Q64" s="510"/>
      <c r="R64" s="510"/>
      <c r="S64" s="510"/>
      <c r="T64" s="510"/>
      <c r="U64" s="510"/>
      <c r="V64" s="510"/>
      <c r="W64" s="510"/>
      <c r="X64" s="510"/>
    </row>
    <row r="65" spans="1:24" ht="14.25">
      <c r="A65" s="536"/>
      <c r="B65" s="537" t="s">
        <v>738</v>
      </c>
      <c r="L65" s="536"/>
      <c r="M65" s="510"/>
      <c r="N65" s="510"/>
      <c r="O65" s="510"/>
      <c r="P65" s="510"/>
      <c r="Q65" s="510"/>
      <c r="R65" s="510"/>
      <c r="S65" s="510"/>
      <c r="T65" s="510"/>
      <c r="U65" s="510"/>
      <c r="V65" s="510"/>
      <c r="W65" s="510"/>
      <c r="X65" s="510"/>
    </row>
    <row r="66" spans="1:24" ht="14.25">
      <c r="A66" s="536"/>
      <c r="B66" s="537" t="s">
        <v>739</v>
      </c>
      <c r="L66" s="536"/>
      <c r="M66" s="510"/>
      <c r="N66" s="510"/>
      <c r="O66" s="510"/>
      <c r="P66" s="510"/>
      <c r="Q66" s="510"/>
      <c r="R66" s="510"/>
      <c r="S66" s="510"/>
      <c r="T66" s="510"/>
      <c r="U66" s="510"/>
      <c r="V66" s="510"/>
      <c r="W66" s="510"/>
      <c r="X66" s="510"/>
    </row>
    <row r="67" spans="1:24" ht="14.25">
      <c r="A67" s="536"/>
      <c r="L67" s="536"/>
      <c r="M67" s="510"/>
      <c r="N67" s="510"/>
      <c r="O67" s="510"/>
      <c r="P67" s="510"/>
      <c r="Q67" s="510"/>
      <c r="R67" s="510"/>
      <c r="S67" s="510"/>
      <c r="T67" s="510"/>
      <c r="U67" s="510"/>
      <c r="V67" s="510"/>
      <c r="W67" s="510"/>
      <c r="X67" s="510"/>
    </row>
    <row r="68" spans="1:24" ht="14.25">
      <c r="A68" s="536"/>
      <c r="B68" s="537" t="s">
        <v>740</v>
      </c>
      <c r="L68" s="536"/>
      <c r="M68" s="522"/>
      <c r="N68" s="509"/>
      <c r="O68" s="509"/>
      <c r="P68" s="509"/>
      <c r="Q68" s="509"/>
      <c r="R68" s="509"/>
      <c r="S68" s="509"/>
      <c r="T68" s="509"/>
      <c r="U68" s="509"/>
      <c r="V68" s="509"/>
      <c r="W68" s="509"/>
      <c r="X68" s="510"/>
    </row>
    <row r="69" spans="1:24" ht="14.25">
      <c r="A69" s="536"/>
      <c r="B69" s="537" t="s">
        <v>791</v>
      </c>
      <c r="L69" s="536"/>
      <c r="M69" s="510"/>
      <c r="N69" s="510"/>
      <c r="O69" s="510"/>
      <c r="P69" s="510"/>
      <c r="Q69" s="510"/>
      <c r="R69" s="510"/>
      <c r="S69" s="510"/>
      <c r="T69" s="510"/>
      <c r="U69" s="510"/>
      <c r="V69" s="510"/>
      <c r="W69" s="510"/>
      <c r="X69" s="510"/>
    </row>
    <row r="70" spans="1:24" ht="14.25">
      <c r="A70" s="536"/>
      <c r="B70" s="537" t="s">
        <v>792</v>
      </c>
      <c r="L70" s="536"/>
      <c r="M70" s="510"/>
      <c r="N70" s="510"/>
      <c r="O70" s="510"/>
      <c r="P70" s="510"/>
      <c r="Q70" s="510"/>
      <c r="R70" s="510"/>
      <c r="S70" s="510"/>
      <c r="T70" s="510"/>
      <c r="U70" s="510"/>
      <c r="V70" s="510"/>
      <c r="W70" s="510"/>
      <c r="X70" s="510"/>
    </row>
    <row r="71" spans="1:12" ht="15" thickBot="1">
      <c r="A71" s="536"/>
      <c r="B71" s="543"/>
      <c r="C71" s="543"/>
      <c r="D71" s="543"/>
      <c r="E71" s="543"/>
      <c r="F71" s="543"/>
      <c r="G71" s="543"/>
      <c r="H71" s="543"/>
      <c r="I71" s="543"/>
      <c r="J71" s="543"/>
      <c r="K71" s="543"/>
      <c r="L71" s="536"/>
    </row>
    <row r="72" spans="1:12" ht="14.25">
      <c r="A72" s="536"/>
      <c r="B72" s="520" t="s">
        <v>714</v>
      </c>
      <c r="C72" s="540"/>
      <c r="D72" s="540"/>
      <c r="E72" s="540"/>
      <c r="F72" s="540"/>
      <c r="G72" s="540"/>
      <c r="H72" s="540"/>
      <c r="I72" s="540"/>
      <c r="J72" s="540"/>
      <c r="K72" s="541"/>
      <c r="L72" s="555"/>
    </row>
    <row r="73" spans="1:12" ht="14.25">
      <c r="A73" s="536"/>
      <c r="B73" s="551"/>
      <c r="C73" s="543" t="s">
        <v>720</v>
      </c>
      <c r="D73" s="543"/>
      <c r="E73" s="543"/>
      <c r="F73" s="543"/>
      <c r="G73" s="543"/>
      <c r="H73" s="543"/>
      <c r="I73" s="543"/>
      <c r="J73" s="543"/>
      <c r="K73" s="545"/>
      <c r="L73" s="555"/>
    </row>
    <row r="74" spans="1:12" ht="14.25">
      <c r="A74" s="536"/>
      <c r="B74" s="551" t="s">
        <v>741</v>
      </c>
      <c r="C74" s="816">
        <v>312000000</v>
      </c>
      <c r="D74" s="816"/>
      <c r="E74" s="601" t="s">
        <v>719</v>
      </c>
      <c r="F74" s="601">
        <v>1000</v>
      </c>
      <c r="G74" s="601" t="s">
        <v>718</v>
      </c>
      <c r="H74" s="592">
        <f>C74/F74</f>
        <v>312000</v>
      </c>
      <c r="I74" s="543" t="s">
        <v>742</v>
      </c>
      <c r="J74" s="543"/>
      <c r="K74" s="545"/>
      <c r="L74" s="555"/>
    </row>
    <row r="75" spans="1:12" ht="14.25">
      <c r="A75" s="536"/>
      <c r="B75" s="551"/>
      <c r="C75" s="543"/>
      <c r="D75" s="543"/>
      <c r="E75" s="601"/>
      <c r="F75" s="543"/>
      <c r="G75" s="543"/>
      <c r="H75" s="543"/>
      <c r="I75" s="543"/>
      <c r="J75" s="543"/>
      <c r="K75" s="545"/>
      <c r="L75" s="555"/>
    </row>
    <row r="76" spans="1:12" ht="14.25">
      <c r="A76" s="536"/>
      <c r="B76" s="551"/>
      <c r="C76" s="543" t="s">
        <v>743</v>
      </c>
      <c r="D76" s="543"/>
      <c r="E76" s="601"/>
      <c r="F76" s="543" t="s">
        <v>742</v>
      </c>
      <c r="G76" s="543"/>
      <c r="H76" s="543"/>
      <c r="I76" s="543"/>
      <c r="J76" s="543"/>
      <c r="K76" s="545"/>
      <c r="L76" s="555"/>
    </row>
    <row r="77" spans="1:12" ht="14.25">
      <c r="A77" s="536"/>
      <c r="B77" s="551" t="s">
        <v>746</v>
      </c>
      <c r="C77" s="816">
        <v>50000</v>
      </c>
      <c r="D77" s="816"/>
      <c r="E77" s="601" t="s">
        <v>719</v>
      </c>
      <c r="F77" s="592">
        <f>H74</f>
        <v>312000</v>
      </c>
      <c r="G77" s="601" t="s">
        <v>718</v>
      </c>
      <c r="H77" s="553">
        <f>C77/F77</f>
        <v>0.16025641025641027</v>
      </c>
      <c r="I77" s="543" t="s">
        <v>744</v>
      </c>
      <c r="J77" s="543"/>
      <c r="K77" s="545"/>
      <c r="L77" s="555"/>
    </row>
    <row r="78" spans="1:12" ht="14.25">
      <c r="A78" s="536"/>
      <c r="B78" s="551"/>
      <c r="C78" s="543"/>
      <c r="D78" s="543"/>
      <c r="E78" s="601"/>
      <c r="F78" s="543"/>
      <c r="G78" s="543"/>
      <c r="H78" s="543"/>
      <c r="I78" s="543"/>
      <c r="J78" s="543"/>
      <c r="K78" s="545"/>
      <c r="L78" s="555"/>
    </row>
    <row r="79" spans="1:12" ht="14.25">
      <c r="A79" s="536"/>
      <c r="B79" s="556"/>
      <c r="C79" s="557" t="s">
        <v>745</v>
      </c>
      <c r="D79" s="557"/>
      <c r="E79" s="593"/>
      <c r="F79" s="557"/>
      <c r="G79" s="557"/>
      <c r="H79" s="557"/>
      <c r="I79" s="557"/>
      <c r="J79" s="557"/>
      <c r="K79" s="558"/>
      <c r="L79" s="555"/>
    </row>
    <row r="80" spans="1:12" ht="14.25">
      <c r="A80" s="536"/>
      <c r="B80" s="551" t="s">
        <v>771</v>
      </c>
      <c r="C80" s="816">
        <v>100000</v>
      </c>
      <c r="D80" s="816"/>
      <c r="E80" s="601" t="s">
        <v>140</v>
      </c>
      <c r="F80" s="601">
        <v>0.115</v>
      </c>
      <c r="G80" s="601" t="s">
        <v>718</v>
      </c>
      <c r="H80" s="592">
        <f>C80*F80</f>
        <v>11500</v>
      </c>
      <c r="I80" s="543" t="s">
        <v>747</v>
      </c>
      <c r="J80" s="543"/>
      <c r="K80" s="545"/>
      <c r="L80" s="555"/>
    </row>
    <row r="81" spans="1:12" ht="14.25">
      <c r="A81" s="536"/>
      <c r="B81" s="551"/>
      <c r="C81" s="543"/>
      <c r="D81" s="543"/>
      <c r="E81" s="601"/>
      <c r="F81" s="543"/>
      <c r="G81" s="543"/>
      <c r="H81" s="543"/>
      <c r="I81" s="543"/>
      <c r="J81" s="543"/>
      <c r="K81" s="545"/>
      <c r="L81" s="555"/>
    </row>
    <row r="82" spans="1:12" ht="14.25">
      <c r="A82" s="536"/>
      <c r="B82" s="556"/>
      <c r="C82" s="557" t="s">
        <v>748</v>
      </c>
      <c r="D82" s="557"/>
      <c r="E82" s="593"/>
      <c r="F82" s="557" t="s">
        <v>744</v>
      </c>
      <c r="G82" s="557"/>
      <c r="H82" s="557"/>
      <c r="I82" s="557"/>
      <c r="J82" s="557" t="s">
        <v>749</v>
      </c>
      <c r="K82" s="558"/>
      <c r="L82" s="555"/>
    </row>
    <row r="83" spans="1:12" ht="14.25">
      <c r="A83" s="536"/>
      <c r="B83" s="551" t="s">
        <v>772</v>
      </c>
      <c r="C83" s="805">
        <f>H80</f>
        <v>11500</v>
      </c>
      <c r="D83" s="805"/>
      <c r="E83" s="601" t="s">
        <v>140</v>
      </c>
      <c r="F83" s="553">
        <f>H77</f>
        <v>0.16025641025641027</v>
      </c>
      <c r="G83" s="601" t="s">
        <v>719</v>
      </c>
      <c r="H83" s="601">
        <v>1000</v>
      </c>
      <c r="I83" s="601" t="s">
        <v>718</v>
      </c>
      <c r="J83" s="594">
        <f>C83*F83/H83</f>
        <v>1.842948717948718</v>
      </c>
      <c r="K83" s="545"/>
      <c r="L83" s="555"/>
    </row>
    <row r="84" spans="1:12" ht="15" thickBot="1">
      <c r="A84" s="536"/>
      <c r="B84" s="546"/>
      <c r="C84" s="559"/>
      <c r="D84" s="559"/>
      <c r="E84" s="560"/>
      <c r="F84" s="561"/>
      <c r="G84" s="560"/>
      <c r="H84" s="560"/>
      <c r="I84" s="560"/>
      <c r="J84" s="562"/>
      <c r="K84" s="548"/>
      <c r="L84" s="555"/>
    </row>
    <row r="85" spans="1:12" ht="40.5" customHeight="1">
      <c r="A85" s="536"/>
      <c r="B85" s="817" t="s">
        <v>710</v>
      </c>
      <c r="C85" s="817"/>
      <c r="D85" s="817"/>
      <c r="E85" s="817"/>
      <c r="F85" s="817"/>
      <c r="G85" s="817"/>
      <c r="H85" s="817"/>
      <c r="I85" s="817"/>
      <c r="J85" s="817"/>
      <c r="K85" s="817"/>
      <c r="L85" s="536"/>
    </row>
    <row r="86" spans="1:12" ht="14.25">
      <c r="A86" s="536"/>
      <c r="B86" s="814" t="s">
        <v>750</v>
      </c>
      <c r="C86" s="814"/>
      <c r="D86" s="814"/>
      <c r="E86" s="814"/>
      <c r="F86" s="814"/>
      <c r="G86" s="814"/>
      <c r="H86" s="814"/>
      <c r="I86" s="814"/>
      <c r="J86" s="814"/>
      <c r="K86" s="814"/>
      <c r="L86" s="536"/>
    </row>
    <row r="87" spans="1:12" ht="14.25">
      <c r="A87" s="536"/>
      <c r="B87" s="563"/>
      <c r="C87" s="563"/>
      <c r="D87" s="563"/>
      <c r="E87" s="563"/>
      <c r="F87" s="563"/>
      <c r="G87" s="563"/>
      <c r="H87" s="563"/>
      <c r="I87" s="563"/>
      <c r="J87" s="563"/>
      <c r="K87" s="563"/>
      <c r="L87" s="536"/>
    </row>
    <row r="88" spans="1:12" ht="14.25">
      <c r="A88" s="536"/>
      <c r="B88" s="814" t="s">
        <v>751</v>
      </c>
      <c r="C88" s="814"/>
      <c r="D88" s="814"/>
      <c r="E88" s="814"/>
      <c r="F88" s="814"/>
      <c r="G88" s="814"/>
      <c r="H88" s="814"/>
      <c r="I88" s="814"/>
      <c r="J88" s="814"/>
      <c r="K88" s="814"/>
      <c r="L88" s="536"/>
    </row>
    <row r="89" spans="1:12" ht="14.25">
      <c r="A89" s="536"/>
      <c r="B89" s="595"/>
      <c r="C89" s="595"/>
      <c r="D89" s="595"/>
      <c r="E89" s="595"/>
      <c r="F89" s="595"/>
      <c r="G89" s="595"/>
      <c r="H89" s="595"/>
      <c r="I89" s="595"/>
      <c r="J89" s="595"/>
      <c r="K89" s="595"/>
      <c r="L89" s="536"/>
    </row>
    <row r="90" spans="1:12" ht="45" customHeight="1">
      <c r="A90" s="536"/>
      <c r="B90" s="815" t="s">
        <v>752</v>
      </c>
      <c r="C90" s="815"/>
      <c r="D90" s="815"/>
      <c r="E90" s="815"/>
      <c r="F90" s="815"/>
      <c r="G90" s="815"/>
      <c r="H90" s="815"/>
      <c r="I90" s="815"/>
      <c r="J90" s="815"/>
      <c r="K90" s="815"/>
      <c r="L90" s="536"/>
    </row>
    <row r="91" spans="1:12" ht="15" customHeight="1" thickBot="1">
      <c r="A91" s="536"/>
      <c r="L91" s="536"/>
    </row>
    <row r="92" spans="1:12" ht="15" customHeight="1">
      <c r="A92" s="536"/>
      <c r="B92" s="523" t="s">
        <v>714</v>
      </c>
      <c r="C92" s="564"/>
      <c r="D92" s="564"/>
      <c r="E92" s="564"/>
      <c r="F92" s="564"/>
      <c r="G92" s="564"/>
      <c r="H92" s="564"/>
      <c r="I92" s="564"/>
      <c r="J92" s="564"/>
      <c r="K92" s="565"/>
      <c r="L92" s="536"/>
    </row>
    <row r="93" spans="1:12" ht="15" customHeight="1">
      <c r="A93" s="536"/>
      <c r="B93" s="566"/>
      <c r="C93" s="599" t="s">
        <v>720</v>
      </c>
      <c r="D93" s="599"/>
      <c r="E93" s="599"/>
      <c r="F93" s="599"/>
      <c r="G93" s="599"/>
      <c r="H93" s="599"/>
      <c r="I93" s="599"/>
      <c r="J93" s="599"/>
      <c r="K93" s="567"/>
      <c r="L93" s="536"/>
    </row>
    <row r="94" spans="1:12" ht="15" customHeight="1">
      <c r="A94" s="536"/>
      <c r="B94" s="566" t="s">
        <v>741</v>
      </c>
      <c r="C94" s="816">
        <v>312000000</v>
      </c>
      <c r="D94" s="816"/>
      <c r="E94" s="601" t="s">
        <v>719</v>
      </c>
      <c r="F94" s="601">
        <v>1000</v>
      </c>
      <c r="G94" s="601" t="s">
        <v>718</v>
      </c>
      <c r="H94" s="592">
        <f>C94/F94</f>
        <v>312000</v>
      </c>
      <c r="I94" s="599" t="s">
        <v>742</v>
      </c>
      <c r="J94" s="599"/>
      <c r="K94" s="567"/>
      <c r="L94" s="536"/>
    </row>
    <row r="95" spans="1:12" ht="15" customHeight="1">
      <c r="A95" s="536"/>
      <c r="B95" s="566"/>
      <c r="C95" s="599"/>
      <c r="D95" s="599"/>
      <c r="E95" s="601"/>
      <c r="F95" s="599"/>
      <c r="G95" s="599"/>
      <c r="H95" s="599"/>
      <c r="I95" s="599"/>
      <c r="J95" s="599"/>
      <c r="K95" s="567"/>
      <c r="L95" s="536"/>
    </row>
    <row r="96" spans="1:12" ht="15" customHeight="1">
      <c r="A96" s="536"/>
      <c r="B96" s="566"/>
      <c r="C96" s="599" t="s">
        <v>743</v>
      </c>
      <c r="D96" s="599"/>
      <c r="E96" s="601"/>
      <c r="F96" s="599" t="s">
        <v>742</v>
      </c>
      <c r="G96" s="599"/>
      <c r="H96" s="599"/>
      <c r="I96" s="599"/>
      <c r="J96" s="599"/>
      <c r="K96" s="567"/>
      <c r="L96" s="536"/>
    </row>
    <row r="97" spans="1:12" ht="15" customHeight="1">
      <c r="A97" s="536"/>
      <c r="B97" s="566" t="s">
        <v>746</v>
      </c>
      <c r="C97" s="816">
        <v>50000</v>
      </c>
      <c r="D97" s="816"/>
      <c r="E97" s="601" t="s">
        <v>719</v>
      </c>
      <c r="F97" s="592">
        <f>H94</f>
        <v>312000</v>
      </c>
      <c r="G97" s="601" t="s">
        <v>718</v>
      </c>
      <c r="H97" s="553">
        <f>C97/F97</f>
        <v>0.16025641025641027</v>
      </c>
      <c r="I97" s="599" t="s">
        <v>744</v>
      </c>
      <c r="J97" s="599"/>
      <c r="K97" s="567"/>
      <c r="L97" s="536"/>
    </row>
    <row r="98" spans="1:12" ht="15" customHeight="1">
      <c r="A98" s="536"/>
      <c r="B98" s="566"/>
      <c r="C98" s="599"/>
      <c r="D98" s="599"/>
      <c r="E98" s="601"/>
      <c r="F98" s="599"/>
      <c r="G98" s="599"/>
      <c r="H98" s="599"/>
      <c r="I98" s="599"/>
      <c r="J98" s="599"/>
      <c r="K98" s="567"/>
      <c r="L98" s="536"/>
    </row>
    <row r="99" spans="1:12" ht="15" customHeight="1">
      <c r="A99" s="536"/>
      <c r="B99" s="568"/>
      <c r="C99" s="569" t="s">
        <v>753</v>
      </c>
      <c r="D99" s="569"/>
      <c r="E99" s="593"/>
      <c r="F99" s="569"/>
      <c r="G99" s="569"/>
      <c r="H99" s="569"/>
      <c r="I99" s="569"/>
      <c r="J99" s="569"/>
      <c r="K99" s="570"/>
      <c r="L99" s="536"/>
    </row>
    <row r="100" spans="1:12" ht="15" customHeight="1">
      <c r="A100" s="536"/>
      <c r="B100" s="566" t="s">
        <v>771</v>
      </c>
      <c r="C100" s="816">
        <v>2500000</v>
      </c>
      <c r="D100" s="816"/>
      <c r="E100" s="601" t="s">
        <v>140</v>
      </c>
      <c r="F100" s="571">
        <v>0.3</v>
      </c>
      <c r="G100" s="601" t="s">
        <v>718</v>
      </c>
      <c r="H100" s="592">
        <f>C100*F100</f>
        <v>750000</v>
      </c>
      <c r="I100" s="599" t="s">
        <v>747</v>
      </c>
      <c r="J100" s="599"/>
      <c r="K100" s="567"/>
      <c r="L100" s="536"/>
    </row>
    <row r="101" spans="1:12" ht="15" customHeight="1">
      <c r="A101" s="536"/>
      <c r="B101" s="566"/>
      <c r="C101" s="599"/>
      <c r="D101" s="599"/>
      <c r="E101" s="601"/>
      <c r="F101" s="599"/>
      <c r="G101" s="599"/>
      <c r="H101" s="599"/>
      <c r="I101" s="599"/>
      <c r="J101" s="599"/>
      <c r="K101" s="567"/>
      <c r="L101" s="536"/>
    </row>
    <row r="102" spans="1:12" ht="15" customHeight="1">
      <c r="A102" s="536"/>
      <c r="B102" s="568"/>
      <c r="C102" s="569" t="s">
        <v>748</v>
      </c>
      <c r="D102" s="569"/>
      <c r="E102" s="593"/>
      <c r="F102" s="569" t="s">
        <v>744</v>
      </c>
      <c r="G102" s="569"/>
      <c r="H102" s="569"/>
      <c r="I102" s="569"/>
      <c r="J102" s="569" t="s">
        <v>749</v>
      </c>
      <c r="K102" s="570"/>
      <c r="L102" s="536"/>
    </row>
    <row r="103" spans="1:12" ht="15" customHeight="1">
      <c r="A103" s="536"/>
      <c r="B103" s="566" t="s">
        <v>772</v>
      </c>
      <c r="C103" s="805">
        <f>H100</f>
        <v>750000</v>
      </c>
      <c r="D103" s="805"/>
      <c r="E103" s="601" t="s">
        <v>140</v>
      </c>
      <c r="F103" s="553">
        <f>H97</f>
        <v>0.16025641025641027</v>
      </c>
      <c r="G103" s="601" t="s">
        <v>719</v>
      </c>
      <c r="H103" s="601">
        <v>1000</v>
      </c>
      <c r="I103" s="601" t="s">
        <v>718</v>
      </c>
      <c r="J103" s="594">
        <f>C103*F103/H103</f>
        <v>120.19230769230771</v>
      </c>
      <c r="K103" s="567"/>
      <c r="L103" s="536"/>
    </row>
    <row r="104" spans="1:12" ht="15" customHeight="1" thickBot="1">
      <c r="A104" s="536"/>
      <c r="B104" s="572"/>
      <c r="C104" s="559"/>
      <c r="D104" s="559"/>
      <c r="E104" s="560"/>
      <c r="F104" s="561"/>
      <c r="G104" s="560"/>
      <c r="H104" s="560"/>
      <c r="I104" s="560"/>
      <c r="J104" s="562"/>
      <c r="K104" s="600"/>
      <c r="L104" s="536"/>
    </row>
    <row r="105" spans="1:12" ht="40.5" customHeight="1">
      <c r="A105" s="536"/>
      <c r="B105" s="817" t="s">
        <v>710</v>
      </c>
      <c r="C105" s="818"/>
      <c r="D105" s="818"/>
      <c r="E105" s="818"/>
      <c r="F105" s="818"/>
      <c r="G105" s="818"/>
      <c r="H105" s="818"/>
      <c r="I105" s="818"/>
      <c r="J105" s="818"/>
      <c r="K105" s="818"/>
      <c r="L105" s="536"/>
    </row>
    <row r="106" spans="1:12" ht="15" customHeight="1">
      <c r="A106" s="536"/>
      <c r="B106" s="812" t="s">
        <v>754</v>
      </c>
      <c r="C106" s="819"/>
      <c r="D106" s="819"/>
      <c r="E106" s="819"/>
      <c r="F106" s="819"/>
      <c r="G106" s="819"/>
      <c r="H106" s="819"/>
      <c r="I106" s="819"/>
      <c r="J106" s="819"/>
      <c r="K106" s="819"/>
      <c r="L106" s="536"/>
    </row>
    <row r="107" spans="1:12" ht="15" customHeight="1">
      <c r="A107" s="536"/>
      <c r="B107" s="599"/>
      <c r="C107" s="573"/>
      <c r="D107" s="573"/>
      <c r="E107" s="601"/>
      <c r="F107" s="553"/>
      <c r="G107" s="601"/>
      <c r="H107" s="601"/>
      <c r="I107" s="601"/>
      <c r="J107" s="594"/>
      <c r="K107" s="599"/>
      <c r="L107" s="536"/>
    </row>
    <row r="108" spans="1:12" ht="15" customHeight="1">
      <c r="A108" s="536"/>
      <c r="B108" s="812" t="s">
        <v>755</v>
      </c>
      <c r="C108" s="813"/>
      <c r="D108" s="813"/>
      <c r="E108" s="813"/>
      <c r="F108" s="813"/>
      <c r="G108" s="813"/>
      <c r="H108" s="813"/>
      <c r="I108" s="813"/>
      <c r="J108" s="813"/>
      <c r="K108" s="813"/>
      <c r="L108" s="536"/>
    </row>
    <row r="109" spans="1:12" ht="15" customHeight="1">
      <c r="A109" s="536"/>
      <c r="B109" s="599"/>
      <c r="C109" s="573"/>
      <c r="D109" s="573"/>
      <c r="E109" s="601"/>
      <c r="F109" s="553"/>
      <c r="G109" s="601"/>
      <c r="H109" s="601"/>
      <c r="I109" s="601"/>
      <c r="J109" s="594"/>
      <c r="K109" s="599"/>
      <c r="L109" s="536"/>
    </row>
    <row r="110" spans="1:12" ht="59.25" customHeight="1">
      <c r="A110" s="536"/>
      <c r="B110" s="831" t="s">
        <v>756</v>
      </c>
      <c r="C110" s="821"/>
      <c r="D110" s="821"/>
      <c r="E110" s="821"/>
      <c r="F110" s="821"/>
      <c r="G110" s="821"/>
      <c r="H110" s="821"/>
      <c r="I110" s="821"/>
      <c r="J110" s="821"/>
      <c r="K110" s="821"/>
      <c r="L110" s="536"/>
    </row>
    <row r="111" spans="1:12" ht="15" thickBot="1">
      <c r="A111" s="536"/>
      <c r="B111" s="597"/>
      <c r="C111" s="597"/>
      <c r="D111" s="597"/>
      <c r="E111" s="597"/>
      <c r="F111" s="597"/>
      <c r="G111" s="597"/>
      <c r="H111" s="597"/>
      <c r="I111" s="597"/>
      <c r="J111" s="597"/>
      <c r="K111" s="597"/>
      <c r="L111" s="574"/>
    </row>
    <row r="112" spans="1:12" ht="14.25">
      <c r="A112" s="536"/>
      <c r="B112" s="520" t="s">
        <v>714</v>
      </c>
      <c r="C112" s="540"/>
      <c r="D112" s="540"/>
      <c r="E112" s="540"/>
      <c r="F112" s="540"/>
      <c r="G112" s="540"/>
      <c r="H112" s="540"/>
      <c r="I112" s="540"/>
      <c r="J112" s="540"/>
      <c r="K112" s="541"/>
      <c r="L112" s="536"/>
    </row>
    <row r="113" spans="1:12" ht="14.25">
      <c r="A113" s="536"/>
      <c r="B113" s="551"/>
      <c r="C113" s="543" t="s">
        <v>720</v>
      </c>
      <c r="D113" s="543"/>
      <c r="E113" s="543"/>
      <c r="F113" s="543"/>
      <c r="G113" s="543"/>
      <c r="H113" s="543"/>
      <c r="I113" s="543"/>
      <c r="J113" s="543"/>
      <c r="K113" s="545"/>
      <c r="L113" s="536"/>
    </row>
    <row r="114" spans="1:12" ht="14.25">
      <c r="A114" s="536"/>
      <c r="B114" s="551" t="s">
        <v>741</v>
      </c>
      <c r="C114" s="816">
        <v>312000000</v>
      </c>
      <c r="D114" s="816"/>
      <c r="E114" s="601" t="s">
        <v>719</v>
      </c>
      <c r="F114" s="601">
        <v>1000</v>
      </c>
      <c r="G114" s="601" t="s">
        <v>718</v>
      </c>
      <c r="H114" s="592">
        <f>C114/F114</f>
        <v>312000</v>
      </c>
      <c r="I114" s="543" t="s">
        <v>742</v>
      </c>
      <c r="J114" s="543"/>
      <c r="K114" s="545"/>
      <c r="L114" s="536"/>
    </row>
    <row r="115" spans="1:12" ht="14.25">
      <c r="A115" s="536"/>
      <c r="B115" s="551"/>
      <c r="C115" s="543"/>
      <c r="D115" s="543"/>
      <c r="E115" s="601"/>
      <c r="F115" s="543"/>
      <c r="G115" s="543"/>
      <c r="H115" s="543"/>
      <c r="I115" s="543"/>
      <c r="J115" s="543"/>
      <c r="K115" s="545"/>
      <c r="L115" s="536"/>
    </row>
    <row r="116" spans="1:12" ht="14.25">
      <c r="A116" s="536"/>
      <c r="B116" s="551"/>
      <c r="C116" s="543" t="s">
        <v>743</v>
      </c>
      <c r="D116" s="543"/>
      <c r="E116" s="601"/>
      <c r="F116" s="543" t="s">
        <v>742</v>
      </c>
      <c r="G116" s="543"/>
      <c r="H116" s="543"/>
      <c r="I116" s="543"/>
      <c r="J116" s="543"/>
      <c r="K116" s="545"/>
      <c r="L116" s="536"/>
    </row>
    <row r="117" spans="1:12" ht="14.25">
      <c r="A117" s="536"/>
      <c r="B117" s="551" t="s">
        <v>746</v>
      </c>
      <c r="C117" s="816">
        <v>50000</v>
      </c>
      <c r="D117" s="816"/>
      <c r="E117" s="601" t="s">
        <v>719</v>
      </c>
      <c r="F117" s="592">
        <f>H114</f>
        <v>312000</v>
      </c>
      <c r="G117" s="601" t="s">
        <v>718</v>
      </c>
      <c r="H117" s="553">
        <f>C117/F117</f>
        <v>0.16025641025641027</v>
      </c>
      <c r="I117" s="543" t="s">
        <v>744</v>
      </c>
      <c r="J117" s="543"/>
      <c r="K117" s="545"/>
      <c r="L117" s="536"/>
    </row>
    <row r="118" spans="1:12" ht="14.25">
      <c r="A118" s="536"/>
      <c r="B118" s="551"/>
      <c r="C118" s="543"/>
      <c r="D118" s="543"/>
      <c r="E118" s="601"/>
      <c r="F118" s="543"/>
      <c r="G118" s="543"/>
      <c r="H118" s="543"/>
      <c r="I118" s="543"/>
      <c r="J118" s="543"/>
      <c r="K118" s="545"/>
      <c r="L118" s="536"/>
    </row>
    <row r="119" spans="1:12" ht="14.25">
      <c r="A119" s="536"/>
      <c r="B119" s="556"/>
      <c r="C119" s="557" t="s">
        <v>753</v>
      </c>
      <c r="D119" s="557"/>
      <c r="E119" s="593"/>
      <c r="F119" s="557"/>
      <c r="G119" s="557"/>
      <c r="H119" s="557"/>
      <c r="I119" s="557"/>
      <c r="J119" s="557"/>
      <c r="K119" s="558"/>
      <c r="L119" s="536"/>
    </row>
    <row r="120" spans="1:12" ht="14.25">
      <c r="A120" s="536"/>
      <c r="B120" s="551" t="s">
        <v>771</v>
      </c>
      <c r="C120" s="816">
        <v>2500000</v>
      </c>
      <c r="D120" s="816"/>
      <c r="E120" s="601" t="s">
        <v>140</v>
      </c>
      <c r="F120" s="571">
        <v>0.25</v>
      </c>
      <c r="G120" s="601" t="s">
        <v>718</v>
      </c>
      <c r="H120" s="592">
        <f>C120*F120</f>
        <v>625000</v>
      </c>
      <c r="I120" s="543" t="s">
        <v>747</v>
      </c>
      <c r="J120" s="543"/>
      <c r="K120" s="545"/>
      <c r="L120" s="536"/>
    </row>
    <row r="121" spans="1:12" ht="14.25">
      <c r="A121" s="536"/>
      <c r="B121" s="551"/>
      <c r="C121" s="543"/>
      <c r="D121" s="543"/>
      <c r="E121" s="601"/>
      <c r="F121" s="543"/>
      <c r="G121" s="543"/>
      <c r="H121" s="543"/>
      <c r="I121" s="543"/>
      <c r="J121" s="543"/>
      <c r="K121" s="545"/>
      <c r="L121" s="536"/>
    </row>
    <row r="122" spans="1:12" ht="14.25">
      <c r="A122" s="536"/>
      <c r="B122" s="556"/>
      <c r="C122" s="557" t="s">
        <v>748</v>
      </c>
      <c r="D122" s="557"/>
      <c r="E122" s="593"/>
      <c r="F122" s="557" t="s">
        <v>744</v>
      </c>
      <c r="G122" s="557"/>
      <c r="H122" s="557"/>
      <c r="I122" s="557"/>
      <c r="J122" s="557" t="s">
        <v>749</v>
      </c>
      <c r="K122" s="558"/>
      <c r="L122" s="536"/>
    </row>
    <row r="123" spans="1:12" ht="14.25">
      <c r="A123" s="536"/>
      <c r="B123" s="551" t="s">
        <v>772</v>
      </c>
      <c r="C123" s="805">
        <f>H120</f>
        <v>625000</v>
      </c>
      <c r="D123" s="805"/>
      <c r="E123" s="601" t="s">
        <v>140</v>
      </c>
      <c r="F123" s="553">
        <f>H117</f>
        <v>0.16025641025641027</v>
      </c>
      <c r="G123" s="601" t="s">
        <v>719</v>
      </c>
      <c r="H123" s="601">
        <v>1000</v>
      </c>
      <c r="I123" s="601" t="s">
        <v>718</v>
      </c>
      <c r="J123" s="594">
        <f>C123*F123/H123</f>
        <v>100.16025641025642</v>
      </c>
      <c r="K123" s="545"/>
      <c r="L123" s="536"/>
    </row>
    <row r="124" spans="1:12" ht="15" thickBot="1">
      <c r="A124" s="536"/>
      <c r="B124" s="546"/>
      <c r="C124" s="559"/>
      <c r="D124" s="559"/>
      <c r="E124" s="560"/>
      <c r="F124" s="561"/>
      <c r="G124" s="560"/>
      <c r="H124" s="560"/>
      <c r="I124" s="560"/>
      <c r="J124" s="562"/>
      <c r="K124" s="548"/>
      <c r="L124" s="536"/>
    </row>
    <row r="125" spans="1:12" ht="40.5" customHeight="1">
      <c r="A125" s="536"/>
      <c r="B125" s="817" t="s">
        <v>710</v>
      </c>
      <c r="C125" s="817"/>
      <c r="D125" s="817"/>
      <c r="E125" s="817"/>
      <c r="F125" s="817"/>
      <c r="G125" s="817"/>
      <c r="H125" s="817"/>
      <c r="I125" s="817"/>
      <c r="J125" s="817"/>
      <c r="K125" s="817"/>
      <c r="L125" s="574"/>
    </row>
    <row r="126" spans="1:12" ht="14.25">
      <c r="A126" s="536"/>
      <c r="B126" s="814" t="s">
        <v>757</v>
      </c>
      <c r="C126" s="814"/>
      <c r="D126" s="814"/>
      <c r="E126" s="814"/>
      <c r="F126" s="814"/>
      <c r="G126" s="814"/>
      <c r="H126" s="814"/>
      <c r="I126" s="814"/>
      <c r="J126" s="814"/>
      <c r="K126" s="814"/>
      <c r="L126" s="574"/>
    </row>
    <row r="127" spans="1:12" ht="14.25">
      <c r="A127" s="536"/>
      <c r="B127" s="597"/>
      <c r="C127" s="597"/>
      <c r="D127" s="597"/>
      <c r="E127" s="597"/>
      <c r="F127" s="597"/>
      <c r="G127" s="597"/>
      <c r="H127" s="597"/>
      <c r="I127" s="597"/>
      <c r="J127" s="597"/>
      <c r="K127" s="597"/>
      <c r="L127" s="574"/>
    </row>
    <row r="128" spans="1:12" ht="14.25">
      <c r="A128" s="536"/>
      <c r="B128" s="814" t="s">
        <v>758</v>
      </c>
      <c r="C128" s="814"/>
      <c r="D128" s="814"/>
      <c r="E128" s="814"/>
      <c r="F128" s="814"/>
      <c r="G128" s="814"/>
      <c r="H128" s="814"/>
      <c r="I128" s="814"/>
      <c r="J128" s="814"/>
      <c r="K128" s="814"/>
      <c r="L128" s="574"/>
    </row>
    <row r="129" spans="1:12" ht="14.25">
      <c r="A129" s="536"/>
      <c r="B129" s="595"/>
      <c r="C129" s="595"/>
      <c r="D129" s="595"/>
      <c r="E129" s="595"/>
      <c r="F129" s="595"/>
      <c r="G129" s="595"/>
      <c r="H129" s="595"/>
      <c r="I129" s="595"/>
      <c r="J129" s="595"/>
      <c r="K129" s="595"/>
      <c r="L129" s="574"/>
    </row>
    <row r="130" spans="1:12" ht="74.25" customHeight="1">
      <c r="A130" s="536"/>
      <c r="B130" s="815" t="s">
        <v>773</v>
      </c>
      <c r="C130" s="815"/>
      <c r="D130" s="815"/>
      <c r="E130" s="815"/>
      <c r="F130" s="815"/>
      <c r="G130" s="815"/>
      <c r="H130" s="815"/>
      <c r="I130" s="815"/>
      <c r="J130" s="815"/>
      <c r="K130" s="815"/>
      <c r="L130" s="574"/>
    </row>
    <row r="131" spans="1:12" ht="15" thickBot="1">
      <c r="A131" s="536"/>
      <c r="L131" s="536"/>
    </row>
    <row r="132" spans="1:12" ht="14.25">
      <c r="A132" s="536"/>
      <c r="B132" s="520" t="s">
        <v>714</v>
      </c>
      <c r="C132" s="540"/>
      <c r="D132" s="540"/>
      <c r="E132" s="540"/>
      <c r="F132" s="540"/>
      <c r="G132" s="540"/>
      <c r="H132" s="540"/>
      <c r="I132" s="540"/>
      <c r="J132" s="540"/>
      <c r="K132" s="541"/>
      <c r="L132" s="536"/>
    </row>
    <row r="133" spans="1:12" ht="14.25">
      <c r="A133" s="536"/>
      <c r="B133" s="551"/>
      <c r="C133" s="832" t="s">
        <v>759</v>
      </c>
      <c r="D133" s="832"/>
      <c r="E133" s="543"/>
      <c r="F133" s="601" t="s">
        <v>760</v>
      </c>
      <c r="G133" s="543"/>
      <c r="H133" s="832" t="s">
        <v>747</v>
      </c>
      <c r="I133" s="832"/>
      <c r="J133" s="543"/>
      <c r="K133" s="545"/>
      <c r="L133" s="536"/>
    </row>
    <row r="134" spans="1:12" ht="14.25">
      <c r="A134" s="536"/>
      <c r="B134" s="551" t="s">
        <v>741</v>
      </c>
      <c r="C134" s="816">
        <v>100000</v>
      </c>
      <c r="D134" s="816"/>
      <c r="E134" s="601" t="s">
        <v>140</v>
      </c>
      <c r="F134" s="601">
        <v>0.115</v>
      </c>
      <c r="G134" s="601" t="s">
        <v>718</v>
      </c>
      <c r="H134" s="806">
        <f>C134*F134</f>
        <v>11500</v>
      </c>
      <c r="I134" s="806"/>
      <c r="J134" s="543"/>
      <c r="K134" s="545"/>
      <c r="L134" s="536"/>
    </row>
    <row r="135" spans="1:12" ht="14.25">
      <c r="A135" s="536"/>
      <c r="B135" s="551"/>
      <c r="C135" s="543"/>
      <c r="D135" s="543"/>
      <c r="E135" s="543"/>
      <c r="F135" s="543"/>
      <c r="G135" s="543"/>
      <c r="H135" s="543"/>
      <c r="I135" s="543"/>
      <c r="J135" s="543"/>
      <c r="K135" s="545"/>
      <c r="L135" s="536"/>
    </row>
    <row r="136" spans="1:12" ht="14.25">
      <c r="A136" s="536"/>
      <c r="B136" s="556"/>
      <c r="C136" s="807" t="s">
        <v>747</v>
      </c>
      <c r="D136" s="807"/>
      <c r="E136" s="557"/>
      <c r="F136" s="593" t="s">
        <v>761</v>
      </c>
      <c r="G136" s="593"/>
      <c r="H136" s="557"/>
      <c r="I136" s="557"/>
      <c r="J136" s="557" t="s">
        <v>762</v>
      </c>
      <c r="K136" s="558"/>
      <c r="L136" s="536"/>
    </row>
    <row r="137" spans="1:12" ht="14.25">
      <c r="A137" s="536"/>
      <c r="B137" s="551" t="s">
        <v>746</v>
      </c>
      <c r="C137" s="806">
        <f>H134</f>
        <v>11500</v>
      </c>
      <c r="D137" s="806"/>
      <c r="E137" s="601" t="s">
        <v>140</v>
      </c>
      <c r="F137" s="575">
        <v>52.869</v>
      </c>
      <c r="G137" s="601" t="s">
        <v>719</v>
      </c>
      <c r="H137" s="601">
        <v>1000</v>
      </c>
      <c r="I137" s="601" t="s">
        <v>718</v>
      </c>
      <c r="J137" s="576">
        <f>C137*F137/H137</f>
        <v>607.9935</v>
      </c>
      <c r="K137" s="545"/>
      <c r="L137" s="536"/>
    </row>
    <row r="138" spans="1:12" ht="15" thickBot="1">
      <c r="A138" s="536"/>
      <c r="B138" s="546"/>
      <c r="C138" s="577"/>
      <c r="D138" s="577"/>
      <c r="E138" s="560"/>
      <c r="F138" s="578"/>
      <c r="G138" s="560"/>
      <c r="H138" s="560"/>
      <c r="I138" s="560"/>
      <c r="J138" s="579"/>
      <c r="K138" s="548"/>
      <c r="L138" s="536"/>
    </row>
    <row r="139" spans="1:12" ht="40.5" customHeight="1">
      <c r="A139" s="536"/>
      <c r="B139" s="524" t="s">
        <v>710</v>
      </c>
      <c r="C139" s="525"/>
      <c r="D139" s="525"/>
      <c r="E139" s="526"/>
      <c r="F139" s="527"/>
      <c r="G139" s="526"/>
      <c r="H139" s="526"/>
      <c r="I139" s="526"/>
      <c r="J139" s="528"/>
      <c r="K139" s="529"/>
      <c r="L139" s="536"/>
    </row>
    <row r="140" spans="1:12" ht="14.25">
      <c r="A140" s="536"/>
      <c r="B140" s="530" t="s">
        <v>774</v>
      </c>
      <c r="C140" s="531"/>
      <c r="D140" s="531"/>
      <c r="E140" s="532"/>
      <c r="F140" s="533"/>
      <c r="G140" s="532"/>
      <c r="H140" s="532"/>
      <c r="I140" s="532"/>
      <c r="J140" s="534"/>
      <c r="K140" s="535"/>
      <c r="L140" s="536"/>
    </row>
    <row r="141" spans="1:12" ht="14.25">
      <c r="A141" s="536"/>
      <c r="B141" s="551"/>
      <c r="C141" s="592"/>
      <c r="D141" s="592"/>
      <c r="E141" s="601"/>
      <c r="F141" s="580"/>
      <c r="G141" s="601"/>
      <c r="H141" s="601"/>
      <c r="I141" s="601"/>
      <c r="J141" s="576"/>
      <c r="K141" s="545"/>
      <c r="L141" s="536"/>
    </row>
    <row r="142" spans="1:12" ht="14.25">
      <c r="A142" s="536"/>
      <c r="B142" s="530" t="s">
        <v>775</v>
      </c>
      <c r="C142" s="531"/>
      <c r="D142" s="531"/>
      <c r="E142" s="532"/>
      <c r="F142" s="533"/>
      <c r="G142" s="532"/>
      <c r="H142" s="532"/>
      <c r="I142" s="532"/>
      <c r="J142" s="534"/>
      <c r="K142" s="535"/>
      <c r="L142" s="536"/>
    </row>
    <row r="143" spans="1:12" ht="14.25">
      <c r="A143" s="536"/>
      <c r="B143" s="551"/>
      <c r="C143" s="592"/>
      <c r="D143" s="592"/>
      <c r="E143" s="601"/>
      <c r="F143" s="580"/>
      <c r="G143" s="601"/>
      <c r="H143" s="601"/>
      <c r="I143" s="601"/>
      <c r="J143" s="576"/>
      <c r="K143" s="545"/>
      <c r="L143" s="536"/>
    </row>
    <row r="144" spans="1:12" ht="76.5" customHeight="1">
      <c r="A144" s="536"/>
      <c r="B144" s="808" t="s">
        <v>776</v>
      </c>
      <c r="C144" s="809"/>
      <c r="D144" s="809"/>
      <c r="E144" s="809"/>
      <c r="F144" s="809"/>
      <c r="G144" s="809"/>
      <c r="H144" s="809"/>
      <c r="I144" s="809"/>
      <c r="J144" s="809"/>
      <c r="K144" s="810"/>
      <c r="L144" s="536"/>
    </row>
    <row r="145" spans="1:12" ht="15" thickBot="1">
      <c r="A145" s="536"/>
      <c r="B145" s="551"/>
      <c r="C145" s="592"/>
      <c r="D145" s="592"/>
      <c r="E145" s="601"/>
      <c r="F145" s="580"/>
      <c r="G145" s="601"/>
      <c r="H145" s="601"/>
      <c r="I145" s="601"/>
      <c r="J145" s="576"/>
      <c r="K145" s="545"/>
      <c r="L145" s="536"/>
    </row>
    <row r="146" spans="1:12" ht="14.25">
      <c r="A146" s="536"/>
      <c r="B146" s="520" t="s">
        <v>714</v>
      </c>
      <c r="C146" s="581"/>
      <c r="D146" s="581"/>
      <c r="E146" s="582"/>
      <c r="F146" s="583"/>
      <c r="G146" s="582"/>
      <c r="H146" s="582"/>
      <c r="I146" s="582"/>
      <c r="J146" s="584"/>
      <c r="K146" s="541"/>
      <c r="L146" s="536"/>
    </row>
    <row r="147" spans="1:12" ht="14.25">
      <c r="A147" s="536"/>
      <c r="B147" s="551"/>
      <c r="C147" s="806" t="s">
        <v>777</v>
      </c>
      <c r="D147" s="806"/>
      <c r="E147" s="601"/>
      <c r="F147" s="580" t="s">
        <v>778</v>
      </c>
      <c r="G147" s="601"/>
      <c r="H147" s="601"/>
      <c r="I147" s="601"/>
      <c r="J147" s="803" t="s">
        <v>779</v>
      </c>
      <c r="K147" s="811"/>
      <c r="L147" s="536"/>
    </row>
    <row r="148" spans="1:12" ht="14.25">
      <c r="A148" s="536"/>
      <c r="B148" s="551"/>
      <c r="C148" s="802">
        <v>52.869</v>
      </c>
      <c r="D148" s="802"/>
      <c r="E148" s="601" t="s">
        <v>140</v>
      </c>
      <c r="F148" s="596">
        <v>312000000</v>
      </c>
      <c r="G148" s="585" t="s">
        <v>719</v>
      </c>
      <c r="H148" s="601">
        <v>1000</v>
      </c>
      <c r="I148" s="601" t="s">
        <v>718</v>
      </c>
      <c r="J148" s="803">
        <f>C148*(F148/1000)</f>
        <v>16495128</v>
      </c>
      <c r="K148" s="804"/>
      <c r="L148" s="536"/>
    </row>
    <row r="149" spans="1:12" ht="15" thickBot="1">
      <c r="A149" s="536"/>
      <c r="B149" s="546"/>
      <c r="C149" s="577"/>
      <c r="D149" s="577"/>
      <c r="E149" s="560"/>
      <c r="F149" s="578"/>
      <c r="G149" s="560"/>
      <c r="H149" s="560"/>
      <c r="I149" s="560"/>
      <c r="J149" s="579"/>
      <c r="K149" s="548"/>
      <c r="L149" s="536"/>
    </row>
    <row r="150" spans="1:12" ht="15" thickBot="1">
      <c r="A150" s="536"/>
      <c r="B150" s="546"/>
      <c r="C150" s="547"/>
      <c r="D150" s="547"/>
      <c r="E150" s="547"/>
      <c r="F150" s="547"/>
      <c r="G150" s="547"/>
      <c r="H150" s="547"/>
      <c r="I150" s="547"/>
      <c r="J150" s="547"/>
      <c r="K150" s="548"/>
      <c r="L150" s="536"/>
    </row>
    <row r="151" spans="1:12" ht="14.25">
      <c r="A151" s="536"/>
      <c r="B151" s="536"/>
      <c r="C151" s="536"/>
      <c r="D151" s="536"/>
      <c r="E151" s="536"/>
      <c r="F151" s="536"/>
      <c r="G151" s="536"/>
      <c r="H151" s="536"/>
      <c r="I151" s="536"/>
      <c r="J151" s="536"/>
      <c r="K151" s="536"/>
      <c r="L151" s="536"/>
    </row>
    <row r="152" spans="1:12" ht="14.25">
      <c r="A152" s="536"/>
      <c r="B152" s="536"/>
      <c r="C152" s="536"/>
      <c r="D152" s="536"/>
      <c r="E152" s="536"/>
      <c r="F152" s="536"/>
      <c r="G152" s="536"/>
      <c r="H152" s="536"/>
      <c r="I152" s="536"/>
      <c r="J152" s="536"/>
      <c r="K152" s="536"/>
      <c r="L152" s="536"/>
    </row>
    <row r="153" spans="1:12" ht="14.25">
      <c r="A153" s="536"/>
      <c r="B153" s="536"/>
      <c r="C153" s="536"/>
      <c r="D153" s="536"/>
      <c r="E153" s="536"/>
      <c r="F153" s="536"/>
      <c r="G153" s="536"/>
      <c r="H153" s="536"/>
      <c r="I153" s="536"/>
      <c r="J153" s="536"/>
      <c r="K153" s="536"/>
      <c r="L153" s="536"/>
    </row>
    <row r="154" spans="1:12" ht="14.25">
      <c r="A154" s="586"/>
      <c r="B154" s="586"/>
      <c r="C154" s="586"/>
      <c r="D154" s="586"/>
      <c r="E154" s="586"/>
      <c r="F154" s="586"/>
      <c r="G154" s="586"/>
      <c r="H154" s="586"/>
      <c r="I154" s="586"/>
      <c r="J154" s="586"/>
      <c r="K154" s="586"/>
      <c r="L154" s="586"/>
    </row>
    <row r="155" spans="1:12" ht="14.25">
      <c r="A155" s="586"/>
      <c r="B155" s="586"/>
      <c r="C155" s="586"/>
      <c r="D155" s="586"/>
      <c r="E155" s="586"/>
      <c r="F155" s="586"/>
      <c r="G155" s="586"/>
      <c r="H155" s="586"/>
      <c r="I155" s="586"/>
      <c r="J155" s="586"/>
      <c r="K155" s="586"/>
      <c r="L155" s="586"/>
    </row>
    <row r="156" spans="1:12" ht="14.25">
      <c r="A156" s="586"/>
      <c r="B156" s="586"/>
      <c r="C156" s="586"/>
      <c r="D156" s="586"/>
      <c r="E156" s="586"/>
      <c r="F156" s="586"/>
      <c r="G156" s="586"/>
      <c r="H156" s="586"/>
      <c r="I156" s="586"/>
      <c r="J156" s="586"/>
      <c r="K156" s="586"/>
      <c r="L156" s="586"/>
    </row>
    <row r="157" spans="1:12" ht="14.25">
      <c r="A157" s="586"/>
      <c r="B157" s="586"/>
      <c r="C157" s="586"/>
      <c r="D157" s="586"/>
      <c r="E157" s="586"/>
      <c r="F157" s="586"/>
      <c r="G157" s="586"/>
      <c r="H157" s="586"/>
      <c r="I157" s="586"/>
      <c r="J157" s="586"/>
      <c r="K157" s="586"/>
      <c r="L157" s="586"/>
    </row>
    <row r="158" spans="1:12" ht="14.25">
      <c r="A158" s="586"/>
      <c r="B158" s="586"/>
      <c r="C158" s="586"/>
      <c r="D158" s="586"/>
      <c r="E158" s="586"/>
      <c r="F158" s="586"/>
      <c r="G158" s="586"/>
      <c r="H158" s="586"/>
      <c r="I158" s="586"/>
      <c r="J158" s="586"/>
      <c r="K158" s="586"/>
      <c r="L158" s="586"/>
    </row>
    <row r="159" spans="1:12" ht="14.25">
      <c r="A159" s="586"/>
      <c r="B159" s="586"/>
      <c r="C159" s="586"/>
      <c r="D159" s="586"/>
      <c r="E159" s="586"/>
      <c r="F159" s="586"/>
      <c r="G159" s="586"/>
      <c r="H159" s="586"/>
      <c r="I159" s="586"/>
      <c r="J159" s="586"/>
      <c r="K159" s="586"/>
      <c r="L159" s="586"/>
    </row>
    <row r="160" spans="1:12" ht="14.25">
      <c r="A160" s="586"/>
      <c r="B160" s="586"/>
      <c r="C160" s="586"/>
      <c r="D160" s="586"/>
      <c r="E160" s="586"/>
      <c r="F160" s="586"/>
      <c r="G160" s="586"/>
      <c r="H160" s="586"/>
      <c r="I160" s="586"/>
      <c r="J160" s="586"/>
      <c r="K160" s="586"/>
      <c r="L160" s="586"/>
    </row>
    <row r="161" spans="1:12" ht="14.25">
      <c r="A161" s="586"/>
      <c r="B161" s="586"/>
      <c r="C161" s="586"/>
      <c r="D161" s="586"/>
      <c r="E161" s="586"/>
      <c r="F161" s="586"/>
      <c r="G161" s="586"/>
      <c r="H161" s="586"/>
      <c r="I161" s="586"/>
      <c r="J161" s="586"/>
      <c r="K161" s="586"/>
      <c r="L161" s="586"/>
    </row>
    <row r="162" spans="1:12" ht="14.25">
      <c r="A162" s="586"/>
      <c r="B162" s="586"/>
      <c r="C162" s="586"/>
      <c r="D162" s="586"/>
      <c r="E162" s="586"/>
      <c r="F162" s="586"/>
      <c r="G162" s="586"/>
      <c r="H162" s="586"/>
      <c r="I162" s="586"/>
      <c r="J162" s="586"/>
      <c r="K162" s="586"/>
      <c r="L162" s="586"/>
    </row>
    <row r="163" spans="1:12" ht="14.25">
      <c r="A163" s="586"/>
      <c r="B163" s="586"/>
      <c r="C163" s="586"/>
      <c r="D163" s="586"/>
      <c r="E163" s="586"/>
      <c r="F163" s="586"/>
      <c r="G163" s="586"/>
      <c r="H163" s="586"/>
      <c r="I163" s="586"/>
      <c r="J163" s="586"/>
      <c r="K163" s="586"/>
      <c r="L163" s="586"/>
    </row>
    <row r="164" spans="1:12" ht="14.25">
      <c r="A164" s="586"/>
      <c r="B164" s="586"/>
      <c r="C164" s="586"/>
      <c r="D164" s="586"/>
      <c r="E164" s="586"/>
      <c r="F164" s="586"/>
      <c r="G164" s="586"/>
      <c r="H164" s="586"/>
      <c r="I164" s="586"/>
      <c r="J164" s="586"/>
      <c r="K164" s="586"/>
      <c r="L164" s="586"/>
    </row>
    <row r="165" spans="1:12" ht="14.25">
      <c r="A165" s="586"/>
      <c r="B165" s="586"/>
      <c r="C165" s="586"/>
      <c r="D165" s="586"/>
      <c r="E165" s="586"/>
      <c r="F165" s="586"/>
      <c r="G165" s="586"/>
      <c r="H165" s="586"/>
      <c r="I165" s="586"/>
      <c r="J165" s="586"/>
      <c r="K165" s="586"/>
      <c r="L165" s="586"/>
    </row>
    <row r="166" spans="1:12" ht="14.25">
      <c r="A166" s="586"/>
      <c r="B166" s="586"/>
      <c r="C166" s="586"/>
      <c r="D166" s="586"/>
      <c r="E166" s="586"/>
      <c r="F166" s="586"/>
      <c r="G166" s="586"/>
      <c r="H166" s="586"/>
      <c r="I166" s="586"/>
      <c r="J166" s="586"/>
      <c r="K166" s="586"/>
      <c r="L166" s="586"/>
    </row>
    <row r="167" spans="1:12" ht="14.25">
      <c r="A167" s="586"/>
      <c r="B167" s="586"/>
      <c r="C167" s="586"/>
      <c r="D167" s="586"/>
      <c r="E167" s="586"/>
      <c r="F167" s="586"/>
      <c r="G167" s="586"/>
      <c r="H167" s="586"/>
      <c r="I167" s="586"/>
      <c r="J167" s="586"/>
      <c r="K167" s="586"/>
      <c r="L167" s="586"/>
    </row>
    <row r="168" spans="1:12" ht="14.25">
      <c r="A168" s="586"/>
      <c r="B168" s="586"/>
      <c r="C168" s="586"/>
      <c r="D168" s="586"/>
      <c r="E168" s="586"/>
      <c r="F168" s="586"/>
      <c r="G168" s="586"/>
      <c r="H168" s="586"/>
      <c r="I168" s="586"/>
      <c r="J168" s="586"/>
      <c r="K168" s="586"/>
      <c r="L168" s="586"/>
    </row>
    <row r="169" spans="1:12" ht="14.25">
      <c r="A169" s="586"/>
      <c r="B169" s="586"/>
      <c r="C169" s="586"/>
      <c r="D169" s="586"/>
      <c r="E169" s="586"/>
      <c r="F169" s="586"/>
      <c r="G169" s="586"/>
      <c r="H169" s="586"/>
      <c r="I169" s="586"/>
      <c r="J169" s="586"/>
      <c r="K169" s="586"/>
      <c r="L169" s="586"/>
    </row>
    <row r="170" spans="1:12" ht="14.25">
      <c r="A170" s="586"/>
      <c r="B170" s="586"/>
      <c r="C170" s="586"/>
      <c r="D170" s="586"/>
      <c r="E170" s="586"/>
      <c r="F170" s="586"/>
      <c r="G170" s="586"/>
      <c r="H170" s="586"/>
      <c r="I170" s="586"/>
      <c r="J170" s="586"/>
      <c r="K170" s="586"/>
      <c r="L170" s="586"/>
    </row>
    <row r="171" spans="1:12" ht="14.25">
      <c r="A171" s="586"/>
      <c r="B171" s="586"/>
      <c r="C171" s="586"/>
      <c r="D171" s="586"/>
      <c r="E171" s="586"/>
      <c r="F171" s="586"/>
      <c r="G171" s="586"/>
      <c r="H171" s="586"/>
      <c r="I171" s="586"/>
      <c r="J171" s="586"/>
      <c r="K171" s="586"/>
      <c r="L171" s="586"/>
    </row>
    <row r="172" spans="1:12" ht="14.25">
      <c r="A172" s="586"/>
      <c r="B172" s="586"/>
      <c r="C172" s="586"/>
      <c r="D172" s="586"/>
      <c r="E172" s="586"/>
      <c r="F172" s="586"/>
      <c r="G172" s="586"/>
      <c r="H172" s="586"/>
      <c r="I172" s="586"/>
      <c r="J172" s="586"/>
      <c r="K172" s="586"/>
      <c r="L172" s="586"/>
    </row>
    <row r="173" spans="1:12" ht="14.25">
      <c r="A173" s="586"/>
      <c r="B173" s="586"/>
      <c r="C173" s="586"/>
      <c r="D173" s="586"/>
      <c r="E173" s="586"/>
      <c r="F173" s="586"/>
      <c r="G173" s="586"/>
      <c r="H173" s="586"/>
      <c r="I173" s="586"/>
      <c r="J173" s="586"/>
      <c r="K173" s="586"/>
      <c r="L173" s="586"/>
    </row>
    <row r="174" spans="1:12" ht="14.25">
      <c r="A174" s="586"/>
      <c r="B174" s="586"/>
      <c r="C174" s="586"/>
      <c r="D174" s="586"/>
      <c r="E174" s="586"/>
      <c r="F174" s="586"/>
      <c r="G174" s="586"/>
      <c r="H174" s="586"/>
      <c r="I174" s="586"/>
      <c r="J174" s="586"/>
      <c r="K174" s="586"/>
      <c r="L174" s="586"/>
    </row>
    <row r="175" spans="1:12" ht="14.25">
      <c r="A175" s="586"/>
      <c r="B175" s="586"/>
      <c r="C175" s="586"/>
      <c r="D175" s="586"/>
      <c r="E175" s="586"/>
      <c r="F175" s="586"/>
      <c r="G175" s="586"/>
      <c r="H175" s="586"/>
      <c r="I175" s="586"/>
      <c r="J175" s="586"/>
      <c r="K175" s="586"/>
      <c r="L175" s="586"/>
    </row>
    <row r="176" spans="1:12" ht="14.25">
      <c r="A176" s="586"/>
      <c r="B176" s="586"/>
      <c r="C176" s="586"/>
      <c r="D176" s="586"/>
      <c r="E176" s="586"/>
      <c r="F176" s="586"/>
      <c r="G176" s="586"/>
      <c r="H176" s="586"/>
      <c r="I176" s="586"/>
      <c r="J176" s="586"/>
      <c r="K176" s="586"/>
      <c r="L176" s="586"/>
    </row>
    <row r="177" spans="1:12" ht="14.25">
      <c r="A177" s="586"/>
      <c r="B177" s="586"/>
      <c r="C177" s="586"/>
      <c r="D177" s="586"/>
      <c r="E177" s="586"/>
      <c r="F177" s="586"/>
      <c r="G177" s="586"/>
      <c r="H177" s="586"/>
      <c r="I177" s="586"/>
      <c r="J177" s="586"/>
      <c r="K177" s="586"/>
      <c r="L177" s="586"/>
    </row>
    <row r="178" spans="1:12" ht="14.25">
      <c r="A178" s="586"/>
      <c r="B178" s="586"/>
      <c r="C178" s="586"/>
      <c r="D178" s="586"/>
      <c r="E178" s="586"/>
      <c r="F178" s="586"/>
      <c r="G178" s="586"/>
      <c r="H178" s="586"/>
      <c r="I178" s="586"/>
      <c r="J178" s="586"/>
      <c r="K178" s="586"/>
      <c r="L178" s="586"/>
    </row>
    <row r="179" spans="1:12" ht="14.25">
      <c r="A179" s="586"/>
      <c r="B179" s="586"/>
      <c r="C179" s="586"/>
      <c r="D179" s="586"/>
      <c r="E179" s="586"/>
      <c r="F179" s="586"/>
      <c r="G179" s="586"/>
      <c r="H179" s="586"/>
      <c r="I179" s="586"/>
      <c r="J179" s="586"/>
      <c r="K179" s="586"/>
      <c r="L179" s="586"/>
    </row>
    <row r="180" spans="1:12" ht="14.25">
      <c r="A180" s="586"/>
      <c r="B180" s="586"/>
      <c r="C180" s="586"/>
      <c r="D180" s="586"/>
      <c r="E180" s="586"/>
      <c r="F180" s="586"/>
      <c r="G180" s="586"/>
      <c r="H180" s="586"/>
      <c r="I180" s="586"/>
      <c r="J180" s="586"/>
      <c r="K180" s="586"/>
      <c r="L180" s="586"/>
    </row>
    <row r="181" spans="1:12" ht="14.25">
      <c r="A181" s="586"/>
      <c r="B181" s="586"/>
      <c r="C181" s="586"/>
      <c r="D181" s="586"/>
      <c r="E181" s="586"/>
      <c r="F181" s="586"/>
      <c r="G181" s="586"/>
      <c r="H181" s="586"/>
      <c r="I181" s="586"/>
      <c r="J181" s="586"/>
      <c r="K181" s="586"/>
      <c r="L181" s="586"/>
    </row>
    <row r="182" spans="1:12" ht="14.25">
      <c r="A182" s="586"/>
      <c r="B182" s="586"/>
      <c r="C182" s="586"/>
      <c r="D182" s="586"/>
      <c r="E182" s="586"/>
      <c r="F182" s="586"/>
      <c r="G182" s="586"/>
      <c r="H182" s="586"/>
      <c r="I182" s="586"/>
      <c r="J182" s="586"/>
      <c r="K182" s="586"/>
      <c r="L182" s="586"/>
    </row>
    <row r="183" spans="1:12" ht="14.25">
      <c r="A183" s="586"/>
      <c r="B183" s="586"/>
      <c r="C183" s="586"/>
      <c r="D183" s="586"/>
      <c r="E183" s="586"/>
      <c r="F183" s="586"/>
      <c r="G183" s="586"/>
      <c r="H183" s="586"/>
      <c r="I183" s="586"/>
      <c r="J183" s="586"/>
      <c r="K183" s="586"/>
      <c r="L183" s="586"/>
    </row>
    <row r="184" spans="1:12" ht="14.25">
      <c r="A184" s="586"/>
      <c r="B184" s="586"/>
      <c r="C184" s="586"/>
      <c r="D184" s="586"/>
      <c r="E184" s="586"/>
      <c r="F184" s="586"/>
      <c r="G184" s="586"/>
      <c r="H184" s="586"/>
      <c r="I184" s="586"/>
      <c r="J184" s="586"/>
      <c r="K184" s="586"/>
      <c r="L184" s="586"/>
    </row>
    <row r="185" spans="1:12" ht="14.25">
      <c r="A185" s="586"/>
      <c r="B185" s="586"/>
      <c r="C185" s="586"/>
      <c r="D185" s="586"/>
      <c r="E185" s="586"/>
      <c r="F185" s="586"/>
      <c r="G185" s="586"/>
      <c r="H185" s="586"/>
      <c r="I185" s="586"/>
      <c r="J185" s="586"/>
      <c r="K185" s="586"/>
      <c r="L185" s="586"/>
    </row>
    <row r="186" spans="1:12" ht="14.25">
      <c r="A186" s="586"/>
      <c r="B186" s="586"/>
      <c r="C186" s="586"/>
      <c r="D186" s="586"/>
      <c r="E186" s="586"/>
      <c r="F186" s="586"/>
      <c r="G186" s="586"/>
      <c r="H186" s="586"/>
      <c r="I186" s="586"/>
      <c r="J186" s="586"/>
      <c r="K186" s="586"/>
      <c r="L186" s="586"/>
    </row>
    <row r="187" spans="1:12" ht="14.25">
      <c r="A187" s="586"/>
      <c r="B187" s="586"/>
      <c r="C187" s="586"/>
      <c r="D187" s="586"/>
      <c r="E187" s="586"/>
      <c r="F187" s="586"/>
      <c r="G187" s="586"/>
      <c r="H187" s="586"/>
      <c r="I187" s="586"/>
      <c r="J187" s="586"/>
      <c r="K187" s="586"/>
      <c r="L187" s="586"/>
    </row>
    <row r="188" spans="1:12" ht="14.25">
      <c r="A188" s="586"/>
      <c r="B188" s="586"/>
      <c r="C188" s="586"/>
      <c r="D188" s="586"/>
      <c r="E188" s="586"/>
      <c r="F188" s="586"/>
      <c r="G188" s="586"/>
      <c r="H188" s="586"/>
      <c r="I188" s="586"/>
      <c r="J188" s="586"/>
      <c r="K188" s="586"/>
      <c r="L188" s="586"/>
    </row>
    <row r="189" spans="1:12" ht="14.25">
      <c r="A189" s="586"/>
      <c r="B189" s="586"/>
      <c r="C189" s="586"/>
      <c r="D189" s="586"/>
      <c r="E189" s="586"/>
      <c r="F189" s="586"/>
      <c r="G189" s="586"/>
      <c r="H189" s="586"/>
      <c r="I189" s="586"/>
      <c r="J189" s="586"/>
      <c r="K189" s="586"/>
      <c r="L189" s="586"/>
    </row>
    <row r="190" spans="1:12" ht="14.25">
      <c r="A190" s="586"/>
      <c r="B190" s="586"/>
      <c r="C190" s="586"/>
      <c r="D190" s="586"/>
      <c r="E190" s="586"/>
      <c r="F190" s="586"/>
      <c r="G190" s="586"/>
      <c r="H190" s="586"/>
      <c r="I190" s="586"/>
      <c r="J190" s="586"/>
      <c r="K190" s="586"/>
      <c r="L190" s="586"/>
    </row>
    <row r="191" spans="1:12" ht="14.25">
      <c r="A191" s="586"/>
      <c r="B191" s="586"/>
      <c r="C191" s="586"/>
      <c r="D191" s="586"/>
      <c r="E191" s="586"/>
      <c r="F191" s="586"/>
      <c r="G191" s="586"/>
      <c r="H191" s="586"/>
      <c r="I191" s="586"/>
      <c r="J191" s="586"/>
      <c r="K191" s="586"/>
      <c r="L191" s="586"/>
    </row>
    <row r="192" spans="1:12" ht="14.25">
      <c r="A192" s="586"/>
      <c r="B192" s="586"/>
      <c r="C192" s="586"/>
      <c r="D192" s="586"/>
      <c r="E192" s="586"/>
      <c r="F192" s="586"/>
      <c r="G192" s="586"/>
      <c r="H192" s="586"/>
      <c r="I192" s="586"/>
      <c r="J192" s="586"/>
      <c r="K192" s="586"/>
      <c r="L192" s="586"/>
    </row>
    <row r="193" spans="1:12" ht="14.25">
      <c r="A193" s="586"/>
      <c r="B193" s="586"/>
      <c r="C193" s="586"/>
      <c r="D193" s="586"/>
      <c r="E193" s="586"/>
      <c r="F193" s="586"/>
      <c r="G193" s="586"/>
      <c r="H193" s="586"/>
      <c r="I193" s="586"/>
      <c r="J193" s="586"/>
      <c r="K193" s="586"/>
      <c r="L193" s="586"/>
    </row>
    <row r="194" spans="1:12" ht="14.25">
      <c r="A194" s="586"/>
      <c r="B194" s="586"/>
      <c r="C194" s="586"/>
      <c r="D194" s="586"/>
      <c r="E194" s="586"/>
      <c r="F194" s="586"/>
      <c r="G194" s="586"/>
      <c r="H194" s="586"/>
      <c r="I194" s="586"/>
      <c r="J194" s="586"/>
      <c r="K194" s="586"/>
      <c r="L194" s="586"/>
    </row>
    <row r="195" spans="1:12" ht="14.25">
      <c r="A195" s="586"/>
      <c r="B195" s="586"/>
      <c r="C195" s="586"/>
      <c r="D195" s="586"/>
      <c r="E195" s="586"/>
      <c r="F195" s="586"/>
      <c r="G195" s="586"/>
      <c r="H195" s="586"/>
      <c r="I195" s="586"/>
      <c r="J195" s="586"/>
      <c r="K195" s="586"/>
      <c r="L195" s="586"/>
    </row>
    <row r="196" spans="1:12" ht="14.25">
      <c r="A196" s="586"/>
      <c r="B196" s="586"/>
      <c r="C196" s="586"/>
      <c r="D196" s="586"/>
      <c r="E196" s="586"/>
      <c r="F196" s="586"/>
      <c r="G196" s="586"/>
      <c r="H196" s="586"/>
      <c r="I196" s="586"/>
      <c r="J196" s="586"/>
      <c r="K196" s="586"/>
      <c r="L196" s="586"/>
    </row>
    <row r="197" spans="1:12" ht="14.25">
      <c r="A197" s="586"/>
      <c r="B197" s="586"/>
      <c r="C197" s="586"/>
      <c r="D197" s="586"/>
      <c r="E197" s="586"/>
      <c r="F197" s="586"/>
      <c r="G197" s="586"/>
      <c r="H197" s="586"/>
      <c r="I197" s="586"/>
      <c r="J197" s="586"/>
      <c r="K197" s="586"/>
      <c r="L197" s="586"/>
    </row>
    <row r="198" spans="1:12" ht="14.25">
      <c r="A198" s="586"/>
      <c r="B198" s="586"/>
      <c r="C198" s="586"/>
      <c r="D198" s="586"/>
      <c r="E198" s="586"/>
      <c r="F198" s="586"/>
      <c r="G198" s="586"/>
      <c r="H198" s="586"/>
      <c r="I198" s="586"/>
      <c r="J198" s="586"/>
      <c r="K198" s="586"/>
      <c r="L198" s="586"/>
    </row>
    <row r="199" spans="1:12" ht="14.25">
      <c r="A199" s="586"/>
      <c r="B199" s="586"/>
      <c r="C199" s="586"/>
      <c r="D199" s="586"/>
      <c r="E199" s="586"/>
      <c r="F199" s="586"/>
      <c r="G199" s="586"/>
      <c r="H199" s="586"/>
      <c r="I199" s="586"/>
      <c r="J199" s="586"/>
      <c r="K199" s="586"/>
      <c r="L199" s="586"/>
    </row>
    <row r="200" spans="1:12" ht="14.25">
      <c r="A200" s="586"/>
      <c r="B200" s="586"/>
      <c r="C200" s="586"/>
      <c r="D200" s="586"/>
      <c r="E200" s="586"/>
      <c r="F200" s="586"/>
      <c r="G200" s="586"/>
      <c r="H200" s="586"/>
      <c r="I200" s="586"/>
      <c r="J200" s="586"/>
      <c r="K200" s="586"/>
      <c r="L200" s="586"/>
    </row>
    <row r="201" spans="1:12" ht="14.25">
      <c r="A201" s="586"/>
      <c r="B201" s="586"/>
      <c r="C201" s="586"/>
      <c r="D201" s="586"/>
      <c r="E201" s="586"/>
      <c r="F201" s="586"/>
      <c r="G201" s="586"/>
      <c r="H201" s="586"/>
      <c r="I201" s="586"/>
      <c r="J201" s="586"/>
      <c r="K201" s="586"/>
      <c r="L201" s="586"/>
    </row>
    <row r="202" spans="1:12" ht="14.25">
      <c r="A202" s="586"/>
      <c r="B202" s="586"/>
      <c r="C202" s="586"/>
      <c r="D202" s="586"/>
      <c r="E202" s="586"/>
      <c r="F202" s="586"/>
      <c r="G202" s="586"/>
      <c r="H202" s="586"/>
      <c r="I202" s="586"/>
      <c r="J202" s="586"/>
      <c r="K202" s="586"/>
      <c r="L202" s="586"/>
    </row>
    <row r="203" spans="1:12" ht="14.25">
      <c r="A203" s="586"/>
      <c r="B203" s="586"/>
      <c r="C203" s="586"/>
      <c r="D203" s="586"/>
      <c r="E203" s="586"/>
      <c r="F203" s="586"/>
      <c r="G203" s="586"/>
      <c r="H203" s="586"/>
      <c r="I203" s="586"/>
      <c r="J203" s="586"/>
      <c r="K203" s="586"/>
      <c r="L203" s="586"/>
    </row>
    <row r="204" spans="1:12" ht="14.25">
      <c r="A204" s="586"/>
      <c r="B204" s="586"/>
      <c r="C204" s="586"/>
      <c r="D204" s="586"/>
      <c r="E204" s="586"/>
      <c r="F204" s="586"/>
      <c r="G204" s="586"/>
      <c r="H204" s="586"/>
      <c r="I204" s="586"/>
      <c r="J204" s="586"/>
      <c r="K204" s="586"/>
      <c r="L204" s="586"/>
    </row>
    <row r="205" spans="1:12" ht="14.25">
      <c r="A205" s="586"/>
      <c r="B205" s="586"/>
      <c r="C205" s="586"/>
      <c r="D205" s="586"/>
      <c r="E205" s="586"/>
      <c r="F205" s="586"/>
      <c r="G205" s="586"/>
      <c r="H205" s="586"/>
      <c r="I205" s="586"/>
      <c r="J205" s="586"/>
      <c r="K205" s="586"/>
      <c r="L205" s="586"/>
    </row>
    <row r="206" spans="1:12" ht="14.25">
      <c r="A206" s="586"/>
      <c r="B206" s="586"/>
      <c r="C206" s="586"/>
      <c r="D206" s="586"/>
      <c r="E206" s="586"/>
      <c r="F206" s="586"/>
      <c r="G206" s="586"/>
      <c r="H206" s="586"/>
      <c r="I206" s="586"/>
      <c r="J206" s="586"/>
      <c r="K206" s="586"/>
      <c r="L206" s="586"/>
    </row>
    <row r="207" spans="1:12" ht="14.25">
      <c r="A207" s="586"/>
      <c r="B207" s="586"/>
      <c r="C207" s="586"/>
      <c r="D207" s="586"/>
      <c r="E207" s="586"/>
      <c r="F207" s="586"/>
      <c r="G207" s="586"/>
      <c r="H207" s="586"/>
      <c r="I207" s="586"/>
      <c r="J207" s="586"/>
      <c r="K207" s="586"/>
      <c r="L207" s="586"/>
    </row>
    <row r="208" spans="1:12" ht="14.25">
      <c r="A208" s="586"/>
      <c r="B208" s="586"/>
      <c r="C208" s="586"/>
      <c r="D208" s="586"/>
      <c r="E208" s="586"/>
      <c r="F208" s="586"/>
      <c r="G208" s="586"/>
      <c r="H208" s="586"/>
      <c r="I208" s="586"/>
      <c r="J208" s="586"/>
      <c r="K208" s="586"/>
      <c r="L208" s="586"/>
    </row>
    <row r="209" spans="1:12" ht="14.25">
      <c r="A209" s="586"/>
      <c r="B209" s="586"/>
      <c r="C209" s="586"/>
      <c r="D209" s="586"/>
      <c r="E209" s="586"/>
      <c r="F209" s="586"/>
      <c r="G209" s="586"/>
      <c r="H209" s="586"/>
      <c r="I209" s="586"/>
      <c r="J209" s="586"/>
      <c r="K209" s="586"/>
      <c r="L209" s="586"/>
    </row>
    <row r="210" spans="1:12" ht="14.25">
      <c r="A210" s="586"/>
      <c r="B210" s="586"/>
      <c r="C210" s="586"/>
      <c r="D210" s="586"/>
      <c r="E210" s="586"/>
      <c r="F210" s="586"/>
      <c r="G210" s="586"/>
      <c r="H210" s="586"/>
      <c r="I210" s="586"/>
      <c r="J210" s="586"/>
      <c r="K210" s="586"/>
      <c r="L210" s="586"/>
    </row>
    <row r="211" spans="1:12" ht="14.25">
      <c r="A211" s="586"/>
      <c r="B211" s="586"/>
      <c r="C211" s="586"/>
      <c r="D211" s="586"/>
      <c r="E211" s="586"/>
      <c r="F211" s="586"/>
      <c r="G211" s="586"/>
      <c r="H211" s="586"/>
      <c r="I211" s="586"/>
      <c r="J211" s="586"/>
      <c r="K211" s="586"/>
      <c r="L211" s="586"/>
    </row>
    <row r="212" spans="1:12" ht="14.25">
      <c r="A212" s="586"/>
      <c r="B212" s="586"/>
      <c r="C212" s="586"/>
      <c r="D212" s="586"/>
      <c r="E212" s="586"/>
      <c r="F212" s="586"/>
      <c r="G212" s="586"/>
      <c r="H212" s="586"/>
      <c r="I212" s="586"/>
      <c r="J212" s="586"/>
      <c r="K212" s="586"/>
      <c r="L212" s="586"/>
    </row>
    <row r="213" spans="1:12" ht="14.25">
      <c r="A213" s="586"/>
      <c r="B213" s="586"/>
      <c r="C213" s="586"/>
      <c r="D213" s="586"/>
      <c r="E213" s="586"/>
      <c r="F213" s="586"/>
      <c r="G213" s="586"/>
      <c r="H213" s="586"/>
      <c r="I213" s="586"/>
      <c r="J213" s="586"/>
      <c r="K213" s="586"/>
      <c r="L213" s="586"/>
    </row>
    <row r="214" spans="1:12" ht="14.25">
      <c r="A214" s="586"/>
      <c r="B214" s="586"/>
      <c r="C214" s="586"/>
      <c r="D214" s="586"/>
      <c r="E214" s="586"/>
      <c r="F214" s="586"/>
      <c r="G214" s="586"/>
      <c r="H214" s="586"/>
      <c r="I214" s="586"/>
      <c r="J214" s="586"/>
      <c r="K214" s="586"/>
      <c r="L214" s="586"/>
    </row>
    <row r="215" spans="1:12" ht="14.25">
      <c r="A215" s="586"/>
      <c r="B215" s="586"/>
      <c r="C215" s="586"/>
      <c r="D215" s="586"/>
      <c r="E215" s="586"/>
      <c r="F215" s="586"/>
      <c r="G215" s="586"/>
      <c r="H215" s="586"/>
      <c r="I215" s="586"/>
      <c r="J215" s="586"/>
      <c r="K215" s="586"/>
      <c r="L215" s="586"/>
    </row>
    <row r="216" spans="1:12" ht="14.25">
      <c r="A216" s="586"/>
      <c r="B216" s="586"/>
      <c r="C216" s="586"/>
      <c r="D216" s="586"/>
      <c r="E216" s="586"/>
      <c r="F216" s="586"/>
      <c r="G216" s="586"/>
      <c r="H216" s="586"/>
      <c r="I216" s="586"/>
      <c r="J216" s="586"/>
      <c r="K216" s="586"/>
      <c r="L216" s="586"/>
    </row>
    <row r="217" spans="1:12" ht="14.25">
      <c r="A217" s="586"/>
      <c r="B217" s="586"/>
      <c r="C217" s="586"/>
      <c r="D217" s="586"/>
      <c r="E217" s="586"/>
      <c r="F217" s="586"/>
      <c r="G217" s="586"/>
      <c r="H217" s="586"/>
      <c r="I217" s="586"/>
      <c r="J217" s="586"/>
      <c r="K217" s="586"/>
      <c r="L217" s="586"/>
    </row>
    <row r="218" spans="1:12" ht="14.25">
      <c r="A218" s="586"/>
      <c r="B218" s="586"/>
      <c r="C218" s="586"/>
      <c r="D218" s="586"/>
      <c r="E218" s="586"/>
      <c r="F218" s="586"/>
      <c r="G218" s="586"/>
      <c r="H218" s="586"/>
      <c r="I218" s="586"/>
      <c r="J218" s="586"/>
      <c r="K218" s="586"/>
      <c r="L218" s="586"/>
    </row>
    <row r="219" spans="1:12" ht="14.25">
      <c r="A219" s="586"/>
      <c r="B219" s="586"/>
      <c r="C219" s="586"/>
      <c r="D219" s="586"/>
      <c r="E219" s="586"/>
      <c r="F219" s="586"/>
      <c r="G219" s="586"/>
      <c r="H219" s="586"/>
      <c r="I219" s="586"/>
      <c r="J219" s="586"/>
      <c r="K219" s="586"/>
      <c r="L219" s="586"/>
    </row>
    <row r="220" spans="1:12" ht="14.25">
      <c r="A220" s="586"/>
      <c r="B220" s="586"/>
      <c r="C220" s="586"/>
      <c r="D220" s="586"/>
      <c r="E220" s="586"/>
      <c r="F220" s="586"/>
      <c r="G220" s="586"/>
      <c r="H220" s="586"/>
      <c r="I220" s="586"/>
      <c r="J220" s="586"/>
      <c r="K220" s="586"/>
      <c r="L220" s="586"/>
    </row>
    <row r="221" spans="1:12" ht="14.25">
      <c r="A221" s="586"/>
      <c r="B221" s="586"/>
      <c r="C221" s="586"/>
      <c r="D221" s="586"/>
      <c r="E221" s="586"/>
      <c r="F221" s="586"/>
      <c r="G221" s="586"/>
      <c r="H221" s="586"/>
      <c r="I221" s="586"/>
      <c r="J221" s="586"/>
      <c r="K221" s="586"/>
      <c r="L221" s="586"/>
    </row>
    <row r="222" spans="1:12" ht="14.25">
      <c r="A222" s="586"/>
      <c r="B222" s="586"/>
      <c r="C222" s="586"/>
      <c r="D222" s="586"/>
      <c r="E222" s="586"/>
      <c r="F222" s="586"/>
      <c r="G222" s="586"/>
      <c r="H222" s="586"/>
      <c r="I222" s="586"/>
      <c r="J222" s="586"/>
      <c r="K222" s="586"/>
      <c r="L222" s="586"/>
    </row>
    <row r="223" spans="1:12" ht="14.25">
      <c r="A223" s="586"/>
      <c r="B223" s="586"/>
      <c r="C223" s="586"/>
      <c r="D223" s="586"/>
      <c r="E223" s="586"/>
      <c r="F223" s="586"/>
      <c r="G223" s="586"/>
      <c r="H223" s="586"/>
      <c r="I223" s="586"/>
      <c r="J223" s="586"/>
      <c r="K223" s="586"/>
      <c r="L223" s="586"/>
    </row>
    <row r="224" spans="1:12" ht="14.25">
      <c r="A224" s="586"/>
      <c r="B224" s="586"/>
      <c r="C224" s="586"/>
      <c r="D224" s="586"/>
      <c r="E224" s="586"/>
      <c r="F224" s="586"/>
      <c r="G224" s="586"/>
      <c r="H224" s="586"/>
      <c r="I224" s="586"/>
      <c r="J224" s="586"/>
      <c r="K224" s="586"/>
      <c r="L224" s="586"/>
    </row>
    <row r="225" spans="1:12" ht="14.25">
      <c r="A225" s="586"/>
      <c r="B225" s="586"/>
      <c r="C225" s="586"/>
      <c r="D225" s="586"/>
      <c r="E225" s="586"/>
      <c r="F225" s="586"/>
      <c r="G225" s="586"/>
      <c r="H225" s="586"/>
      <c r="I225" s="586"/>
      <c r="J225" s="586"/>
      <c r="K225" s="586"/>
      <c r="L225" s="586"/>
    </row>
    <row r="226" spans="1:12" ht="14.25">
      <c r="A226" s="586"/>
      <c r="B226" s="586"/>
      <c r="C226" s="586"/>
      <c r="D226" s="586"/>
      <c r="E226" s="586"/>
      <c r="F226" s="586"/>
      <c r="G226" s="586"/>
      <c r="H226" s="586"/>
      <c r="I226" s="586"/>
      <c r="J226" s="586"/>
      <c r="K226" s="586"/>
      <c r="L226" s="586"/>
    </row>
    <row r="227" spans="1:12" ht="14.25">
      <c r="A227" s="586"/>
      <c r="B227" s="586"/>
      <c r="C227" s="586"/>
      <c r="D227" s="586"/>
      <c r="E227" s="586"/>
      <c r="F227" s="586"/>
      <c r="G227" s="586"/>
      <c r="H227" s="586"/>
      <c r="I227" s="586"/>
      <c r="J227" s="586"/>
      <c r="K227" s="586"/>
      <c r="L227" s="586"/>
    </row>
    <row r="228" spans="1:12" ht="14.25">
      <c r="A228" s="586"/>
      <c r="B228" s="586"/>
      <c r="C228" s="586"/>
      <c r="D228" s="586"/>
      <c r="E228" s="586"/>
      <c r="F228" s="586"/>
      <c r="G228" s="586"/>
      <c r="H228" s="586"/>
      <c r="I228" s="586"/>
      <c r="J228" s="586"/>
      <c r="K228" s="586"/>
      <c r="L228" s="586"/>
    </row>
    <row r="229" spans="1:12" ht="14.25">
      <c r="A229" s="586"/>
      <c r="B229" s="586"/>
      <c r="C229" s="586"/>
      <c r="D229" s="586"/>
      <c r="E229" s="586"/>
      <c r="F229" s="586"/>
      <c r="G229" s="586"/>
      <c r="H229" s="586"/>
      <c r="I229" s="586"/>
      <c r="J229" s="586"/>
      <c r="K229" s="586"/>
      <c r="L229" s="586"/>
    </row>
    <row r="230" spans="1:12" ht="14.25">
      <c r="A230" s="586"/>
      <c r="B230" s="586"/>
      <c r="C230" s="586"/>
      <c r="D230" s="586"/>
      <c r="E230" s="586"/>
      <c r="F230" s="586"/>
      <c r="G230" s="586"/>
      <c r="H230" s="586"/>
      <c r="I230" s="586"/>
      <c r="J230" s="586"/>
      <c r="K230" s="586"/>
      <c r="L230" s="586"/>
    </row>
    <row r="231" spans="1:12" ht="14.25">
      <c r="A231" s="586"/>
      <c r="B231" s="586"/>
      <c r="C231" s="586"/>
      <c r="D231" s="586"/>
      <c r="E231" s="586"/>
      <c r="F231" s="586"/>
      <c r="G231" s="586"/>
      <c r="H231" s="586"/>
      <c r="I231" s="586"/>
      <c r="J231" s="586"/>
      <c r="K231" s="586"/>
      <c r="L231" s="586"/>
    </row>
    <row r="232" spans="1:12" ht="14.25">
      <c r="A232" s="586"/>
      <c r="B232" s="586"/>
      <c r="C232" s="586"/>
      <c r="D232" s="586"/>
      <c r="E232" s="586"/>
      <c r="F232" s="586"/>
      <c r="G232" s="586"/>
      <c r="H232" s="586"/>
      <c r="I232" s="586"/>
      <c r="J232" s="586"/>
      <c r="K232" s="586"/>
      <c r="L232" s="586"/>
    </row>
    <row r="233" spans="1:12" ht="14.25">
      <c r="A233" s="586"/>
      <c r="B233" s="586"/>
      <c r="C233" s="586"/>
      <c r="D233" s="586"/>
      <c r="E233" s="586"/>
      <c r="F233" s="586"/>
      <c r="G233" s="586"/>
      <c r="H233" s="586"/>
      <c r="I233" s="586"/>
      <c r="J233" s="586"/>
      <c r="K233" s="586"/>
      <c r="L233" s="586"/>
    </row>
    <row r="234" spans="1:12" ht="14.25">
      <c r="A234" s="586"/>
      <c r="B234" s="586"/>
      <c r="C234" s="586"/>
      <c r="D234" s="586"/>
      <c r="E234" s="586"/>
      <c r="F234" s="586"/>
      <c r="G234" s="586"/>
      <c r="H234" s="586"/>
      <c r="I234" s="586"/>
      <c r="J234" s="586"/>
      <c r="K234" s="586"/>
      <c r="L234" s="586"/>
    </row>
    <row r="235" spans="1:12" ht="14.25">
      <c r="A235" s="586"/>
      <c r="B235" s="586"/>
      <c r="C235" s="586"/>
      <c r="D235" s="586"/>
      <c r="E235" s="586"/>
      <c r="F235" s="586"/>
      <c r="G235" s="586"/>
      <c r="H235" s="586"/>
      <c r="I235" s="586"/>
      <c r="J235" s="586"/>
      <c r="K235" s="586"/>
      <c r="L235" s="586"/>
    </row>
    <row r="236" spans="1:12" ht="14.25">
      <c r="A236" s="586"/>
      <c r="B236" s="586"/>
      <c r="C236" s="586"/>
      <c r="D236" s="586"/>
      <c r="E236" s="586"/>
      <c r="F236" s="586"/>
      <c r="G236" s="586"/>
      <c r="H236" s="586"/>
      <c r="I236" s="586"/>
      <c r="J236" s="586"/>
      <c r="K236" s="586"/>
      <c r="L236" s="586"/>
    </row>
    <row r="237" spans="1:12" ht="14.25">
      <c r="A237" s="586"/>
      <c r="B237" s="586"/>
      <c r="C237" s="586"/>
      <c r="D237" s="586"/>
      <c r="E237" s="586"/>
      <c r="F237" s="586"/>
      <c r="G237" s="586"/>
      <c r="H237" s="586"/>
      <c r="I237" s="586"/>
      <c r="J237" s="586"/>
      <c r="K237" s="586"/>
      <c r="L237" s="586"/>
    </row>
    <row r="238" spans="1:12" ht="14.25">
      <c r="A238" s="586"/>
      <c r="B238" s="586"/>
      <c r="C238" s="586"/>
      <c r="D238" s="586"/>
      <c r="E238" s="586"/>
      <c r="F238" s="586"/>
      <c r="G238" s="586"/>
      <c r="H238" s="586"/>
      <c r="I238" s="586"/>
      <c r="J238" s="586"/>
      <c r="K238" s="586"/>
      <c r="L238" s="586"/>
    </row>
    <row r="239" spans="1:12" ht="14.25">
      <c r="A239" s="586"/>
      <c r="B239" s="586"/>
      <c r="C239" s="586"/>
      <c r="D239" s="586"/>
      <c r="E239" s="586"/>
      <c r="F239" s="586"/>
      <c r="G239" s="586"/>
      <c r="H239" s="586"/>
      <c r="I239" s="586"/>
      <c r="J239" s="586"/>
      <c r="K239" s="586"/>
      <c r="L239" s="586"/>
    </row>
    <row r="240" spans="1:12" ht="14.25">
      <c r="A240" s="586"/>
      <c r="B240" s="586"/>
      <c r="C240" s="586"/>
      <c r="D240" s="586"/>
      <c r="E240" s="586"/>
      <c r="F240" s="586"/>
      <c r="G240" s="586"/>
      <c r="H240" s="586"/>
      <c r="I240" s="586"/>
      <c r="J240" s="586"/>
      <c r="K240" s="586"/>
      <c r="L240" s="586"/>
    </row>
    <row r="241" spans="1:12" ht="14.25">
      <c r="A241" s="586"/>
      <c r="B241" s="586"/>
      <c r="C241" s="586"/>
      <c r="D241" s="586"/>
      <c r="E241" s="586"/>
      <c r="F241" s="586"/>
      <c r="G241" s="586"/>
      <c r="H241" s="586"/>
      <c r="I241" s="586"/>
      <c r="J241" s="586"/>
      <c r="K241" s="586"/>
      <c r="L241" s="586"/>
    </row>
    <row r="242" spans="1:12" ht="14.25">
      <c r="A242" s="586"/>
      <c r="B242" s="586"/>
      <c r="C242" s="586"/>
      <c r="D242" s="586"/>
      <c r="E242" s="586"/>
      <c r="F242" s="586"/>
      <c r="G242" s="586"/>
      <c r="H242" s="586"/>
      <c r="I242" s="586"/>
      <c r="J242" s="586"/>
      <c r="K242" s="586"/>
      <c r="L242" s="586"/>
    </row>
    <row r="243" spans="1:12" ht="14.25">
      <c r="A243" s="586"/>
      <c r="B243" s="586"/>
      <c r="C243" s="586"/>
      <c r="D243" s="586"/>
      <c r="E243" s="586"/>
      <c r="F243" s="586"/>
      <c r="G243" s="586"/>
      <c r="H243" s="586"/>
      <c r="I243" s="586"/>
      <c r="J243" s="586"/>
      <c r="K243" s="586"/>
      <c r="L243" s="586"/>
    </row>
    <row r="244" spans="1:12" ht="14.25">
      <c r="A244" s="586"/>
      <c r="B244" s="586"/>
      <c r="C244" s="586"/>
      <c r="D244" s="586"/>
      <c r="E244" s="586"/>
      <c r="F244" s="586"/>
      <c r="G244" s="586"/>
      <c r="H244" s="586"/>
      <c r="I244" s="586"/>
      <c r="J244" s="586"/>
      <c r="K244" s="586"/>
      <c r="L244" s="586"/>
    </row>
    <row r="245" spans="1:12" ht="14.25">
      <c r="A245" s="586"/>
      <c r="B245" s="586"/>
      <c r="C245" s="586"/>
      <c r="D245" s="586"/>
      <c r="E245" s="586"/>
      <c r="F245" s="586"/>
      <c r="G245" s="586"/>
      <c r="H245" s="586"/>
      <c r="I245" s="586"/>
      <c r="J245" s="586"/>
      <c r="K245" s="586"/>
      <c r="L245" s="586"/>
    </row>
    <row r="246" spans="1:12" ht="14.25">
      <c r="A246" s="586"/>
      <c r="B246" s="586"/>
      <c r="C246" s="586"/>
      <c r="D246" s="586"/>
      <c r="E246" s="586"/>
      <c r="F246" s="586"/>
      <c r="G246" s="586"/>
      <c r="H246" s="586"/>
      <c r="I246" s="586"/>
      <c r="J246" s="586"/>
      <c r="K246" s="586"/>
      <c r="L246" s="586"/>
    </row>
    <row r="247" spans="1:12" ht="14.25">
      <c r="A247" s="586"/>
      <c r="B247" s="586"/>
      <c r="C247" s="586"/>
      <c r="D247" s="586"/>
      <c r="E247" s="586"/>
      <c r="F247" s="586"/>
      <c r="G247" s="586"/>
      <c r="H247" s="586"/>
      <c r="I247" s="586"/>
      <c r="J247" s="586"/>
      <c r="K247" s="586"/>
      <c r="L247" s="586"/>
    </row>
    <row r="248" spans="1:12" ht="14.25">
      <c r="A248" s="586"/>
      <c r="B248" s="586"/>
      <c r="C248" s="586"/>
      <c r="D248" s="586"/>
      <c r="E248" s="586"/>
      <c r="F248" s="586"/>
      <c r="G248" s="586"/>
      <c r="H248" s="586"/>
      <c r="I248" s="586"/>
      <c r="J248" s="586"/>
      <c r="K248" s="586"/>
      <c r="L248" s="586"/>
    </row>
    <row r="249" spans="1:12" ht="14.25">
      <c r="A249" s="586"/>
      <c r="B249" s="586"/>
      <c r="C249" s="586"/>
      <c r="D249" s="586"/>
      <c r="E249" s="586"/>
      <c r="F249" s="586"/>
      <c r="G249" s="586"/>
      <c r="H249" s="586"/>
      <c r="I249" s="586"/>
      <c r="J249" s="586"/>
      <c r="K249" s="586"/>
      <c r="L249" s="586"/>
    </row>
    <row r="250" spans="1:12" ht="14.25">
      <c r="A250" s="586"/>
      <c r="B250" s="586"/>
      <c r="C250" s="586"/>
      <c r="D250" s="586"/>
      <c r="E250" s="586"/>
      <c r="F250" s="586"/>
      <c r="G250" s="586"/>
      <c r="H250" s="586"/>
      <c r="I250" s="586"/>
      <c r="J250" s="586"/>
      <c r="K250" s="586"/>
      <c r="L250" s="586"/>
    </row>
    <row r="251" spans="1:12" ht="14.25">
      <c r="A251" s="586"/>
      <c r="B251" s="586"/>
      <c r="C251" s="586"/>
      <c r="D251" s="586"/>
      <c r="E251" s="586"/>
      <c r="F251" s="586"/>
      <c r="G251" s="586"/>
      <c r="H251" s="586"/>
      <c r="I251" s="586"/>
      <c r="J251" s="586"/>
      <c r="K251" s="586"/>
      <c r="L251" s="586"/>
    </row>
    <row r="252" spans="1:12" ht="14.25">
      <c r="A252" s="586"/>
      <c r="B252" s="586"/>
      <c r="C252" s="586"/>
      <c r="D252" s="586"/>
      <c r="E252" s="586"/>
      <c r="F252" s="586"/>
      <c r="G252" s="586"/>
      <c r="H252" s="586"/>
      <c r="I252" s="586"/>
      <c r="J252" s="586"/>
      <c r="K252" s="586"/>
      <c r="L252" s="586"/>
    </row>
    <row r="253" spans="1:12" ht="14.25">
      <c r="A253" s="586"/>
      <c r="B253" s="586"/>
      <c r="C253" s="586"/>
      <c r="D253" s="586"/>
      <c r="E253" s="586"/>
      <c r="F253" s="586"/>
      <c r="G253" s="586"/>
      <c r="H253" s="586"/>
      <c r="I253" s="586"/>
      <c r="J253" s="586"/>
      <c r="K253" s="586"/>
      <c r="L253" s="586"/>
    </row>
    <row r="254" spans="1:12" ht="14.25">
      <c r="A254" s="586"/>
      <c r="B254" s="586"/>
      <c r="C254" s="586"/>
      <c r="D254" s="586"/>
      <c r="E254" s="586"/>
      <c r="F254" s="586"/>
      <c r="G254" s="586"/>
      <c r="H254" s="586"/>
      <c r="I254" s="586"/>
      <c r="J254" s="586"/>
      <c r="K254" s="586"/>
      <c r="L254" s="586"/>
    </row>
    <row r="255" spans="1:12" ht="14.25">
      <c r="A255" s="586"/>
      <c r="B255" s="586"/>
      <c r="C255" s="586"/>
      <c r="D255" s="586"/>
      <c r="E255" s="586"/>
      <c r="F255" s="586"/>
      <c r="G255" s="586"/>
      <c r="H255" s="586"/>
      <c r="I255" s="586"/>
      <c r="J255" s="586"/>
      <c r="K255" s="586"/>
      <c r="L255" s="586"/>
    </row>
    <row r="256" spans="1:12" ht="14.25">
      <c r="A256" s="586"/>
      <c r="B256" s="586"/>
      <c r="C256" s="586"/>
      <c r="D256" s="586"/>
      <c r="E256" s="586"/>
      <c r="F256" s="586"/>
      <c r="G256" s="586"/>
      <c r="H256" s="586"/>
      <c r="I256" s="586"/>
      <c r="J256" s="586"/>
      <c r="K256" s="586"/>
      <c r="L256" s="586"/>
    </row>
    <row r="257" spans="1:12" ht="14.25">
      <c r="A257" s="586"/>
      <c r="B257" s="586"/>
      <c r="C257" s="586"/>
      <c r="D257" s="586"/>
      <c r="E257" s="586"/>
      <c r="F257" s="586"/>
      <c r="G257" s="586"/>
      <c r="H257" s="586"/>
      <c r="I257" s="586"/>
      <c r="J257" s="586"/>
      <c r="K257" s="586"/>
      <c r="L257" s="586"/>
    </row>
    <row r="258" spans="1:12" ht="14.25">
      <c r="A258" s="586"/>
      <c r="B258" s="586"/>
      <c r="C258" s="586"/>
      <c r="D258" s="586"/>
      <c r="E258" s="586"/>
      <c r="F258" s="586"/>
      <c r="G258" s="586"/>
      <c r="H258" s="586"/>
      <c r="I258" s="586"/>
      <c r="J258" s="586"/>
      <c r="K258" s="586"/>
      <c r="L258" s="586"/>
    </row>
    <row r="259" spans="1:12" ht="14.25">
      <c r="A259" s="586"/>
      <c r="B259" s="586"/>
      <c r="C259" s="586"/>
      <c r="D259" s="586"/>
      <c r="E259" s="586"/>
      <c r="F259" s="586"/>
      <c r="G259" s="586"/>
      <c r="H259" s="586"/>
      <c r="I259" s="586"/>
      <c r="J259" s="586"/>
      <c r="K259" s="586"/>
      <c r="L259" s="586"/>
    </row>
    <row r="260" spans="1:12" ht="14.25">
      <c r="A260" s="586"/>
      <c r="B260" s="586"/>
      <c r="C260" s="586"/>
      <c r="D260" s="586"/>
      <c r="E260" s="586"/>
      <c r="F260" s="586"/>
      <c r="G260" s="586"/>
      <c r="H260" s="586"/>
      <c r="I260" s="586"/>
      <c r="J260" s="586"/>
      <c r="K260" s="586"/>
      <c r="L260" s="586"/>
    </row>
    <row r="261" spans="1:12" ht="14.25">
      <c r="A261" s="586"/>
      <c r="B261" s="586"/>
      <c r="C261" s="586"/>
      <c r="D261" s="586"/>
      <c r="E261" s="586"/>
      <c r="F261" s="586"/>
      <c r="G261" s="586"/>
      <c r="H261" s="586"/>
      <c r="I261" s="586"/>
      <c r="J261" s="586"/>
      <c r="K261" s="586"/>
      <c r="L261" s="586"/>
    </row>
    <row r="262" spans="1:12" ht="14.25">
      <c r="A262" s="586"/>
      <c r="B262" s="586"/>
      <c r="C262" s="586"/>
      <c r="D262" s="586"/>
      <c r="E262" s="586"/>
      <c r="F262" s="586"/>
      <c r="G262" s="586"/>
      <c r="H262" s="586"/>
      <c r="I262" s="586"/>
      <c r="J262" s="586"/>
      <c r="K262" s="586"/>
      <c r="L262" s="586"/>
    </row>
    <row r="263" spans="1:12" ht="14.25">
      <c r="A263" s="586"/>
      <c r="B263" s="586"/>
      <c r="C263" s="586"/>
      <c r="D263" s="586"/>
      <c r="E263" s="586"/>
      <c r="F263" s="586"/>
      <c r="G263" s="586"/>
      <c r="H263" s="586"/>
      <c r="I263" s="586"/>
      <c r="J263" s="586"/>
      <c r="K263" s="586"/>
      <c r="L263" s="586"/>
    </row>
    <row r="264" spans="1:12" ht="14.25">
      <c r="A264" s="586"/>
      <c r="B264" s="586"/>
      <c r="C264" s="586"/>
      <c r="D264" s="586"/>
      <c r="E264" s="586"/>
      <c r="F264" s="586"/>
      <c r="G264" s="586"/>
      <c r="H264" s="586"/>
      <c r="I264" s="586"/>
      <c r="J264" s="586"/>
      <c r="K264" s="586"/>
      <c r="L264" s="586"/>
    </row>
    <row r="265" spans="1:12" ht="14.25">
      <c r="A265" s="586"/>
      <c r="B265" s="586"/>
      <c r="C265" s="586"/>
      <c r="D265" s="586"/>
      <c r="E265" s="586"/>
      <c r="F265" s="586"/>
      <c r="G265" s="586"/>
      <c r="H265" s="586"/>
      <c r="I265" s="586"/>
      <c r="J265" s="586"/>
      <c r="K265" s="586"/>
      <c r="L265" s="586"/>
    </row>
    <row r="266" spans="1:12" ht="14.25">
      <c r="A266" s="586"/>
      <c r="B266" s="586"/>
      <c r="C266" s="586"/>
      <c r="D266" s="586"/>
      <c r="E266" s="586"/>
      <c r="F266" s="586"/>
      <c r="G266" s="586"/>
      <c r="H266" s="586"/>
      <c r="I266" s="586"/>
      <c r="J266" s="586"/>
      <c r="K266" s="586"/>
      <c r="L266" s="586"/>
    </row>
    <row r="267" spans="1:12" ht="14.25">
      <c r="A267" s="586"/>
      <c r="B267" s="586"/>
      <c r="C267" s="586"/>
      <c r="D267" s="586"/>
      <c r="E267" s="586"/>
      <c r="F267" s="586"/>
      <c r="G267" s="586"/>
      <c r="H267" s="586"/>
      <c r="I267" s="586"/>
      <c r="J267" s="586"/>
      <c r="K267" s="586"/>
      <c r="L267" s="586"/>
    </row>
    <row r="268" spans="1:12" ht="14.25">
      <c r="A268" s="586"/>
      <c r="B268" s="586"/>
      <c r="C268" s="586"/>
      <c r="D268" s="586"/>
      <c r="E268" s="586"/>
      <c r="F268" s="586"/>
      <c r="G268" s="586"/>
      <c r="H268" s="586"/>
      <c r="I268" s="586"/>
      <c r="J268" s="586"/>
      <c r="K268" s="586"/>
      <c r="L268" s="586"/>
    </row>
    <row r="269" spans="1:12" ht="14.25">
      <c r="A269" s="586"/>
      <c r="B269" s="586"/>
      <c r="C269" s="586"/>
      <c r="D269" s="586"/>
      <c r="E269" s="586"/>
      <c r="F269" s="586"/>
      <c r="G269" s="586"/>
      <c r="H269" s="586"/>
      <c r="I269" s="586"/>
      <c r="J269" s="586"/>
      <c r="K269" s="586"/>
      <c r="L269" s="586"/>
    </row>
    <row r="270" spans="1:12" ht="14.25">
      <c r="A270" s="586"/>
      <c r="B270" s="586"/>
      <c r="C270" s="586"/>
      <c r="D270" s="586"/>
      <c r="E270" s="586"/>
      <c r="F270" s="586"/>
      <c r="G270" s="586"/>
      <c r="H270" s="586"/>
      <c r="I270" s="586"/>
      <c r="J270" s="586"/>
      <c r="K270" s="586"/>
      <c r="L270" s="586"/>
    </row>
    <row r="271" spans="1:12" ht="14.25">
      <c r="A271" s="586"/>
      <c r="B271" s="586"/>
      <c r="C271" s="586"/>
      <c r="D271" s="586"/>
      <c r="E271" s="586"/>
      <c r="F271" s="586"/>
      <c r="G271" s="586"/>
      <c r="H271" s="586"/>
      <c r="I271" s="586"/>
      <c r="J271" s="586"/>
      <c r="K271" s="586"/>
      <c r="L271" s="586"/>
    </row>
    <row r="272" spans="1:12" ht="14.25">
      <c r="A272" s="586"/>
      <c r="B272" s="586"/>
      <c r="C272" s="586"/>
      <c r="D272" s="586"/>
      <c r="E272" s="586"/>
      <c r="F272" s="586"/>
      <c r="G272" s="586"/>
      <c r="H272" s="586"/>
      <c r="I272" s="586"/>
      <c r="J272" s="586"/>
      <c r="K272" s="586"/>
      <c r="L272" s="586"/>
    </row>
    <row r="273" spans="1:12" ht="14.25">
      <c r="A273" s="586"/>
      <c r="B273" s="586"/>
      <c r="C273" s="586"/>
      <c r="D273" s="586"/>
      <c r="E273" s="586"/>
      <c r="F273" s="586"/>
      <c r="G273" s="586"/>
      <c r="H273" s="586"/>
      <c r="I273" s="586"/>
      <c r="J273" s="586"/>
      <c r="K273" s="586"/>
      <c r="L273" s="586"/>
    </row>
    <row r="274" spans="1:12" ht="14.25">
      <c r="A274" s="586"/>
      <c r="B274" s="586"/>
      <c r="C274" s="586"/>
      <c r="D274" s="586"/>
      <c r="E274" s="586"/>
      <c r="F274" s="586"/>
      <c r="G274" s="586"/>
      <c r="H274" s="586"/>
      <c r="I274" s="586"/>
      <c r="J274" s="586"/>
      <c r="K274" s="586"/>
      <c r="L274" s="586"/>
    </row>
    <row r="275" spans="1:12" ht="14.25">
      <c r="A275" s="586"/>
      <c r="B275" s="586"/>
      <c r="C275" s="586"/>
      <c r="D275" s="586"/>
      <c r="E275" s="586"/>
      <c r="F275" s="586"/>
      <c r="G275" s="586"/>
      <c r="H275" s="586"/>
      <c r="I275" s="586"/>
      <c r="J275" s="586"/>
      <c r="K275" s="586"/>
      <c r="L275" s="586"/>
    </row>
    <row r="276" spans="1:12" ht="14.25">
      <c r="A276" s="586"/>
      <c r="B276" s="586"/>
      <c r="C276" s="586"/>
      <c r="D276" s="586"/>
      <c r="E276" s="586"/>
      <c r="F276" s="586"/>
      <c r="G276" s="586"/>
      <c r="H276" s="586"/>
      <c r="I276" s="586"/>
      <c r="J276" s="586"/>
      <c r="K276" s="586"/>
      <c r="L276" s="586"/>
    </row>
    <row r="277" spans="1:12" ht="14.25">
      <c r="A277" s="586"/>
      <c r="B277" s="586"/>
      <c r="C277" s="586"/>
      <c r="D277" s="586"/>
      <c r="E277" s="586"/>
      <c r="F277" s="586"/>
      <c r="G277" s="586"/>
      <c r="H277" s="586"/>
      <c r="I277" s="586"/>
      <c r="J277" s="586"/>
      <c r="K277" s="586"/>
      <c r="L277" s="586"/>
    </row>
    <row r="278" spans="1:12" ht="14.25">
      <c r="A278" s="586"/>
      <c r="B278" s="586"/>
      <c r="C278" s="586"/>
      <c r="D278" s="586"/>
      <c r="E278" s="586"/>
      <c r="F278" s="586"/>
      <c r="G278" s="586"/>
      <c r="H278" s="586"/>
      <c r="I278" s="586"/>
      <c r="J278" s="586"/>
      <c r="K278" s="586"/>
      <c r="L278" s="586"/>
    </row>
    <row r="279" spans="1:12" ht="14.25">
      <c r="A279" s="586"/>
      <c r="B279" s="586"/>
      <c r="C279" s="586"/>
      <c r="D279" s="586"/>
      <c r="E279" s="586"/>
      <c r="F279" s="586"/>
      <c r="G279" s="586"/>
      <c r="H279" s="586"/>
      <c r="I279" s="586"/>
      <c r="J279" s="586"/>
      <c r="K279" s="586"/>
      <c r="L279" s="586"/>
    </row>
    <row r="280" spans="1:12" ht="14.25">
      <c r="A280" s="586"/>
      <c r="B280" s="586"/>
      <c r="C280" s="586"/>
      <c r="D280" s="586"/>
      <c r="E280" s="586"/>
      <c r="F280" s="586"/>
      <c r="G280" s="586"/>
      <c r="H280" s="586"/>
      <c r="I280" s="586"/>
      <c r="J280" s="586"/>
      <c r="K280" s="586"/>
      <c r="L280" s="586"/>
    </row>
    <row r="281" spans="1:12" ht="14.25">
      <c r="A281" s="586"/>
      <c r="B281" s="586"/>
      <c r="C281" s="586"/>
      <c r="D281" s="586"/>
      <c r="E281" s="586"/>
      <c r="F281" s="586"/>
      <c r="G281" s="586"/>
      <c r="H281" s="586"/>
      <c r="I281" s="586"/>
      <c r="J281" s="586"/>
      <c r="K281" s="586"/>
      <c r="L281" s="586"/>
    </row>
    <row r="282" spans="1:12" ht="14.25">
      <c r="A282" s="586"/>
      <c r="B282" s="586"/>
      <c r="C282" s="586"/>
      <c r="D282" s="586"/>
      <c r="E282" s="586"/>
      <c r="F282" s="586"/>
      <c r="G282" s="586"/>
      <c r="H282" s="586"/>
      <c r="I282" s="586"/>
      <c r="J282" s="586"/>
      <c r="K282" s="586"/>
      <c r="L282" s="586"/>
    </row>
    <row r="283" spans="1:12" ht="14.25">
      <c r="A283" s="586"/>
      <c r="B283" s="586"/>
      <c r="C283" s="586"/>
      <c r="D283" s="586"/>
      <c r="E283" s="586"/>
      <c r="F283" s="586"/>
      <c r="G283" s="586"/>
      <c r="H283" s="586"/>
      <c r="I283" s="586"/>
      <c r="J283" s="586"/>
      <c r="K283" s="586"/>
      <c r="L283" s="586"/>
    </row>
    <row r="284" spans="1:12" ht="14.25">
      <c r="A284" s="586"/>
      <c r="B284" s="586"/>
      <c r="C284" s="586"/>
      <c r="D284" s="586"/>
      <c r="E284" s="586"/>
      <c r="F284" s="586"/>
      <c r="G284" s="586"/>
      <c r="H284" s="586"/>
      <c r="I284" s="586"/>
      <c r="J284" s="586"/>
      <c r="K284" s="586"/>
      <c r="L284" s="586"/>
    </row>
    <row r="285" spans="1:12" ht="14.25">
      <c r="A285" s="586"/>
      <c r="B285" s="586"/>
      <c r="C285" s="586"/>
      <c r="D285" s="586"/>
      <c r="E285" s="586"/>
      <c r="F285" s="586"/>
      <c r="G285" s="586"/>
      <c r="H285" s="586"/>
      <c r="I285" s="586"/>
      <c r="J285" s="586"/>
      <c r="K285" s="586"/>
      <c r="L285" s="586"/>
    </row>
    <row r="286" spans="1:12" ht="14.25">
      <c r="A286" s="586"/>
      <c r="B286" s="586"/>
      <c r="C286" s="586"/>
      <c r="D286" s="586"/>
      <c r="E286" s="586"/>
      <c r="F286" s="586"/>
      <c r="G286" s="586"/>
      <c r="H286" s="586"/>
      <c r="I286" s="586"/>
      <c r="J286" s="586"/>
      <c r="K286" s="586"/>
      <c r="L286" s="586"/>
    </row>
    <row r="287" spans="1:12" ht="14.25">
      <c r="A287" s="586"/>
      <c r="B287" s="586"/>
      <c r="C287" s="586"/>
      <c r="D287" s="586"/>
      <c r="E287" s="586"/>
      <c r="F287" s="586"/>
      <c r="G287" s="586"/>
      <c r="H287" s="586"/>
      <c r="I287" s="586"/>
      <c r="J287" s="586"/>
      <c r="K287" s="586"/>
      <c r="L287" s="586"/>
    </row>
    <row r="288" spans="1:12" ht="14.25">
      <c r="A288" s="586"/>
      <c r="B288" s="586"/>
      <c r="C288" s="586"/>
      <c r="D288" s="586"/>
      <c r="E288" s="586"/>
      <c r="F288" s="586"/>
      <c r="G288" s="586"/>
      <c r="H288" s="586"/>
      <c r="I288" s="586"/>
      <c r="J288" s="586"/>
      <c r="K288" s="586"/>
      <c r="L288" s="586"/>
    </row>
    <row r="289" spans="1:12" ht="14.25">
      <c r="A289" s="586"/>
      <c r="B289" s="586"/>
      <c r="C289" s="586"/>
      <c r="D289" s="586"/>
      <c r="E289" s="586"/>
      <c r="F289" s="586"/>
      <c r="G289" s="586"/>
      <c r="H289" s="586"/>
      <c r="I289" s="586"/>
      <c r="J289" s="586"/>
      <c r="K289" s="586"/>
      <c r="L289" s="586"/>
    </row>
    <row r="290" spans="1:12" ht="14.25">
      <c r="A290" s="586"/>
      <c r="B290" s="586"/>
      <c r="C290" s="586"/>
      <c r="D290" s="586"/>
      <c r="E290" s="586"/>
      <c r="F290" s="586"/>
      <c r="G290" s="586"/>
      <c r="H290" s="586"/>
      <c r="I290" s="586"/>
      <c r="J290" s="586"/>
      <c r="K290" s="586"/>
      <c r="L290" s="586"/>
    </row>
    <row r="291" spans="1:12" ht="14.25">
      <c r="A291" s="586"/>
      <c r="B291" s="586"/>
      <c r="C291" s="586"/>
      <c r="D291" s="586"/>
      <c r="E291" s="586"/>
      <c r="F291" s="586"/>
      <c r="G291" s="586"/>
      <c r="H291" s="586"/>
      <c r="I291" s="586"/>
      <c r="J291" s="586"/>
      <c r="K291" s="586"/>
      <c r="L291" s="586"/>
    </row>
    <row r="292" spans="1:12" ht="14.25">
      <c r="A292" s="586"/>
      <c r="B292" s="586"/>
      <c r="C292" s="586"/>
      <c r="D292" s="586"/>
      <c r="E292" s="586"/>
      <c r="F292" s="586"/>
      <c r="G292" s="586"/>
      <c r="H292" s="586"/>
      <c r="I292" s="586"/>
      <c r="J292" s="586"/>
      <c r="K292" s="586"/>
      <c r="L292" s="586"/>
    </row>
    <row r="293" spans="1:12" ht="14.25">
      <c r="A293" s="586"/>
      <c r="B293" s="586"/>
      <c r="C293" s="586"/>
      <c r="D293" s="586"/>
      <c r="E293" s="586"/>
      <c r="F293" s="586"/>
      <c r="G293" s="586"/>
      <c r="H293" s="586"/>
      <c r="I293" s="586"/>
      <c r="J293" s="586"/>
      <c r="K293" s="586"/>
      <c r="L293" s="586"/>
    </row>
    <row r="294" spans="1:12" ht="14.25">
      <c r="A294" s="586"/>
      <c r="B294" s="586"/>
      <c r="C294" s="586"/>
      <c r="D294" s="586"/>
      <c r="E294" s="586"/>
      <c r="F294" s="586"/>
      <c r="G294" s="586"/>
      <c r="H294" s="586"/>
      <c r="I294" s="586"/>
      <c r="J294" s="586"/>
      <c r="K294" s="586"/>
      <c r="L294" s="586"/>
    </row>
    <row r="295" spans="1:12" ht="14.25">
      <c r="A295" s="586"/>
      <c r="B295" s="586"/>
      <c r="C295" s="586"/>
      <c r="D295" s="586"/>
      <c r="E295" s="586"/>
      <c r="F295" s="586"/>
      <c r="G295" s="586"/>
      <c r="H295" s="586"/>
      <c r="I295" s="586"/>
      <c r="J295" s="586"/>
      <c r="K295" s="586"/>
      <c r="L295" s="586"/>
    </row>
    <row r="296" spans="1:12" ht="14.25">
      <c r="A296" s="586"/>
      <c r="B296" s="586"/>
      <c r="C296" s="586"/>
      <c r="D296" s="586"/>
      <c r="E296" s="586"/>
      <c r="F296" s="586"/>
      <c r="G296" s="586"/>
      <c r="H296" s="586"/>
      <c r="I296" s="586"/>
      <c r="J296" s="586"/>
      <c r="K296" s="586"/>
      <c r="L296" s="586"/>
    </row>
    <row r="297" spans="1:12" ht="14.25">
      <c r="A297" s="586"/>
      <c r="B297" s="586"/>
      <c r="C297" s="586"/>
      <c r="D297" s="586"/>
      <c r="E297" s="586"/>
      <c r="F297" s="586"/>
      <c r="G297" s="586"/>
      <c r="H297" s="586"/>
      <c r="I297" s="586"/>
      <c r="J297" s="586"/>
      <c r="K297" s="586"/>
      <c r="L297" s="586"/>
    </row>
    <row r="298" spans="1:12" ht="14.25">
      <c r="A298" s="586"/>
      <c r="B298" s="586"/>
      <c r="C298" s="586"/>
      <c r="D298" s="586"/>
      <c r="E298" s="586"/>
      <c r="F298" s="586"/>
      <c r="G298" s="586"/>
      <c r="H298" s="586"/>
      <c r="I298" s="586"/>
      <c r="J298" s="586"/>
      <c r="K298" s="586"/>
      <c r="L298" s="586"/>
    </row>
    <row r="299" spans="1:12" ht="14.25">
      <c r="A299" s="586"/>
      <c r="B299" s="586"/>
      <c r="C299" s="586"/>
      <c r="D299" s="586"/>
      <c r="E299" s="586"/>
      <c r="F299" s="586"/>
      <c r="G299" s="586"/>
      <c r="H299" s="586"/>
      <c r="I299" s="586"/>
      <c r="J299" s="586"/>
      <c r="K299" s="586"/>
      <c r="L299" s="586"/>
    </row>
    <row r="300" spans="1:12" ht="14.25">
      <c r="A300" s="586"/>
      <c r="B300" s="586"/>
      <c r="C300" s="586"/>
      <c r="D300" s="586"/>
      <c r="E300" s="586"/>
      <c r="F300" s="586"/>
      <c r="G300" s="586"/>
      <c r="H300" s="586"/>
      <c r="I300" s="586"/>
      <c r="J300" s="586"/>
      <c r="K300" s="586"/>
      <c r="L300" s="586"/>
    </row>
    <row r="301" spans="1:12" ht="14.25">
      <c r="A301" s="586"/>
      <c r="B301" s="586"/>
      <c r="C301" s="586"/>
      <c r="D301" s="586"/>
      <c r="E301" s="586"/>
      <c r="F301" s="586"/>
      <c r="G301" s="586"/>
      <c r="H301" s="586"/>
      <c r="I301" s="586"/>
      <c r="J301" s="586"/>
      <c r="K301" s="586"/>
      <c r="L301" s="586"/>
    </row>
    <row r="302" spans="1:12" ht="14.25">
      <c r="A302" s="586"/>
      <c r="B302" s="586"/>
      <c r="C302" s="586"/>
      <c r="D302" s="586"/>
      <c r="E302" s="586"/>
      <c r="F302" s="586"/>
      <c r="G302" s="586"/>
      <c r="H302" s="586"/>
      <c r="I302" s="586"/>
      <c r="J302" s="586"/>
      <c r="K302" s="586"/>
      <c r="L302" s="586"/>
    </row>
    <row r="303" spans="1:12" ht="14.25">
      <c r="A303" s="586"/>
      <c r="B303" s="586"/>
      <c r="C303" s="586"/>
      <c r="D303" s="586"/>
      <c r="E303" s="586"/>
      <c r="F303" s="586"/>
      <c r="G303" s="586"/>
      <c r="H303" s="586"/>
      <c r="I303" s="586"/>
      <c r="J303" s="586"/>
      <c r="K303" s="586"/>
      <c r="L303" s="586"/>
    </row>
    <row r="304" spans="1:12" ht="14.25">
      <c r="A304" s="586"/>
      <c r="B304" s="586"/>
      <c r="C304" s="586"/>
      <c r="D304" s="586"/>
      <c r="E304" s="586"/>
      <c r="F304" s="586"/>
      <c r="G304" s="586"/>
      <c r="H304" s="586"/>
      <c r="I304" s="586"/>
      <c r="J304" s="586"/>
      <c r="K304" s="586"/>
      <c r="L304" s="586"/>
    </row>
    <row r="305" spans="1:12" ht="14.25">
      <c r="A305" s="586"/>
      <c r="B305" s="586"/>
      <c r="C305" s="586"/>
      <c r="D305" s="586"/>
      <c r="E305" s="586"/>
      <c r="F305" s="586"/>
      <c r="G305" s="586"/>
      <c r="H305" s="586"/>
      <c r="I305" s="586"/>
      <c r="J305" s="586"/>
      <c r="K305" s="586"/>
      <c r="L305" s="586"/>
    </row>
    <row r="306" spans="1:12" ht="14.25">
      <c r="A306" s="586"/>
      <c r="B306" s="586"/>
      <c r="C306" s="586"/>
      <c r="D306" s="586"/>
      <c r="E306" s="586"/>
      <c r="F306" s="586"/>
      <c r="G306" s="586"/>
      <c r="H306" s="586"/>
      <c r="I306" s="586"/>
      <c r="J306" s="586"/>
      <c r="K306" s="586"/>
      <c r="L306" s="586"/>
    </row>
    <row r="307" spans="1:12" ht="14.25">
      <c r="A307" s="586"/>
      <c r="B307" s="586"/>
      <c r="C307" s="586"/>
      <c r="D307" s="586"/>
      <c r="E307" s="586"/>
      <c r="F307" s="586"/>
      <c r="G307" s="586"/>
      <c r="H307" s="586"/>
      <c r="I307" s="586"/>
      <c r="J307" s="586"/>
      <c r="K307" s="586"/>
      <c r="L307" s="586"/>
    </row>
    <row r="308" spans="1:12" ht="14.25">
      <c r="A308" s="586"/>
      <c r="B308" s="586"/>
      <c r="C308" s="586"/>
      <c r="D308" s="586"/>
      <c r="E308" s="586"/>
      <c r="F308" s="586"/>
      <c r="G308" s="586"/>
      <c r="H308" s="586"/>
      <c r="I308" s="586"/>
      <c r="J308" s="586"/>
      <c r="K308" s="586"/>
      <c r="L308" s="586"/>
    </row>
    <row r="309" spans="1:12" ht="14.25">
      <c r="A309" s="586"/>
      <c r="B309" s="586"/>
      <c r="C309" s="586"/>
      <c r="D309" s="586"/>
      <c r="E309" s="586"/>
      <c r="F309" s="586"/>
      <c r="G309" s="586"/>
      <c r="H309" s="586"/>
      <c r="I309" s="586"/>
      <c r="J309" s="586"/>
      <c r="K309" s="586"/>
      <c r="L309" s="586"/>
    </row>
    <row r="310" spans="1:12" ht="14.25">
      <c r="A310" s="586"/>
      <c r="B310" s="586"/>
      <c r="C310" s="586"/>
      <c r="D310" s="586"/>
      <c r="E310" s="586"/>
      <c r="F310" s="586"/>
      <c r="G310" s="586"/>
      <c r="H310" s="586"/>
      <c r="I310" s="586"/>
      <c r="J310" s="586"/>
      <c r="K310" s="586"/>
      <c r="L310" s="586"/>
    </row>
    <row r="311" spans="1:12" ht="14.25">
      <c r="A311" s="586"/>
      <c r="B311" s="586"/>
      <c r="C311" s="586"/>
      <c r="D311" s="586"/>
      <c r="E311" s="586"/>
      <c r="F311" s="586"/>
      <c r="G311" s="586"/>
      <c r="H311" s="586"/>
      <c r="I311" s="586"/>
      <c r="J311" s="586"/>
      <c r="K311" s="586"/>
      <c r="L311" s="586"/>
    </row>
    <row r="312" spans="1:12" ht="14.25">
      <c r="A312" s="586"/>
      <c r="B312" s="586"/>
      <c r="C312" s="586"/>
      <c r="D312" s="586"/>
      <c r="E312" s="586"/>
      <c r="F312" s="586"/>
      <c r="G312" s="586"/>
      <c r="H312" s="586"/>
      <c r="I312" s="586"/>
      <c r="J312" s="586"/>
      <c r="K312" s="586"/>
      <c r="L312" s="586"/>
    </row>
    <row r="313" spans="1:12" ht="14.25">
      <c r="A313" s="586"/>
      <c r="B313" s="586"/>
      <c r="C313" s="586"/>
      <c r="D313" s="586"/>
      <c r="E313" s="586"/>
      <c r="F313" s="586"/>
      <c r="G313" s="586"/>
      <c r="H313" s="586"/>
      <c r="I313" s="586"/>
      <c r="J313" s="586"/>
      <c r="K313" s="586"/>
      <c r="L313" s="586"/>
    </row>
    <row r="314" spans="1:12" ht="14.25">
      <c r="A314" s="586"/>
      <c r="B314" s="586"/>
      <c r="C314" s="586"/>
      <c r="D314" s="586"/>
      <c r="E314" s="586"/>
      <c r="F314" s="586"/>
      <c r="G314" s="586"/>
      <c r="H314" s="586"/>
      <c r="I314" s="586"/>
      <c r="J314" s="586"/>
      <c r="K314" s="586"/>
      <c r="L314" s="586"/>
    </row>
    <row r="315" spans="1:12" ht="14.25">
      <c r="A315" s="586"/>
      <c r="B315" s="586"/>
      <c r="C315" s="586"/>
      <c r="D315" s="586"/>
      <c r="E315" s="586"/>
      <c r="F315" s="586"/>
      <c r="G315" s="586"/>
      <c r="H315" s="586"/>
      <c r="I315" s="586"/>
      <c r="J315" s="586"/>
      <c r="K315" s="586"/>
      <c r="L315" s="586"/>
    </row>
    <row r="316" spans="1:12" ht="14.25">
      <c r="A316" s="586"/>
      <c r="B316" s="586"/>
      <c r="C316" s="586"/>
      <c r="D316" s="586"/>
      <c r="E316" s="586"/>
      <c r="F316" s="586"/>
      <c r="G316" s="586"/>
      <c r="H316" s="586"/>
      <c r="I316" s="586"/>
      <c r="J316" s="586"/>
      <c r="K316" s="586"/>
      <c r="L316" s="586"/>
    </row>
    <row r="317" spans="1:12" ht="14.25">
      <c r="A317" s="586"/>
      <c r="B317" s="586"/>
      <c r="C317" s="586"/>
      <c r="D317" s="586"/>
      <c r="E317" s="586"/>
      <c r="F317" s="586"/>
      <c r="G317" s="586"/>
      <c r="H317" s="586"/>
      <c r="I317" s="586"/>
      <c r="J317" s="586"/>
      <c r="K317" s="586"/>
      <c r="L317" s="586"/>
    </row>
    <row r="318" spans="1:12" ht="14.25">
      <c r="A318" s="586"/>
      <c r="B318" s="586"/>
      <c r="C318" s="586"/>
      <c r="D318" s="586"/>
      <c r="E318" s="586"/>
      <c r="F318" s="586"/>
      <c r="G318" s="586"/>
      <c r="H318" s="586"/>
      <c r="I318" s="586"/>
      <c r="J318" s="586"/>
      <c r="K318" s="586"/>
      <c r="L318" s="586"/>
    </row>
    <row r="319" spans="1:12" ht="14.25">
      <c r="A319" s="586"/>
      <c r="B319" s="586"/>
      <c r="C319" s="586"/>
      <c r="D319" s="586"/>
      <c r="E319" s="586"/>
      <c r="F319" s="586"/>
      <c r="G319" s="586"/>
      <c r="H319" s="586"/>
      <c r="I319" s="586"/>
      <c r="J319" s="586"/>
      <c r="K319" s="586"/>
      <c r="L319" s="586"/>
    </row>
    <row r="320" spans="1:12" ht="14.25">
      <c r="A320" s="586"/>
      <c r="B320" s="586"/>
      <c r="C320" s="586"/>
      <c r="D320" s="586"/>
      <c r="E320" s="586"/>
      <c r="F320" s="586"/>
      <c r="G320" s="586"/>
      <c r="H320" s="586"/>
      <c r="I320" s="586"/>
      <c r="J320" s="586"/>
      <c r="K320" s="586"/>
      <c r="L320" s="586"/>
    </row>
    <row r="321" spans="1:12" ht="14.25">
      <c r="A321" s="586"/>
      <c r="B321" s="586"/>
      <c r="C321" s="586"/>
      <c r="D321" s="586"/>
      <c r="E321" s="586"/>
      <c r="F321" s="586"/>
      <c r="G321" s="586"/>
      <c r="H321" s="586"/>
      <c r="I321" s="586"/>
      <c r="J321" s="586"/>
      <c r="K321" s="586"/>
      <c r="L321" s="586"/>
    </row>
    <row r="322" spans="1:12" ht="14.25">
      <c r="A322" s="586"/>
      <c r="B322" s="586"/>
      <c r="C322" s="586"/>
      <c r="D322" s="586"/>
      <c r="E322" s="586"/>
      <c r="F322" s="586"/>
      <c r="G322" s="586"/>
      <c r="H322" s="586"/>
      <c r="I322" s="586"/>
      <c r="J322" s="586"/>
      <c r="K322" s="586"/>
      <c r="L322" s="586"/>
    </row>
    <row r="323" spans="1:12" ht="14.25">
      <c r="A323" s="586"/>
      <c r="B323" s="586"/>
      <c r="C323" s="586"/>
      <c r="D323" s="586"/>
      <c r="E323" s="586"/>
      <c r="F323" s="586"/>
      <c r="G323" s="586"/>
      <c r="H323" s="586"/>
      <c r="I323" s="586"/>
      <c r="J323" s="586"/>
      <c r="K323" s="586"/>
      <c r="L323" s="586"/>
    </row>
    <row r="324" spans="1:12" ht="14.25">
      <c r="A324" s="586"/>
      <c r="B324" s="586"/>
      <c r="C324" s="586"/>
      <c r="D324" s="586"/>
      <c r="E324" s="586"/>
      <c r="F324" s="586"/>
      <c r="G324" s="586"/>
      <c r="H324" s="586"/>
      <c r="I324" s="586"/>
      <c r="J324" s="586"/>
      <c r="K324" s="586"/>
      <c r="L324" s="586"/>
    </row>
    <row r="325" spans="1:12" ht="14.25">
      <c r="A325" s="586"/>
      <c r="B325" s="586"/>
      <c r="C325" s="586"/>
      <c r="D325" s="586"/>
      <c r="E325" s="586"/>
      <c r="F325" s="586"/>
      <c r="G325" s="586"/>
      <c r="H325" s="586"/>
      <c r="I325" s="586"/>
      <c r="J325" s="586"/>
      <c r="K325" s="586"/>
      <c r="L325" s="586"/>
    </row>
    <row r="326" spans="1:12" ht="14.25">
      <c r="A326" s="586"/>
      <c r="B326" s="586"/>
      <c r="C326" s="586"/>
      <c r="D326" s="586"/>
      <c r="E326" s="586"/>
      <c r="F326" s="586"/>
      <c r="G326" s="586"/>
      <c r="H326" s="586"/>
      <c r="I326" s="586"/>
      <c r="J326" s="586"/>
      <c r="K326" s="586"/>
      <c r="L326" s="586"/>
    </row>
    <row r="327" spans="1:12" ht="14.25">
      <c r="A327" s="586"/>
      <c r="B327" s="586"/>
      <c r="C327" s="586"/>
      <c r="D327" s="586"/>
      <c r="E327" s="586"/>
      <c r="F327" s="586"/>
      <c r="G327" s="586"/>
      <c r="H327" s="586"/>
      <c r="I327" s="586"/>
      <c r="J327" s="586"/>
      <c r="K327" s="586"/>
      <c r="L327" s="586"/>
    </row>
    <row r="328" spans="1:12" ht="14.25">
      <c r="A328" s="586"/>
      <c r="B328" s="586"/>
      <c r="C328" s="586"/>
      <c r="D328" s="586"/>
      <c r="E328" s="586"/>
      <c r="F328" s="586"/>
      <c r="G328" s="586"/>
      <c r="H328" s="586"/>
      <c r="I328" s="586"/>
      <c r="J328" s="586"/>
      <c r="K328" s="586"/>
      <c r="L328" s="586"/>
    </row>
    <row r="329" spans="1:12" ht="14.25">
      <c r="A329" s="586"/>
      <c r="B329" s="586"/>
      <c r="C329" s="586"/>
      <c r="D329" s="586"/>
      <c r="E329" s="586"/>
      <c r="F329" s="586"/>
      <c r="G329" s="586"/>
      <c r="H329" s="586"/>
      <c r="I329" s="586"/>
      <c r="J329" s="586"/>
      <c r="K329" s="586"/>
      <c r="L329" s="586"/>
    </row>
    <row r="330" spans="1:12" ht="14.25">
      <c r="A330" s="586"/>
      <c r="B330" s="586"/>
      <c r="C330" s="586"/>
      <c r="D330" s="586"/>
      <c r="E330" s="586"/>
      <c r="F330" s="586"/>
      <c r="G330" s="586"/>
      <c r="H330" s="586"/>
      <c r="I330" s="586"/>
      <c r="J330" s="586"/>
      <c r="K330" s="586"/>
      <c r="L330" s="586"/>
    </row>
    <row r="331" spans="1:12" ht="14.25">
      <c r="A331" s="586"/>
      <c r="B331" s="586"/>
      <c r="C331" s="586"/>
      <c r="D331" s="586"/>
      <c r="E331" s="586"/>
      <c r="F331" s="586"/>
      <c r="G331" s="586"/>
      <c r="H331" s="586"/>
      <c r="I331" s="586"/>
      <c r="J331" s="586"/>
      <c r="K331" s="586"/>
      <c r="L331" s="586"/>
    </row>
    <row r="332" spans="1:12" ht="14.25">
      <c r="A332" s="586"/>
      <c r="B332" s="586"/>
      <c r="C332" s="586"/>
      <c r="D332" s="586"/>
      <c r="E332" s="586"/>
      <c r="F332" s="586"/>
      <c r="G332" s="586"/>
      <c r="H332" s="586"/>
      <c r="I332" s="586"/>
      <c r="J332" s="586"/>
      <c r="K332" s="586"/>
      <c r="L332" s="586"/>
    </row>
    <row r="333" spans="1:12" ht="14.25">
      <c r="A333" s="586"/>
      <c r="B333" s="586"/>
      <c r="C333" s="586"/>
      <c r="D333" s="586"/>
      <c r="E333" s="586"/>
      <c r="F333" s="586"/>
      <c r="G333" s="586"/>
      <c r="H333" s="586"/>
      <c r="I333" s="586"/>
      <c r="J333" s="586"/>
      <c r="K333" s="586"/>
      <c r="L333" s="586"/>
    </row>
    <row r="334" spans="1:12" ht="14.25">
      <c r="A334" s="586"/>
      <c r="B334" s="586"/>
      <c r="C334" s="586"/>
      <c r="D334" s="586"/>
      <c r="E334" s="586"/>
      <c r="F334" s="586"/>
      <c r="G334" s="586"/>
      <c r="H334" s="586"/>
      <c r="I334" s="586"/>
      <c r="J334" s="586"/>
      <c r="K334" s="586"/>
      <c r="L334" s="586"/>
    </row>
    <row r="335" spans="1:12" ht="14.25">
      <c r="A335" s="586"/>
      <c r="B335" s="586"/>
      <c r="C335" s="586"/>
      <c r="D335" s="586"/>
      <c r="E335" s="586"/>
      <c r="F335" s="586"/>
      <c r="G335" s="586"/>
      <c r="H335" s="586"/>
      <c r="I335" s="586"/>
      <c r="J335" s="586"/>
      <c r="K335" s="586"/>
      <c r="L335" s="586"/>
    </row>
    <row r="336" spans="1:12" ht="14.25">
      <c r="A336" s="586"/>
      <c r="B336" s="586"/>
      <c r="C336" s="586"/>
      <c r="D336" s="586"/>
      <c r="E336" s="586"/>
      <c r="F336" s="586"/>
      <c r="G336" s="586"/>
      <c r="H336" s="586"/>
      <c r="I336" s="586"/>
      <c r="J336" s="586"/>
      <c r="K336" s="586"/>
      <c r="L336" s="586"/>
    </row>
    <row r="337" spans="1:12" ht="14.25">
      <c r="A337" s="586"/>
      <c r="B337" s="586"/>
      <c r="C337" s="586"/>
      <c r="D337" s="586"/>
      <c r="E337" s="586"/>
      <c r="F337" s="586"/>
      <c r="G337" s="586"/>
      <c r="H337" s="586"/>
      <c r="I337" s="586"/>
      <c r="J337" s="586"/>
      <c r="K337" s="586"/>
      <c r="L337" s="586"/>
    </row>
    <row r="338" spans="1:12" ht="14.25">
      <c r="A338" s="586"/>
      <c r="B338" s="586"/>
      <c r="C338" s="586"/>
      <c r="D338" s="586"/>
      <c r="E338" s="586"/>
      <c r="F338" s="586"/>
      <c r="G338" s="586"/>
      <c r="H338" s="586"/>
      <c r="I338" s="586"/>
      <c r="J338" s="586"/>
      <c r="K338" s="586"/>
      <c r="L338" s="586"/>
    </row>
    <row r="339" spans="1:12" ht="14.25">
      <c r="A339" s="586"/>
      <c r="B339" s="586"/>
      <c r="C339" s="586"/>
      <c r="D339" s="586"/>
      <c r="E339" s="586"/>
      <c r="F339" s="586"/>
      <c r="G339" s="586"/>
      <c r="H339" s="586"/>
      <c r="I339" s="586"/>
      <c r="J339" s="586"/>
      <c r="K339" s="586"/>
      <c r="L339" s="586"/>
    </row>
    <row r="340" spans="1:12" ht="14.25">
      <c r="A340" s="586"/>
      <c r="B340" s="586"/>
      <c r="C340" s="586"/>
      <c r="D340" s="586"/>
      <c r="E340" s="586"/>
      <c r="F340" s="586"/>
      <c r="G340" s="586"/>
      <c r="H340" s="586"/>
      <c r="I340" s="586"/>
      <c r="J340" s="586"/>
      <c r="K340" s="586"/>
      <c r="L340" s="586"/>
    </row>
    <row r="341" spans="1:12" ht="14.25">
      <c r="A341" s="586"/>
      <c r="B341" s="586"/>
      <c r="C341" s="586"/>
      <c r="D341" s="586"/>
      <c r="E341" s="586"/>
      <c r="F341" s="586"/>
      <c r="G341" s="586"/>
      <c r="H341" s="586"/>
      <c r="I341" s="586"/>
      <c r="J341" s="586"/>
      <c r="K341" s="586"/>
      <c r="L341" s="586"/>
    </row>
    <row r="342" spans="1:12" ht="14.25">
      <c r="A342" s="586"/>
      <c r="B342" s="586"/>
      <c r="C342" s="586"/>
      <c r="D342" s="586"/>
      <c r="E342" s="586"/>
      <c r="F342" s="586"/>
      <c r="G342" s="586"/>
      <c r="H342" s="586"/>
      <c r="I342" s="586"/>
      <c r="J342" s="586"/>
      <c r="K342" s="586"/>
      <c r="L342" s="586"/>
    </row>
    <row r="343" spans="1:12" ht="14.25">
      <c r="A343" s="586"/>
      <c r="B343" s="586"/>
      <c r="C343" s="586"/>
      <c r="D343" s="586"/>
      <c r="E343" s="586"/>
      <c r="F343" s="586"/>
      <c r="G343" s="586"/>
      <c r="H343" s="586"/>
      <c r="I343" s="586"/>
      <c r="J343" s="586"/>
      <c r="K343" s="586"/>
      <c r="L343" s="586"/>
    </row>
    <row r="344" spans="1:12" ht="14.25">
      <c r="A344" s="586"/>
      <c r="B344" s="586"/>
      <c r="C344" s="586"/>
      <c r="D344" s="586"/>
      <c r="E344" s="586"/>
      <c r="F344" s="586"/>
      <c r="G344" s="586"/>
      <c r="H344" s="586"/>
      <c r="I344" s="586"/>
      <c r="J344" s="586"/>
      <c r="K344" s="586"/>
      <c r="L344" s="586"/>
    </row>
    <row r="345" spans="1:12" ht="14.25">
      <c r="A345" s="586"/>
      <c r="B345" s="586"/>
      <c r="C345" s="586"/>
      <c r="D345" s="586"/>
      <c r="E345" s="586"/>
      <c r="F345" s="586"/>
      <c r="G345" s="586"/>
      <c r="H345" s="586"/>
      <c r="I345" s="586"/>
      <c r="J345" s="586"/>
      <c r="K345" s="586"/>
      <c r="L345" s="586"/>
    </row>
    <row r="346" spans="1:12" ht="14.25">
      <c r="A346" s="586"/>
      <c r="B346" s="586"/>
      <c r="C346" s="586"/>
      <c r="D346" s="586"/>
      <c r="E346" s="586"/>
      <c r="F346" s="586"/>
      <c r="G346" s="586"/>
      <c r="H346" s="586"/>
      <c r="I346" s="586"/>
      <c r="J346" s="586"/>
      <c r="K346" s="586"/>
      <c r="L346" s="586"/>
    </row>
    <row r="347" spans="1:12" ht="14.25">
      <c r="A347" s="586"/>
      <c r="B347" s="586"/>
      <c r="C347" s="586"/>
      <c r="D347" s="586"/>
      <c r="E347" s="586"/>
      <c r="F347" s="586"/>
      <c r="G347" s="586"/>
      <c r="H347" s="586"/>
      <c r="I347" s="586"/>
      <c r="J347" s="586"/>
      <c r="K347" s="586"/>
      <c r="L347" s="586"/>
    </row>
    <row r="348" spans="1:12" ht="14.25">
      <c r="A348" s="586"/>
      <c r="B348" s="586"/>
      <c r="C348" s="586"/>
      <c r="D348" s="586"/>
      <c r="E348" s="586"/>
      <c r="F348" s="586"/>
      <c r="G348" s="586"/>
      <c r="H348" s="586"/>
      <c r="I348" s="586"/>
      <c r="J348" s="586"/>
      <c r="K348" s="586"/>
      <c r="L348" s="586"/>
    </row>
    <row r="349" spans="1:12" ht="14.25">
      <c r="A349" s="586"/>
      <c r="B349" s="586"/>
      <c r="C349" s="586"/>
      <c r="D349" s="586"/>
      <c r="E349" s="586"/>
      <c r="F349" s="586"/>
      <c r="G349" s="586"/>
      <c r="H349" s="586"/>
      <c r="I349" s="586"/>
      <c r="J349" s="586"/>
      <c r="K349" s="586"/>
      <c r="L349" s="586"/>
    </row>
    <row r="350" spans="1:12" ht="14.25">
      <c r="A350" s="586"/>
      <c r="B350" s="586"/>
      <c r="C350" s="586"/>
      <c r="D350" s="586"/>
      <c r="E350" s="586"/>
      <c r="F350" s="586"/>
      <c r="G350" s="586"/>
      <c r="H350" s="586"/>
      <c r="I350" s="586"/>
      <c r="J350" s="586"/>
      <c r="K350" s="586"/>
      <c r="L350" s="586"/>
    </row>
    <row r="351" spans="1:12" ht="14.25">
      <c r="A351" s="586"/>
      <c r="B351" s="586"/>
      <c r="C351" s="586"/>
      <c r="D351" s="586"/>
      <c r="E351" s="586"/>
      <c r="F351" s="586"/>
      <c r="G351" s="586"/>
      <c r="H351" s="586"/>
      <c r="I351" s="586"/>
      <c r="J351" s="586"/>
      <c r="K351" s="586"/>
      <c r="L351" s="586"/>
    </row>
    <row r="352" spans="1:12" ht="14.25">
      <c r="A352" s="586"/>
      <c r="B352" s="586"/>
      <c r="C352" s="586"/>
      <c r="D352" s="586"/>
      <c r="E352" s="586"/>
      <c r="F352" s="586"/>
      <c r="G352" s="586"/>
      <c r="H352" s="586"/>
      <c r="I352" s="586"/>
      <c r="J352" s="586"/>
      <c r="K352" s="586"/>
      <c r="L352" s="586"/>
    </row>
    <row r="353" spans="1:12" ht="14.25">
      <c r="A353" s="586"/>
      <c r="B353" s="586"/>
      <c r="C353" s="586"/>
      <c r="D353" s="586"/>
      <c r="E353" s="586"/>
      <c r="F353" s="586"/>
      <c r="G353" s="586"/>
      <c r="H353" s="586"/>
      <c r="I353" s="586"/>
      <c r="J353" s="586"/>
      <c r="K353" s="586"/>
      <c r="L353" s="586"/>
    </row>
    <row r="354" spans="1:12" ht="14.25">
      <c r="A354" s="586"/>
      <c r="B354" s="586"/>
      <c r="C354" s="586"/>
      <c r="D354" s="586"/>
      <c r="E354" s="586"/>
      <c r="F354" s="586"/>
      <c r="G354" s="586"/>
      <c r="H354" s="586"/>
      <c r="I354" s="586"/>
      <c r="J354" s="586"/>
      <c r="K354" s="586"/>
      <c r="L354" s="586"/>
    </row>
  </sheetData>
  <sheetProtection sheet="1" objects="1" scenarios="1"/>
  <mergeCells count="55">
    <mergeCell ref="C83:D83"/>
    <mergeCell ref="B85:K85"/>
    <mergeCell ref="C134:D134"/>
    <mergeCell ref="B110:K110"/>
    <mergeCell ref="C120:D120"/>
    <mergeCell ref="C123:D123"/>
    <mergeCell ref="B130:K130"/>
    <mergeCell ref="C133:D133"/>
    <mergeCell ref="H133:I133"/>
    <mergeCell ref="C114:D114"/>
    <mergeCell ref="B6:K6"/>
    <mergeCell ref="B7:K7"/>
    <mergeCell ref="B8:K8"/>
    <mergeCell ref="B10:K10"/>
    <mergeCell ref="B12:K12"/>
    <mergeCell ref="C25:D25"/>
    <mergeCell ref="F23:G23"/>
    <mergeCell ref="B86:K86"/>
    <mergeCell ref="B88:K88"/>
    <mergeCell ref="B30:K30"/>
    <mergeCell ref="B31:K31"/>
    <mergeCell ref="B33:K33"/>
    <mergeCell ref="B35:K35"/>
    <mergeCell ref="C41:D41"/>
    <mergeCell ref="B48:C48"/>
    <mergeCell ref="G50:H50"/>
    <mergeCell ref="I51:K51"/>
    <mergeCell ref="B52:K52"/>
    <mergeCell ref="B53:K53"/>
    <mergeCell ref="B58:K58"/>
    <mergeCell ref="C74:D74"/>
    <mergeCell ref="C77:D77"/>
    <mergeCell ref="C80:D80"/>
    <mergeCell ref="B55:K55"/>
    <mergeCell ref="B57:K57"/>
    <mergeCell ref="B126:K126"/>
    <mergeCell ref="B128:K128"/>
    <mergeCell ref="B90:K90"/>
    <mergeCell ref="C94:D94"/>
    <mergeCell ref="C97:D97"/>
    <mergeCell ref="C100:D100"/>
    <mergeCell ref="B105:K105"/>
    <mergeCell ref="B106:K106"/>
    <mergeCell ref="C117:D117"/>
    <mergeCell ref="B125:K125"/>
    <mergeCell ref="C148:D148"/>
    <mergeCell ref="J148:K148"/>
    <mergeCell ref="C103:D103"/>
    <mergeCell ref="H134:I134"/>
    <mergeCell ref="C136:D136"/>
    <mergeCell ref="C137:D137"/>
    <mergeCell ref="B144:K144"/>
    <mergeCell ref="C147:D147"/>
    <mergeCell ref="J147:K147"/>
    <mergeCell ref="B108:K108"/>
  </mergeCell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A40"/>
  <sheetViews>
    <sheetView zoomScalePageLayoutView="0" workbookViewId="0" topLeftCell="A1">
      <selection activeCell="A5" sqref="A5"/>
    </sheetView>
  </sheetViews>
  <sheetFormatPr defaultColWidth="8.796875" defaultRowHeight="15"/>
  <cols>
    <col min="1" max="1" width="71.19921875" style="0" customWidth="1"/>
  </cols>
  <sheetData>
    <row r="1" ht="16.5">
      <c r="A1" s="515" t="s">
        <v>688</v>
      </c>
    </row>
    <row r="3" ht="31.5">
      <c r="A3" s="516" t="s">
        <v>689</v>
      </c>
    </row>
    <row r="4" ht="15.75">
      <c r="A4" s="517" t="s">
        <v>690</v>
      </c>
    </row>
    <row r="7" ht="31.5">
      <c r="A7" s="516" t="s">
        <v>691</v>
      </c>
    </row>
    <row r="8" ht="15.75">
      <c r="A8" s="517" t="s">
        <v>692</v>
      </c>
    </row>
    <row r="11" ht="15.75">
      <c r="A11" s="514" t="s">
        <v>693</v>
      </c>
    </row>
    <row r="12" ht="15.75">
      <c r="A12" s="517" t="s">
        <v>694</v>
      </c>
    </row>
    <row r="15" ht="15.75">
      <c r="A15" s="514" t="s">
        <v>695</v>
      </c>
    </row>
    <row r="16" ht="15.75">
      <c r="A16" s="517" t="s">
        <v>696</v>
      </c>
    </row>
    <row r="19" ht="15.75">
      <c r="A19" s="514" t="s">
        <v>697</v>
      </c>
    </row>
    <row r="20" ht="15.75">
      <c r="A20" s="517" t="s">
        <v>698</v>
      </c>
    </row>
    <row r="23" ht="15.75">
      <c r="A23" s="514" t="s">
        <v>699</v>
      </c>
    </row>
    <row r="24" ht="15.75">
      <c r="A24" s="517" t="s">
        <v>700</v>
      </c>
    </row>
    <row r="27" ht="15.75">
      <c r="A27" s="514" t="s">
        <v>701</v>
      </c>
    </row>
    <row r="28" ht="15.75">
      <c r="A28" s="517" t="s">
        <v>702</v>
      </c>
    </row>
    <row r="31" ht="15.75">
      <c r="A31" s="514" t="s">
        <v>703</v>
      </c>
    </row>
    <row r="32" ht="15.75">
      <c r="A32" s="517" t="s">
        <v>704</v>
      </c>
    </row>
    <row r="35" ht="15.75">
      <c r="A35" s="514" t="s">
        <v>705</v>
      </c>
    </row>
    <row r="36" ht="15.75">
      <c r="A36" s="517" t="s">
        <v>706</v>
      </c>
    </row>
    <row r="39" ht="15.75">
      <c r="A39" s="514" t="s">
        <v>707</v>
      </c>
    </row>
    <row r="40" ht="15.75">
      <c r="A40" s="517" t="s">
        <v>708</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A165"/>
  <sheetViews>
    <sheetView zoomScalePageLayoutView="0" workbookViewId="0" topLeftCell="A1">
      <selection activeCell="C16" sqref="C16"/>
    </sheetView>
  </sheetViews>
  <sheetFormatPr defaultColWidth="8.796875" defaultRowHeight="15"/>
  <cols>
    <col min="1" max="1" width="80.09765625" style="69" customWidth="1"/>
    <col min="2" max="16384" width="8.8984375" style="69" customWidth="1"/>
  </cols>
  <sheetData>
    <row r="1" ht="15.75">
      <c r="A1" s="414" t="s">
        <v>838</v>
      </c>
    </row>
    <row r="2" ht="15.75">
      <c r="A2" s="681" t="s">
        <v>834</v>
      </c>
    </row>
    <row r="3" ht="15.75">
      <c r="A3" s="69" t="s">
        <v>835</v>
      </c>
    </row>
    <row r="4" ht="15.75">
      <c r="A4" s="69" t="s">
        <v>836</v>
      </c>
    </row>
    <row r="5" ht="15.75">
      <c r="A5" s="69" t="s">
        <v>837</v>
      </c>
    </row>
    <row r="6" ht="15.75">
      <c r="A6" s="69" t="s">
        <v>839</v>
      </c>
    </row>
    <row r="7" ht="15.75">
      <c r="A7" s="69" t="s">
        <v>840</v>
      </c>
    </row>
    <row r="8" ht="15.75">
      <c r="A8" s="69" t="s">
        <v>841</v>
      </c>
    </row>
    <row r="9" ht="15.75">
      <c r="A9" s="69" t="s">
        <v>842</v>
      </c>
    </row>
    <row r="10" ht="15.75">
      <c r="A10" s="69" t="s">
        <v>843</v>
      </c>
    </row>
    <row r="11" ht="15.75">
      <c r="A11" s="69" t="s">
        <v>844</v>
      </c>
    </row>
    <row r="12" ht="15.75">
      <c r="A12" s="69" t="s">
        <v>845</v>
      </c>
    </row>
    <row r="13" ht="15.75">
      <c r="A13" s="69" t="s">
        <v>846</v>
      </c>
    </row>
    <row r="14" ht="47.25">
      <c r="A14" s="72" t="s">
        <v>847</v>
      </c>
    </row>
    <row r="15" ht="31.5">
      <c r="A15" s="72" t="s">
        <v>848</v>
      </c>
    </row>
    <row r="16" ht="15.75">
      <c r="A16" s="69" t="s">
        <v>849</v>
      </c>
    </row>
    <row r="17" ht="15.75">
      <c r="A17" s="69" t="s">
        <v>850</v>
      </c>
    </row>
    <row r="18" ht="15.75">
      <c r="A18" s="69" t="s">
        <v>851</v>
      </c>
    </row>
    <row r="19" ht="15.75">
      <c r="A19" s="69" t="s">
        <v>852</v>
      </c>
    </row>
    <row r="20" ht="15.75">
      <c r="A20" s="69" t="s">
        <v>853</v>
      </c>
    </row>
    <row r="21" ht="15.75">
      <c r="A21" s="69" t="s">
        <v>854</v>
      </c>
    </row>
    <row r="22" ht="15.75">
      <c r="A22" s="69" t="s">
        <v>855</v>
      </c>
    </row>
    <row r="23" ht="15.75">
      <c r="A23" s="69" t="s">
        <v>856</v>
      </c>
    </row>
    <row r="24" ht="15.75">
      <c r="A24" s="69" t="s">
        <v>857</v>
      </c>
    </row>
    <row r="25" ht="15.75">
      <c r="A25" s="69" t="s">
        <v>858</v>
      </c>
    </row>
    <row r="26" ht="15.75">
      <c r="A26" s="69" t="s">
        <v>859</v>
      </c>
    </row>
    <row r="27" ht="15.75">
      <c r="A27" s="69" t="s">
        <v>860</v>
      </c>
    </row>
    <row r="32" ht="15.75">
      <c r="A32" s="414" t="s">
        <v>780</v>
      </c>
    </row>
    <row r="33" ht="15.75">
      <c r="A33" s="513" t="s">
        <v>781</v>
      </c>
    </row>
    <row r="35" ht="15.75">
      <c r="A35" s="414" t="s">
        <v>665</v>
      </c>
    </row>
    <row r="36" ht="15.75">
      <c r="A36" s="513" t="s">
        <v>666</v>
      </c>
    </row>
    <row r="37" ht="15.75">
      <c r="A37" s="513" t="s">
        <v>667</v>
      </c>
    </row>
    <row r="38" ht="15.75">
      <c r="A38" s="512" t="s">
        <v>668</v>
      </c>
    </row>
    <row r="39" ht="15.75">
      <c r="A39" s="513" t="s">
        <v>669</v>
      </c>
    </row>
    <row r="40" ht="15.75">
      <c r="A40" s="513" t="s">
        <v>670</v>
      </c>
    </row>
    <row r="41" ht="15.75">
      <c r="A41" s="513" t="s">
        <v>671</v>
      </c>
    </row>
    <row r="42" ht="15.75">
      <c r="A42" s="513" t="s">
        <v>672</v>
      </c>
    </row>
    <row r="43" ht="15.75">
      <c r="A43" s="513" t="s">
        <v>673</v>
      </c>
    </row>
    <row r="44" ht="15.75">
      <c r="A44" s="513" t="s">
        <v>674</v>
      </c>
    </row>
    <row r="45" ht="15.75">
      <c r="A45" s="513" t="s">
        <v>675</v>
      </c>
    </row>
    <row r="46" ht="15.75">
      <c r="A46" s="513" t="s">
        <v>676</v>
      </c>
    </row>
    <row r="47" ht="15.75">
      <c r="A47" s="513" t="s">
        <v>677</v>
      </c>
    </row>
    <row r="48" ht="15.75">
      <c r="A48" s="513" t="s">
        <v>678</v>
      </c>
    </row>
    <row r="49" ht="15.75">
      <c r="A49" s="513" t="s">
        <v>679</v>
      </c>
    </row>
    <row r="50" ht="15.75">
      <c r="A50" s="513" t="s">
        <v>680</v>
      </c>
    </row>
    <row r="51" ht="15.75">
      <c r="A51" s="513" t="s">
        <v>681</v>
      </c>
    </row>
    <row r="52" ht="15.75">
      <c r="A52" s="513" t="s">
        <v>682</v>
      </c>
    </row>
    <row r="53" ht="15.75">
      <c r="A53" s="513" t="s">
        <v>683</v>
      </c>
    </row>
    <row r="54" ht="15.75">
      <c r="A54" s="513" t="s">
        <v>684</v>
      </c>
    </row>
    <row r="55" ht="15.75">
      <c r="A55" s="513" t="s">
        <v>685</v>
      </c>
    </row>
    <row r="56" ht="15.75">
      <c r="A56" s="512" t="s">
        <v>686</v>
      </c>
    </row>
    <row r="57" ht="15.75">
      <c r="A57" s="69" t="s">
        <v>687</v>
      </c>
    </row>
    <row r="63" ht="15.75">
      <c r="A63" s="414" t="s">
        <v>646</v>
      </c>
    </row>
    <row r="64" ht="15.75">
      <c r="A64" s="69" t="s">
        <v>647</v>
      </c>
    </row>
    <row r="66" ht="15.75">
      <c r="A66" s="414" t="s">
        <v>640</v>
      </c>
    </row>
    <row r="67" ht="15.75">
      <c r="A67" s="69" t="s">
        <v>641</v>
      </c>
    </row>
    <row r="68" ht="15.75">
      <c r="A68" s="69" t="s">
        <v>642</v>
      </c>
    </row>
    <row r="69" ht="15.75">
      <c r="A69" s="69" t="s">
        <v>643</v>
      </c>
    </row>
    <row r="71" ht="15.75">
      <c r="A71" s="427" t="s">
        <v>629</v>
      </c>
    </row>
    <row r="72" ht="15.75">
      <c r="A72" s="69" t="s">
        <v>639</v>
      </c>
    </row>
    <row r="74" ht="15.75">
      <c r="A74" s="414" t="s">
        <v>395</v>
      </c>
    </row>
    <row r="75" ht="15.75">
      <c r="A75" s="415" t="s">
        <v>396</v>
      </c>
    </row>
    <row r="76" ht="15.75">
      <c r="A76" s="415" t="s">
        <v>397</v>
      </c>
    </row>
    <row r="77" ht="15.75">
      <c r="A77" s="415" t="s">
        <v>398</v>
      </c>
    </row>
    <row r="78" ht="15.75">
      <c r="A78" s="69" t="s">
        <v>399</v>
      </c>
    </row>
    <row r="80" ht="15.75">
      <c r="A80" s="393" t="s">
        <v>329</v>
      </c>
    </row>
    <row r="81" ht="15.75">
      <c r="A81" s="69" t="s">
        <v>330</v>
      </c>
    </row>
    <row r="82" ht="15.75">
      <c r="A82" s="69" t="s">
        <v>331</v>
      </c>
    </row>
    <row r="83" ht="15.75">
      <c r="A83" s="69" t="s">
        <v>332</v>
      </c>
    </row>
    <row r="84" ht="15.75">
      <c r="A84" s="69" t="s">
        <v>364</v>
      </c>
    </row>
    <row r="85" ht="15.75">
      <c r="A85" s="69" t="s">
        <v>363</v>
      </c>
    </row>
    <row r="86" ht="15.75">
      <c r="A86" s="69" t="s">
        <v>365</v>
      </c>
    </row>
    <row r="87" ht="15.75">
      <c r="A87" s="69" t="s">
        <v>367</v>
      </c>
    </row>
    <row r="88" ht="22.5" customHeight="1">
      <c r="A88" s="72" t="s">
        <v>366</v>
      </c>
    </row>
    <row r="89" ht="22.5" customHeight="1">
      <c r="A89" s="72" t="s">
        <v>381</v>
      </c>
    </row>
    <row r="90" ht="22.5" customHeight="1">
      <c r="A90" s="403" t="s">
        <v>385</v>
      </c>
    </row>
    <row r="92" ht="15.75">
      <c r="A92" s="393" t="s">
        <v>322</v>
      </c>
    </row>
    <row r="93" ht="15.75">
      <c r="A93" s="69" t="s">
        <v>323</v>
      </c>
    </row>
    <row r="94" ht="15.75">
      <c r="A94" s="69" t="s">
        <v>324</v>
      </c>
    </row>
    <row r="96" ht="15.75">
      <c r="A96" s="393" t="s">
        <v>113</v>
      </c>
    </row>
    <row r="97" ht="15.75">
      <c r="A97" s="69" t="s">
        <v>93</v>
      </c>
    </row>
    <row r="98" ht="15.75">
      <c r="A98" s="69" t="s">
        <v>94</v>
      </c>
    </row>
    <row r="99" ht="15.75">
      <c r="A99" s="69" t="s">
        <v>95</v>
      </c>
    </row>
    <row r="100" ht="15.75">
      <c r="A100" s="69" t="s">
        <v>96</v>
      </c>
    </row>
    <row r="101" ht="15.75">
      <c r="A101" s="69" t="s">
        <v>97</v>
      </c>
    </row>
    <row r="102" ht="15.75">
      <c r="A102" s="69" t="s">
        <v>98</v>
      </c>
    </row>
    <row r="103" ht="31.5">
      <c r="A103" s="72" t="s">
        <v>99</v>
      </c>
    </row>
    <row r="104" ht="31.5">
      <c r="A104" s="72" t="s">
        <v>100</v>
      </c>
    </row>
    <row r="105" ht="15.75">
      <c r="A105" s="72" t="s">
        <v>101</v>
      </c>
    </row>
    <row r="106" ht="15.75">
      <c r="A106" s="72" t="s">
        <v>102</v>
      </c>
    </row>
    <row r="107" ht="31.5">
      <c r="A107" s="72" t="s">
        <v>103</v>
      </c>
    </row>
    <row r="108" ht="15.75">
      <c r="A108" s="69" t="s">
        <v>104</v>
      </c>
    </row>
    <row r="109" ht="31.5">
      <c r="A109" s="72" t="s">
        <v>105</v>
      </c>
    </row>
    <row r="110" ht="15.75">
      <c r="A110" s="69" t="s">
        <v>106</v>
      </c>
    </row>
    <row r="111" ht="15.75">
      <c r="A111" s="69" t="s">
        <v>107</v>
      </c>
    </row>
    <row r="112" ht="15.75">
      <c r="A112" s="69" t="s">
        <v>108</v>
      </c>
    </row>
    <row r="113" ht="15.75">
      <c r="A113" s="69" t="s">
        <v>109</v>
      </c>
    </row>
    <row r="114" ht="31.5">
      <c r="A114" s="72" t="s">
        <v>110</v>
      </c>
    </row>
    <row r="115" ht="15.75">
      <c r="A115" s="69" t="s">
        <v>111</v>
      </c>
    </row>
    <row r="118" ht="15.75">
      <c r="A118" s="393" t="s">
        <v>87</v>
      </c>
    </row>
    <row r="119" ht="15.75">
      <c r="A119" s="69" t="s">
        <v>90</v>
      </c>
    </row>
    <row r="120" ht="15.75">
      <c r="A120" s="69" t="s">
        <v>88</v>
      </c>
    </row>
    <row r="121" ht="15.75">
      <c r="A121" s="69" t="s">
        <v>89</v>
      </c>
    </row>
    <row r="122" ht="15.75">
      <c r="A122" s="69" t="s">
        <v>333</v>
      </c>
    </row>
    <row r="124" ht="15.75">
      <c r="A124" s="393" t="s">
        <v>83</v>
      </c>
    </row>
    <row r="125" ht="31.5">
      <c r="A125" s="72" t="s">
        <v>84</v>
      </c>
    </row>
    <row r="126" ht="15.75">
      <c r="A126" s="69" t="s">
        <v>85</v>
      </c>
    </row>
    <row r="127" ht="15.75">
      <c r="A127" s="69" t="s">
        <v>86</v>
      </c>
    </row>
    <row r="130" ht="15.75">
      <c r="A130" s="393" t="s">
        <v>29</v>
      </c>
    </row>
    <row r="131" ht="47.25">
      <c r="A131" s="72" t="s">
        <v>334</v>
      </c>
    </row>
    <row r="132" ht="15.75">
      <c r="A132" s="69" t="s">
        <v>30</v>
      </c>
    </row>
    <row r="133" ht="15.75">
      <c r="A133" s="69" t="s">
        <v>36</v>
      </c>
    </row>
    <row r="134" ht="15.75">
      <c r="A134" s="69" t="s">
        <v>335</v>
      </c>
    </row>
    <row r="135" ht="15.75">
      <c r="A135" s="69" t="s">
        <v>31</v>
      </c>
    </row>
    <row r="136" ht="15.75">
      <c r="A136" s="69" t="s">
        <v>32</v>
      </c>
    </row>
    <row r="137" ht="15.75">
      <c r="A137" s="69" t="s">
        <v>37</v>
      </c>
    </row>
    <row r="138" ht="15.75">
      <c r="A138" s="72" t="s">
        <v>53</v>
      </c>
    </row>
    <row r="139" ht="31.5">
      <c r="A139" s="72" t="s">
        <v>118</v>
      </c>
    </row>
    <row r="140" ht="15.75">
      <c r="A140" s="69" t="s">
        <v>38</v>
      </c>
    </row>
    <row r="141" ht="15.75">
      <c r="A141" s="69" t="s">
        <v>39</v>
      </c>
    </row>
    <row r="142" ht="15.75">
      <c r="A142" s="69" t="s">
        <v>336</v>
      </c>
    </row>
    <row r="143" ht="15.75">
      <c r="A143" s="69" t="s">
        <v>52</v>
      </c>
    </row>
    <row r="144" ht="15.75">
      <c r="A144" s="69" t="s">
        <v>337</v>
      </c>
    </row>
    <row r="145" ht="31.5">
      <c r="A145" s="72" t="s">
        <v>338</v>
      </c>
    </row>
    <row r="146" ht="15.75">
      <c r="A146" s="69" t="s">
        <v>40</v>
      </c>
    </row>
    <row r="147" ht="15.75">
      <c r="A147" s="69" t="s">
        <v>41</v>
      </c>
    </row>
    <row r="148" ht="31.5">
      <c r="A148" s="72" t="s">
        <v>42</v>
      </c>
    </row>
    <row r="149" ht="15.75">
      <c r="A149" s="69" t="s">
        <v>339</v>
      </c>
    </row>
    <row r="150" ht="15.75">
      <c r="A150" s="69" t="s">
        <v>44</v>
      </c>
    </row>
    <row r="151" ht="15.75">
      <c r="A151" s="69" t="s">
        <v>43</v>
      </c>
    </row>
    <row r="152" ht="15.75">
      <c r="A152" s="69" t="s">
        <v>49</v>
      </c>
    </row>
    <row r="153" ht="15.75">
      <c r="A153" s="69" t="s">
        <v>55</v>
      </c>
    </row>
    <row r="154" ht="15.75">
      <c r="A154" s="69" t="s">
        <v>56</v>
      </c>
    </row>
    <row r="155" ht="15.75">
      <c r="A155" s="69" t="s">
        <v>59</v>
      </c>
    </row>
    <row r="156" ht="15.75">
      <c r="A156" s="69" t="s">
        <v>340</v>
      </c>
    </row>
    <row r="157" ht="15.75">
      <c r="A157" s="69" t="s">
        <v>115</v>
      </c>
    </row>
    <row r="158" ht="15.75">
      <c r="A158" s="69" t="s">
        <v>341</v>
      </c>
    </row>
    <row r="159" ht="15.75">
      <c r="A159" s="69" t="s">
        <v>61</v>
      </c>
    </row>
    <row r="160" ht="15.75">
      <c r="A160" s="69" t="s">
        <v>63</v>
      </c>
    </row>
    <row r="161" ht="15.75">
      <c r="A161" s="69" t="s">
        <v>64</v>
      </c>
    </row>
    <row r="162" ht="15.75">
      <c r="A162" s="69" t="s">
        <v>116</v>
      </c>
    </row>
    <row r="163" ht="15.75">
      <c r="A163" s="69" t="s">
        <v>117</v>
      </c>
    </row>
    <row r="164" ht="15.75">
      <c r="A164" s="69" t="s">
        <v>82</v>
      </c>
    </row>
    <row r="165" ht="15.75">
      <c r="A165" s="69" t="s">
        <v>80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3"/>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1" ht="15">
      <c r="J1" s="605" t="s">
        <v>795</v>
      </c>
    </row>
    <row r="2" spans="1:10" ht="54" customHeight="1">
      <c r="A2" s="730" t="s">
        <v>386</v>
      </c>
      <c r="B2" s="731"/>
      <c r="C2" s="731"/>
      <c r="D2" s="731"/>
      <c r="E2" s="731"/>
      <c r="F2" s="731"/>
      <c r="J2" s="605" t="s">
        <v>796</v>
      </c>
    </row>
    <row r="3" spans="1:10" ht="15.75">
      <c r="A3" s="2" t="s">
        <v>793</v>
      </c>
      <c r="B3" s="679" t="s">
        <v>902</v>
      </c>
      <c r="J3" s="605" t="s">
        <v>797</v>
      </c>
    </row>
    <row r="4" spans="1:10" ht="15.75">
      <c r="A4" s="405"/>
      <c r="B4" s="405"/>
      <c r="C4" s="405"/>
      <c r="D4" s="604" t="s">
        <v>794</v>
      </c>
      <c r="E4" s="405"/>
      <c r="F4" s="405"/>
      <c r="J4" s="605" t="s">
        <v>798</v>
      </c>
    </row>
    <row r="5" spans="1:10" ht="15.75">
      <c r="A5" s="406" t="s">
        <v>387</v>
      </c>
      <c r="B5" s="407" t="s">
        <v>1078</v>
      </c>
      <c r="C5" s="408"/>
      <c r="D5" s="604" t="str">
        <f>IF(B5="","",CONCATENATE("Latest date for notice to be published in your newspaper: ",G18," ",G22,", ",G23))</f>
        <v>Latest date for notice to be published in your newspaper: August 25, 2012</v>
      </c>
      <c r="E5" s="405"/>
      <c r="F5" s="405"/>
      <c r="J5" s="605" t="s">
        <v>799</v>
      </c>
    </row>
    <row r="6" spans="1:10" ht="15.75">
      <c r="A6" s="406"/>
      <c r="B6" s="409"/>
      <c r="C6" s="410"/>
      <c r="D6" s="406"/>
      <c r="E6" s="405"/>
      <c r="F6" s="405"/>
      <c r="J6" s="605" t="s">
        <v>800</v>
      </c>
    </row>
    <row r="7" spans="1:10" ht="15.75">
      <c r="A7" s="406" t="s">
        <v>388</v>
      </c>
      <c r="B7" s="407" t="s">
        <v>1079</v>
      </c>
      <c r="C7" s="411"/>
      <c r="D7" s="406"/>
      <c r="E7" s="405"/>
      <c r="F7" s="405"/>
      <c r="J7" s="605" t="s">
        <v>801</v>
      </c>
    </row>
    <row r="8" spans="1:10" ht="15.75">
      <c r="A8" s="406"/>
      <c r="B8" s="406"/>
      <c r="C8" s="406"/>
      <c r="D8" s="406"/>
      <c r="E8" s="405"/>
      <c r="F8" s="405"/>
      <c r="J8" s="605" t="s">
        <v>802</v>
      </c>
    </row>
    <row r="9" spans="1:10" ht="15.75">
      <c r="A9" s="406" t="s">
        <v>389</v>
      </c>
      <c r="B9" s="412" t="s">
        <v>1077</v>
      </c>
      <c r="C9" s="412"/>
      <c r="D9" s="412"/>
      <c r="E9" s="413"/>
      <c r="F9" s="405"/>
      <c r="J9" s="605" t="s">
        <v>803</v>
      </c>
    </row>
    <row r="10" spans="1:10" ht="15.75">
      <c r="A10" s="406"/>
      <c r="B10" s="406"/>
      <c r="C10" s="406"/>
      <c r="D10" s="406"/>
      <c r="E10" s="405"/>
      <c r="F10" s="405"/>
      <c r="J10" s="605" t="s">
        <v>804</v>
      </c>
    </row>
    <row r="11" spans="1:10" ht="15.75">
      <c r="A11" s="406"/>
      <c r="B11" s="406"/>
      <c r="C11" s="406"/>
      <c r="D11" s="406"/>
      <c r="E11" s="405"/>
      <c r="F11" s="405"/>
      <c r="J11" s="605" t="s">
        <v>805</v>
      </c>
    </row>
    <row r="12" spans="1:10" ht="15.75">
      <c r="A12" s="406" t="s">
        <v>391</v>
      </c>
      <c r="B12" s="412" t="s">
        <v>903</v>
      </c>
      <c r="C12" s="412"/>
      <c r="D12" s="412"/>
      <c r="E12" s="413"/>
      <c r="F12" s="405"/>
      <c r="J12" s="605" t="s">
        <v>806</v>
      </c>
    </row>
    <row r="15" spans="1:6" ht="15.75">
      <c r="A15" s="732" t="s">
        <v>392</v>
      </c>
      <c r="B15" s="732"/>
      <c r="C15" s="406"/>
      <c r="D15" s="406"/>
      <c r="E15" s="406"/>
      <c r="F15" s="405"/>
    </row>
    <row r="16" spans="1:6" ht="15.75">
      <c r="A16" s="406"/>
      <c r="B16" s="406"/>
      <c r="C16" s="406"/>
      <c r="D16" s="406"/>
      <c r="E16" s="406"/>
      <c r="F16" s="405"/>
    </row>
    <row r="17" spans="1:5" ht="15.75">
      <c r="A17" s="406" t="s">
        <v>387</v>
      </c>
      <c r="B17" s="409" t="s">
        <v>393</v>
      </c>
      <c r="C17" s="406"/>
      <c r="D17" s="406"/>
      <c r="E17" s="406"/>
    </row>
    <row r="18" spans="1:7" ht="15.75">
      <c r="A18" s="406"/>
      <c r="B18" s="406"/>
      <c r="C18" s="406"/>
      <c r="D18" s="406"/>
      <c r="E18" s="406"/>
      <c r="G18" s="605" t="str">
        <f ca="1">IF(B5="","",INDIRECT(G19))</f>
        <v>August</v>
      </c>
    </row>
    <row r="19" spans="1:7" ht="15.75">
      <c r="A19" s="406" t="s">
        <v>388</v>
      </c>
      <c r="B19" s="406" t="s">
        <v>394</v>
      </c>
      <c r="C19" s="406"/>
      <c r="D19" s="406"/>
      <c r="E19" s="406"/>
      <c r="G19" s="606" t="str">
        <f>IF(B5="","",CONCATENATE("J",G21))</f>
        <v>J8</v>
      </c>
    </row>
    <row r="20" spans="1:7" ht="15.75">
      <c r="A20" s="406"/>
      <c r="B20" s="406"/>
      <c r="C20" s="406"/>
      <c r="D20" s="406"/>
      <c r="E20" s="406"/>
      <c r="G20" s="607">
        <f>B5-10</f>
        <v>41146</v>
      </c>
    </row>
    <row r="21" spans="1:7" ht="15.75">
      <c r="A21" s="406" t="s">
        <v>389</v>
      </c>
      <c r="B21" s="406" t="s">
        <v>390</v>
      </c>
      <c r="C21" s="406"/>
      <c r="D21" s="406"/>
      <c r="E21" s="406"/>
      <c r="G21" s="608">
        <f>IF(B5="","",MONTH(G20))</f>
        <v>8</v>
      </c>
    </row>
    <row r="22" spans="1:7" ht="15.75">
      <c r="A22" s="406"/>
      <c r="B22" s="406"/>
      <c r="C22" s="406"/>
      <c r="D22" s="406"/>
      <c r="E22" s="406"/>
      <c r="G22" s="609">
        <f>IF(B5="","",DAY(G20))</f>
        <v>25</v>
      </c>
    </row>
    <row r="23" spans="1:7" ht="15.75">
      <c r="A23" s="406" t="s">
        <v>391</v>
      </c>
      <c r="B23" s="406" t="s">
        <v>390</v>
      </c>
      <c r="C23" s="406"/>
      <c r="D23" s="406"/>
      <c r="E23" s="406"/>
      <c r="G23" s="610">
        <f>IF(B5="","",YEAR(G20))</f>
        <v>2012</v>
      </c>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62"/>
  <sheetViews>
    <sheetView zoomScale="90" zoomScaleNormal="90" zoomScalePageLayoutView="0" workbookViewId="0" topLeftCell="A13">
      <selection activeCell="I32" sqref="I32"/>
    </sheetView>
  </sheetViews>
  <sheetFormatPr defaultColWidth="8.796875" defaultRowHeight="15"/>
  <cols>
    <col min="1" max="1" width="20.796875" style="159" customWidth="1"/>
    <col min="2" max="2" width="9.796875" style="159" customWidth="1"/>
    <col min="3" max="3" width="5.796875" style="159" customWidth="1"/>
    <col min="4" max="6" width="15.796875" style="159" customWidth="1"/>
    <col min="7" max="16384" width="8.8984375" style="159" customWidth="1"/>
  </cols>
  <sheetData>
    <row r="1" spans="1:6" ht="12.75">
      <c r="A1" s="158"/>
      <c r="B1" s="158"/>
      <c r="C1" s="158"/>
      <c r="D1" s="158"/>
      <c r="E1" s="158"/>
      <c r="F1" s="158"/>
    </row>
    <row r="2" spans="1:6" ht="12.75">
      <c r="A2" s="734" t="s">
        <v>216</v>
      </c>
      <c r="B2" s="734"/>
      <c r="C2" s="734"/>
      <c r="D2" s="734"/>
      <c r="E2" s="734"/>
      <c r="F2" s="734"/>
    </row>
    <row r="3" spans="1:6" ht="17.25" customHeight="1">
      <c r="A3" s="160"/>
      <c r="B3" s="160"/>
      <c r="C3" s="160"/>
      <c r="D3" s="160"/>
      <c r="E3" s="160"/>
      <c r="F3" s="158">
        <f>inputPrYr!C4</f>
        <v>2013</v>
      </c>
    </row>
    <row r="4" spans="1:6" ht="15">
      <c r="A4" s="739" t="str">
        <f>CONCATENATE("To the Clerk of ",inputPrYr!C2,", State of Kansas")</f>
        <v>To the Clerk of Sheridan County, State of Kansas</v>
      </c>
      <c r="B4" s="740"/>
      <c r="C4" s="740"/>
      <c r="D4" s="740"/>
      <c r="E4" s="740"/>
      <c r="F4" s="740"/>
    </row>
    <row r="5" spans="1:6" ht="15">
      <c r="A5" s="739" t="s">
        <v>5</v>
      </c>
      <c r="B5" s="741"/>
      <c r="C5" s="741"/>
      <c r="D5" s="741"/>
      <c r="E5" s="741"/>
      <c r="F5" s="741"/>
    </row>
    <row r="6" spans="1:6" ht="15">
      <c r="A6" s="737" t="str">
        <f>(inputPrYr!C2)</f>
        <v>Sheridan County</v>
      </c>
      <c r="B6" s="738"/>
      <c r="C6" s="738"/>
      <c r="D6" s="738"/>
      <c r="E6" s="738"/>
      <c r="F6" s="738"/>
    </row>
    <row r="7" spans="1:6" ht="12.75">
      <c r="A7" s="162" t="s">
        <v>127</v>
      </c>
      <c r="B7" s="163"/>
      <c r="C7" s="163"/>
      <c r="D7" s="163"/>
      <c r="E7" s="163"/>
      <c r="F7" s="163"/>
    </row>
    <row r="8" spans="1:6" ht="12.75">
      <c r="A8" s="162" t="s">
        <v>128</v>
      </c>
      <c r="B8" s="163"/>
      <c r="C8" s="163"/>
      <c r="D8" s="163"/>
      <c r="E8" s="163"/>
      <c r="F8" s="163"/>
    </row>
    <row r="9" spans="1:6" ht="12.75">
      <c r="A9" s="162" t="str">
        <f>CONCATENATE("maximum expenditure for the various funds for the year ",F3,"; and")</f>
        <v>maximum expenditure for the various funds for the year 2013; and</v>
      </c>
      <c r="B9" s="163"/>
      <c r="C9" s="163"/>
      <c r="D9" s="163"/>
      <c r="E9" s="163"/>
      <c r="F9" s="163"/>
    </row>
    <row r="10" spans="1:6" ht="12.75">
      <c r="A10" s="162" t="str">
        <f>CONCATENATE("(3) the Amount(s) of ",F3-1," Ad Valorem Tax are within statutory limitations.")</f>
        <v>(3) the Amount(s) of 2012 Ad Valorem Tax are within statutory limitations.</v>
      </c>
      <c r="B10" s="163"/>
      <c r="C10" s="163"/>
      <c r="D10" s="163"/>
      <c r="E10" s="163"/>
      <c r="F10" s="163"/>
    </row>
    <row r="11" spans="1:6" ht="8.25" customHeight="1">
      <c r="A11" s="164"/>
      <c r="B11" s="160"/>
      <c r="C11" s="160"/>
      <c r="D11" s="165"/>
      <c r="E11" s="165"/>
      <c r="F11" s="165"/>
    </row>
    <row r="12" spans="1:6" ht="12.75">
      <c r="A12" s="160"/>
      <c r="B12" s="160"/>
      <c r="C12" s="160"/>
      <c r="D12" s="166" t="str">
        <f>CONCATENATE("",F3," Adopted Budget")</f>
        <v>2013 Adopted Budget</v>
      </c>
      <c r="E12" s="167"/>
      <c r="F12" s="168"/>
    </row>
    <row r="13" spans="1:6" ht="13.5" customHeight="1">
      <c r="A13" s="160"/>
      <c r="B13" s="160"/>
      <c r="C13" s="169" t="s">
        <v>129</v>
      </c>
      <c r="D13" s="448" t="s">
        <v>648</v>
      </c>
      <c r="E13" s="735" t="str">
        <f>CONCATENATE("Amount of ",F3-1,"               Ad Valorem Tax")</f>
        <v>Amount of 2012               Ad Valorem Tax</v>
      </c>
      <c r="F13" s="169" t="s">
        <v>130</v>
      </c>
    </row>
    <row r="14" spans="1:6" ht="12.75" customHeight="1">
      <c r="A14" s="170" t="s">
        <v>131</v>
      </c>
      <c r="B14" s="171"/>
      <c r="C14" s="172" t="s">
        <v>132</v>
      </c>
      <c r="D14" s="447" t="s">
        <v>649</v>
      </c>
      <c r="E14" s="736"/>
      <c r="F14" s="172" t="s">
        <v>134</v>
      </c>
    </row>
    <row r="15" spans="1:6" ht="12.75">
      <c r="A15" s="173" t="str">
        <f>CONCATENATE("Computation to Determine Limit for ",F3,"")</f>
        <v>Computation to Determine Limit for 2013</v>
      </c>
      <c r="B15" s="177"/>
      <c r="C15" s="172">
        <v>2</v>
      </c>
      <c r="D15" s="174"/>
      <c r="E15" s="174"/>
      <c r="F15" s="174"/>
    </row>
    <row r="16" spans="1:6" ht="12.75">
      <c r="A16" s="176" t="s">
        <v>817</v>
      </c>
      <c r="B16" s="177"/>
      <c r="C16" s="178">
        <v>3</v>
      </c>
      <c r="D16" s="174"/>
      <c r="E16" s="174"/>
      <c r="F16" s="174"/>
    </row>
    <row r="17" spans="1:6" ht="12.75">
      <c r="A17" s="629" t="s">
        <v>267</v>
      </c>
      <c r="B17" s="668"/>
      <c r="C17" s="178">
        <v>4</v>
      </c>
      <c r="D17" s="174"/>
      <c r="E17" s="174"/>
      <c r="F17" s="174"/>
    </row>
    <row r="18" spans="1:6" ht="12.75">
      <c r="A18" s="176" t="s">
        <v>135</v>
      </c>
      <c r="B18" s="177"/>
      <c r="C18" s="179">
        <v>5</v>
      </c>
      <c r="D18" s="180"/>
      <c r="E18" s="180"/>
      <c r="F18" s="180"/>
    </row>
    <row r="19" spans="1:6" ht="12.75">
      <c r="A19" s="176" t="s">
        <v>136</v>
      </c>
      <c r="B19" s="177"/>
      <c r="C19" s="181">
        <v>6</v>
      </c>
      <c r="D19" s="180"/>
      <c r="E19" s="180"/>
      <c r="F19" s="180"/>
    </row>
    <row r="20" spans="1:6" ht="12.75">
      <c r="A20" s="182" t="s">
        <v>137</v>
      </c>
      <c r="B20" s="183" t="s">
        <v>138</v>
      </c>
      <c r="C20" s="184"/>
      <c r="D20" s="185"/>
      <c r="E20" s="185"/>
      <c r="F20" s="185"/>
    </row>
    <row r="21" spans="1:6" ht="15.75">
      <c r="A21" s="173" t="str">
        <f>inputPrYr!B16</f>
        <v>General</v>
      </c>
      <c r="B21" s="186" t="str">
        <f>inputPrYr!C16</f>
        <v>79-1946</v>
      </c>
      <c r="C21" s="179">
        <v>7</v>
      </c>
      <c r="D21" s="672">
        <f>IF(general!$E$94&lt;&gt;0,general!$E$94,"  ")</f>
        <v>3085383</v>
      </c>
      <c r="E21" s="673">
        <f>IF(general!$E$101&lt;&gt;0,general!$E$101,0)</f>
        <v>1824066.06</v>
      </c>
      <c r="F21" s="674" t="str">
        <f>IF(AND(general!E101=0,$F$47&gt;=0)," ",IF(AND(E21&gt;0,$F$47=0)," ",IF(AND(E21&gt;0,$F$47&gt;0),ROUND(E21/$F$47*1000,3))))</f>
        <v> </v>
      </c>
    </row>
    <row r="22" spans="1:6" ht="15.75">
      <c r="A22" s="173" t="str">
        <f>inputPrYr!B18</f>
        <v>Road &amp; Bridge</v>
      </c>
      <c r="B22" s="186" t="str">
        <f>inputPrYr!C18</f>
        <v>79-1946</v>
      </c>
      <c r="C22" s="179">
        <v>8</v>
      </c>
      <c r="D22" s="672">
        <f>IF(road!$E$42&lt;&gt;0,road!$E$42,"  ")</f>
        <v>2439498</v>
      </c>
      <c r="E22" s="673">
        <f>IF(road!$E$49&lt;&gt;0,road!$E$49,0)</f>
        <v>1409535.8</v>
      </c>
      <c r="F22" s="674" t="str">
        <f>IF(AND(road!E49=0,$F$47&gt;=0)," ",IF(AND(E22&gt;0,$F$47=0)," ",IF(AND(E22&gt;0,$F$47&gt;0),ROUND(E22/$F$47*1000,3))))</f>
        <v> </v>
      </c>
    </row>
    <row r="23" spans="1:6" ht="15.75">
      <c r="A23" s="187" t="str">
        <f>IF((inputPrYr!$B19&gt;"  "),(inputPrYr!$B19),"  ")</f>
        <v>Noxious Weed</v>
      </c>
      <c r="B23" s="186" t="str">
        <f>IF((inputPrYr!C19&gt;0),(inputPrYr!C19),"  ")</f>
        <v>2-1318</v>
      </c>
      <c r="C23" s="179">
        <v>9</v>
      </c>
      <c r="D23" s="672">
        <f>IF('levy page9'!$E$25&lt;&gt;0,'levy page9'!$E$25,"  ")</f>
        <v>190187</v>
      </c>
      <c r="E23" s="673">
        <f>IF('levy page9'!$E$32&lt;&gt;0,'levy page9'!$E$32,0)</f>
        <v>120361</v>
      </c>
      <c r="F23" s="674" t="str">
        <f>IF(AND('levy page9'!E32=0,$F$47&gt;=0)," ",IF(AND(E23&gt;0,$F$47=0)," ",IF(AND(E23&gt;0,$F$47&gt;0),ROUND(E23/$F$47*1000,3))))</f>
        <v> </v>
      </c>
    </row>
    <row r="24" spans="1:6" ht="15.75">
      <c r="A24" s="187" t="str">
        <f>IF((inputPrYr!$B20&gt;"  "),(inputPrYr!$B20),"  ")</f>
        <v>Mental Health</v>
      </c>
      <c r="B24" s="186" t="str">
        <f>IF((inputPrYr!C20&gt;0),(inputPrYr!C20),"  ")</f>
        <v>19-4011</v>
      </c>
      <c r="C24" s="179">
        <v>9</v>
      </c>
      <c r="D24" s="672">
        <f>IF('levy page9'!$E$52&lt;&gt;0,'levy page9'!$E$52,"  ")</f>
        <v>16582</v>
      </c>
      <c r="E24" s="673">
        <f>IF('levy page9'!$E$59&lt;&gt;0,'levy page9'!$E$59,0)</f>
        <v>15033</v>
      </c>
      <c r="F24" s="674" t="str">
        <f>IF(AND('levy page9'!E59=0,$F$47&gt;=0)," ",IF(AND(E24&gt;0,$F$47=0)," ",IF(AND(E24&gt;0,$F$47&gt;0),ROUND(E24/$F$47*1000,3))))</f>
        <v> </v>
      </c>
    </row>
    <row r="25" spans="1:6" ht="15.75">
      <c r="A25" s="187" t="str">
        <f>IF((inputPrYr!$B21&gt;"  "),(inputPrYr!$B21),"  ")</f>
        <v>Public Health</v>
      </c>
      <c r="B25" s="186" t="str">
        <f>IF((inputPrYr!C21&gt;0),(inputPrYr!C21),"  ")</f>
        <v>Sp. Elec.</v>
      </c>
      <c r="C25" s="179">
        <v>10</v>
      </c>
      <c r="D25" s="672">
        <f>IF('levy page10'!$E$28&lt;&gt;0,'levy page10'!$E$28,"  ")</f>
        <v>129017</v>
      </c>
      <c r="E25" s="673">
        <f>IF('levy page10'!$E$35&lt;&gt;0,'levy page10'!$E$35,0)</f>
        <v>21718</v>
      </c>
      <c r="F25" s="674" t="str">
        <f>IF(AND('levy page10'!E35=0,$F$47&gt;=0)," ",IF(AND(E25&gt;0,$F$47=0)," ",IF(AND(E25&gt;0,$F$47&gt;0),ROUND(E25/$F$47*1000,3))))</f>
        <v> </v>
      </c>
    </row>
    <row r="26" spans="1:6" ht="15.75">
      <c r="A26" s="187" t="str">
        <f>IF((inputPrYr!$B22&gt;"  "),(inputPrYr!$B22),"  ")</f>
        <v>Council on Aging</v>
      </c>
      <c r="B26" s="186" t="str">
        <f>IF((inputPrYr!C22&gt;0),(inputPrYr!C22),"  ")</f>
        <v>Sp. Elec.</v>
      </c>
      <c r="C26" s="179">
        <v>10</v>
      </c>
      <c r="D26" s="672">
        <f>IF('levy page10'!$E$55&lt;&gt;0,'levy page10'!$E$55,"  ")</f>
        <v>36307</v>
      </c>
      <c r="E26" s="673">
        <f>IF('levy page10'!$E$62&lt;&gt;0,'levy page10'!$E$62,0)</f>
        <v>32903</v>
      </c>
      <c r="F26" s="674" t="str">
        <f>IF(AND('levy page10'!E62=0,$F$47&gt;=0)," ",IF(AND(E26&gt;0,$F$47=0)," ",IF(AND(E26&gt;0,$F$47&gt;0),ROUND(E26/$F$47*1000,3))))</f>
        <v> </v>
      </c>
    </row>
    <row r="27" spans="1:6" ht="15.75">
      <c r="A27" s="187" t="str">
        <f>IF((inputPrYr!$B23&gt;"  "),(inputPrYr!$B23),"  ")</f>
        <v>Library Service Contract</v>
      </c>
      <c r="B27" s="186" t="str">
        <f>IF((inputPrYr!C23&gt;0),(inputPrYr!C23),"  ")</f>
        <v>12-1230</v>
      </c>
      <c r="C27" s="179">
        <v>11</v>
      </c>
      <c r="D27" s="672">
        <f>IF('levy page11'!$E$22&lt;&gt;0,'levy page11'!$E$22,"  ")</f>
        <v>17587</v>
      </c>
      <c r="E27" s="673">
        <f>IF('levy page11'!$E$29&lt;&gt;0,'levy page11'!$E$29,0)</f>
        <v>15899</v>
      </c>
      <c r="F27" s="674" t="str">
        <f>IF(AND('levy page11'!E29=0,$F$47&gt;=0)," ",IF(AND(E27&gt;0,$F$47=0)," ",IF(AND(E27&gt;0,$F$47&gt;0),ROUND(E27/$F$47*1000,3))))</f>
        <v> </v>
      </c>
    </row>
    <row r="28" spans="1:6" ht="15.75">
      <c r="A28" s="187" t="str">
        <f>IF((inputPrYr!$B24&gt;"  "),(inputPrYr!$B24),"  ")</f>
        <v>Hospital Maintenance</v>
      </c>
      <c r="B28" s="186" t="str">
        <f>IF((inputPrYr!C24&gt;0),(inputPrYr!C24),"  ")</f>
        <v>19-4606</v>
      </c>
      <c r="C28" s="179">
        <v>11</v>
      </c>
      <c r="D28" s="672">
        <f>IF('levy page11'!$E$50&lt;&gt;0,'levy page11'!$E$50,"  ")</f>
        <v>900848</v>
      </c>
      <c r="E28" s="673">
        <f>IF('levy page11'!$E$57&lt;&gt;0,'levy page11'!$E$57,0)</f>
        <v>443090</v>
      </c>
      <c r="F28" s="674" t="str">
        <f>IF(AND('levy page11'!E57=0,$F$47&gt;=0)," ",IF(AND(E28&gt;0,$F$47=0)," ",IF(AND(E28&gt;0,$F$47&gt;0),ROUND(E28/$F$47*1000,3))))</f>
        <v> </v>
      </c>
    </row>
    <row r="29" spans="1:6" ht="15.75">
      <c r="A29" s="187" t="str">
        <f>IF((inputPrYr!$B25&gt;"  "),(inputPrYr!$B25),"  ")</f>
        <v>Mental Retardation</v>
      </c>
      <c r="B29" s="186" t="str">
        <f>IF((inputPrYr!C25&gt;0),(inputPrYr!C25),"  ")</f>
        <v>19-4011</v>
      </c>
      <c r="C29" s="179">
        <v>12</v>
      </c>
      <c r="D29" s="672">
        <f>IF('levy page12'!$E$24&lt;&gt;0,'levy page12'!$E$24,"  ")</f>
        <v>46532</v>
      </c>
      <c r="E29" s="673">
        <f>IF('levy page12'!$E$31&lt;&gt;0,'levy page12'!$E$31,0)</f>
        <v>42304</v>
      </c>
      <c r="F29" s="674"/>
    </row>
    <row r="30" spans="1:6" ht="15.75">
      <c r="A30" s="187" t="str">
        <f>IF((inputPrYr!$B26&gt;"  "),(inputPrYr!$B26),"  ")</f>
        <v>Pool Lease-Purchase</v>
      </c>
      <c r="B30" s="186" t="str">
        <f>IF((inputPrYr!C26&gt;0),(inputPrYr!C26),"  ")</f>
        <v>10-1116(c)</v>
      </c>
      <c r="C30" s="179">
        <v>12</v>
      </c>
      <c r="D30" s="672">
        <f>IF('levy page12'!$E$53&lt;&gt;0,'levy page12'!$E$53,"  ")</f>
        <v>138000</v>
      </c>
      <c r="E30" s="673">
        <f>IF('levy page12'!$E$60&lt;&gt;0,'levy page12'!$E$60,0)</f>
        <v>139380</v>
      </c>
      <c r="F30" s="674"/>
    </row>
    <row r="31" spans="1:6" ht="15.75">
      <c r="A31" s="187"/>
      <c r="B31" s="186"/>
      <c r="C31" s="179"/>
      <c r="D31" s="672"/>
      <c r="E31" s="673"/>
      <c r="F31" s="674"/>
    </row>
    <row r="32" spans="1:6" ht="12.75">
      <c r="A32" s="187" t="str">
        <f>IF((inputPrYr!$B43&gt;"  "),(inputPrYr!$B43),"  ")</f>
        <v>Noxious Weed Capital Outlay</v>
      </c>
      <c r="B32" s="190"/>
      <c r="C32" s="179">
        <v>13</v>
      </c>
      <c r="D32" s="672">
        <f>IF('no levy page13'!$E$22&lt;&gt;0,'no levy page13'!$E$22,"  ")</f>
        <v>75231</v>
      </c>
      <c r="E32" s="675"/>
      <c r="F32" s="675"/>
    </row>
    <row r="33" spans="1:6" ht="12.75">
      <c r="A33" s="187" t="str">
        <f>IF((inputPrYr!$B44&gt;"  "),(inputPrYr!$B44),"  ")</f>
        <v>911 Emergency Tax</v>
      </c>
      <c r="B33" s="190"/>
      <c r="C33" s="179">
        <v>13</v>
      </c>
      <c r="D33" s="672">
        <f>IF('no levy page13'!$E$48&lt;&gt;0,'no levy page13'!$E$48,"  ")</f>
        <v>39779</v>
      </c>
      <c r="E33" s="675"/>
      <c r="F33" s="675"/>
    </row>
    <row r="34" spans="1:6" ht="12.75">
      <c r="A34" s="187" t="str">
        <f>IF((inputPrYr!$B45&gt;"  "),(inputPrYr!$B45),"  ")</f>
        <v>Parks &amp; Recreation</v>
      </c>
      <c r="B34" s="190"/>
      <c r="C34" s="179">
        <v>14</v>
      </c>
      <c r="D34" s="672">
        <f>IF('no levy page14'!$E$22&lt;&gt;0,'no levy page14'!$E$22,"  ")</f>
        <v>2632</v>
      </c>
      <c r="E34" s="675"/>
      <c r="F34" s="675"/>
    </row>
    <row r="35" spans="1:6" ht="12.75">
      <c r="A35" s="187" t="str">
        <f>IF((inputPrYr!$B46&gt;"  "),(inputPrYr!$B46),"  ")</f>
        <v>Solid Waste Disposal</v>
      </c>
      <c r="B35" s="190"/>
      <c r="C35" s="179">
        <v>14</v>
      </c>
      <c r="D35" s="672">
        <f>IF('no levy page14'!$E$48&lt;&gt;0,'no levy page14'!$E$48,"  ")</f>
        <v>152045</v>
      </c>
      <c r="E35" s="675"/>
      <c r="F35" s="675"/>
    </row>
    <row r="36" spans="1:6" ht="12.75">
      <c r="A36" s="187" t="str">
        <f>IF((inputPrYr!$B47&gt;"  "),(inputPrYr!$B47),"  ")</f>
        <v>Alcohol Program</v>
      </c>
      <c r="B36" s="190"/>
      <c r="C36" s="179">
        <v>15</v>
      </c>
      <c r="D36" s="672">
        <f>IF('no levy page15'!$E$23&lt;&gt;0,'no levy page15'!$E$23,"  ")</f>
        <v>36611</v>
      </c>
      <c r="E36" s="675"/>
      <c r="F36" s="675"/>
    </row>
    <row r="37" spans="1:6" ht="12.75">
      <c r="A37" s="187" t="str">
        <f>IF((inputPrYr!$B48&gt;"  "),(inputPrYr!$B48),"  ")</f>
        <v>Special Ambulance</v>
      </c>
      <c r="B37" s="190"/>
      <c r="C37" s="179">
        <v>15</v>
      </c>
      <c r="D37" s="672">
        <f>IF('no levy page15'!$E$48&lt;&gt;0,'no levy page15'!$E$48,"  ")</f>
        <v>280094</v>
      </c>
      <c r="E37" s="675"/>
      <c r="F37" s="675"/>
    </row>
    <row r="38" spans="1:6" ht="12.75">
      <c r="A38" s="187" t="str">
        <f>IF((inputPrYr!$B49&gt;"  "),(inputPrYr!$B49),"  ")</f>
        <v>911 Wireless</v>
      </c>
      <c r="B38" s="190"/>
      <c r="C38" s="179">
        <v>16</v>
      </c>
      <c r="D38" s="672">
        <f>IF('no levy page16'!$E$23&lt;&gt;0,'no levy page16'!$E$23,"  ")</f>
        <v>91357</v>
      </c>
      <c r="E38" s="675"/>
      <c r="F38" s="675"/>
    </row>
    <row r="39" spans="1:6" ht="12.75">
      <c r="A39" s="187" t="str">
        <f>IF((inputPrYr!$B58&gt;"  "),(inputPrYr!$B58),"  ")</f>
        <v>  </v>
      </c>
      <c r="B39" s="184"/>
      <c r="C39" s="179"/>
      <c r="D39" s="672"/>
      <c r="E39" s="676"/>
      <c r="F39" s="676"/>
    </row>
    <row r="40" spans="1:6" ht="12.75">
      <c r="A40" s="187" t="str">
        <f>IF((inputPrYr!$B62&gt;"  "),(nonbudA!$A3),"  ")</f>
        <v>Non-Budgeted Funds-A</v>
      </c>
      <c r="B40" s="184"/>
      <c r="C40" s="179">
        <f>IF(nonbudA!$F$34&gt;0,nonbudA!$F$34,"  ")</f>
        <v>17</v>
      </c>
      <c r="D40" s="672"/>
      <c r="E40" s="676"/>
      <c r="F40" s="676"/>
    </row>
    <row r="41" spans="1:6" ht="12.75">
      <c r="A41" s="187" t="str">
        <f>IF((inputPrYr!$B68&gt;"  "),(nonbudB!$A3),"  ")</f>
        <v>Non-Budgeted Funds-B</v>
      </c>
      <c r="B41" s="184"/>
      <c r="C41" s="179">
        <f>IF(nonbudB!$F$35&gt;0,nonbudB!$F$35,"  ")</f>
        <v>18</v>
      </c>
      <c r="D41" s="672"/>
      <c r="E41" s="676"/>
      <c r="F41" s="676"/>
    </row>
    <row r="42" spans="1:6" ht="12.75">
      <c r="A42" s="187" t="str">
        <f>IF((inputPrYr!$B74&gt;"  "),(nonbudC!$A3),"  ")</f>
        <v>Non-Budgeted Funds-C</v>
      </c>
      <c r="B42" s="184"/>
      <c r="C42" s="179">
        <f>IF(nonbudC!$F$35&gt;0,nonbudC!$F$35,"  ")</f>
        <v>19</v>
      </c>
      <c r="D42" s="672"/>
      <c r="E42" s="676"/>
      <c r="F42" s="676"/>
    </row>
    <row r="43" spans="1:6" ht="12.75">
      <c r="A43" s="187" t="str">
        <f>IF((inputPrYr!$B80&gt;"  "),(#REF!),"  ")</f>
        <v>  </v>
      </c>
      <c r="B43" s="184"/>
      <c r="C43" s="179"/>
      <c r="D43" s="672"/>
      <c r="E43" s="676"/>
      <c r="F43" s="676"/>
    </row>
    <row r="44" spans="1:6" ht="14.25" customHeight="1" thickBot="1">
      <c r="A44" s="192" t="s">
        <v>151</v>
      </c>
      <c r="B44" s="191"/>
      <c r="C44" s="179" t="s">
        <v>46</v>
      </c>
      <c r="D44" s="677">
        <f>SUM(D21:D43)</f>
        <v>7677690</v>
      </c>
      <c r="E44" s="677">
        <f>SUM(E21:E30)</f>
        <v>4064289.8600000003</v>
      </c>
      <c r="F44" s="678">
        <f>IF(SUM(F21:F30)=0,"",SUM(F21:F30))</f>
      </c>
    </row>
    <row r="45" spans="1:6" ht="14.25" customHeight="1" thickTop="1">
      <c r="A45" s="193" t="s">
        <v>45</v>
      </c>
      <c r="B45" s="194"/>
      <c r="C45" s="179">
        <v>20</v>
      </c>
      <c r="D45" s="195"/>
      <c r="E45" s="195"/>
      <c r="F45" s="175"/>
    </row>
    <row r="46" spans="1:6" ht="12.75">
      <c r="A46" s="176" t="s">
        <v>79</v>
      </c>
      <c r="B46" s="177"/>
      <c r="C46" s="179">
        <v>21</v>
      </c>
      <c r="D46" s="196"/>
      <c r="E46" s="160"/>
      <c r="F46" s="443" t="s">
        <v>294</v>
      </c>
    </row>
    <row r="47" spans="1:6" ht="15.75">
      <c r="A47" s="742" t="s">
        <v>70</v>
      </c>
      <c r="B47" s="743"/>
      <c r="C47" s="179">
        <v>22</v>
      </c>
      <c r="D47" s="197" t="s">
        <v>48</v>
      </c>
      <c r="E47" s="198" t="str">
        <f>IF(E44&gt;computation!J35,"Yes","No")</f>
        <v>Yes</v>
      </c>
      <c r="F47" s="199"/>
    </row>
    <row r="48" spans="1:6" ht="14.25" customHeight="1">
      <c r="A48" s="176" t="s">
        <v>47</v>
      </c>
      <c r="B48" s="200"/>
      <c r="C48" s="179">
        <v>23</v>
      </c>
      <c r="D48" s="196"/>
      <c r="E48" s="175"/>
      <c r="F48" s="745" t="str">
        <f>CONCATENATE("Nov 1, ",F3-1," Total Assessed Valuation")</f>
        <v>Nov 1, 2012 Total Assessed Valuation</v>
      </c>
    </row>
    <row r="49" spans="1:6" ht="12.75">
      <c r="A49" s="158" t="s">
        <v>141</v>
      </c>
      <c r="B49" s="160"/>
      <c r="C49" s="164"/>
      <c r="D49" s="160"/>
      <c r="E49" s="160"/>
      <c r="F49" s="746"/>
    </row>
    <row r="50" spans="1:6" ht="12.75">
      <c r="A50" s="202" t="s">
        <v>904</v>
      </c>
      <c r="B50" s="160"/>
      <c r="C50" s="160"/>
      <c r="D50" s="160"/>
      <c r="E50" s="404"/>
      <c r="F50" s="404"/>
    </row>
    <row r="51" spans="1:6" ht="12.75">
      <c r="A51" s="203"/>
      <c r="B51" s="201"/>
      <c r="C51" s="175"/>
      <c r="D51" s="175"/>
      <c r="E51" s="683"/>
      <c r="F51" s="683"/>
    </row>
    <row r="52" spans="1:6" ht="12.75">
      <c r="A52" s="402" t="s">
        <v>296</v>
      </c>
      <c r="B52" s="201"/>
      <c r="C52" s="175"/>
      <c r="D52" s="175"/>
      <c r="E52" s="683"/>
      <c r="F52" s="683"/>
    </row>
    <row r="53" spans="1:6" ht="12.75">
      <c r="A53" s="202" t="s">
        <v>905</v>
      </c>
      <c r="B53" s="160"/>
      <c r="C53" s="175" t="s">
        <v>862</v>
      </c>
      <c r="D53" s="175"/>
      <c r="E53" s="682"/>
      <c r="F53" s="682"/>
    </row>
    <row r="54" spans="1:6" ht="12.75">
      <c r="A54" s="203" t="s">
        <v>906</v>
      </c>
      <c r="B54" s="204"/>
      <c r="C54" s="175"/>
      <c r="D54" s="175"/>
      <c r="E54" s="683"/>
      <c r="F54" s="684"/>
    </row>
    <row r="55" spans="1:6" ht="12.75">
      <c r="A55" s="402" t="s">
        <v>861</v>
      </c>
      <c r="B55" s="160"/>
      <c r="C55" s="175" t="s">
        <v>862</v>
      </c>
      <c r="D55" s="175"/>
      <c r="E55" s="682"/>
      <c r="F55" s="683"/>
    </row>
    <row r="56" spans="1:6" ht="15.75">
      <c r="A56" s="688" t="s">
        <v>907</v>
      </c>
      <c r="B56" s="160"/>
      <c r="C56" s="175"/>
      <c r="D56" s="175"/>
      <c r="E56" s="682"/>
      <c r="F56" s="683"/>
    </row>
    <row r="57" spans="1:6" ht="12.75">
      <c r="A57" s="402"/>
      <c r="B57" s="160"/>
      <c r="C57" s="175" t="s">
        <v>862</v>
      </c>
      <c r="D57" s="175"/>
      <c r="E57" s="682"/>
      <c r="F57" s="683"/>
    </row>
    <row r="58" spans="1:6" ht="12.75">
      <c r="A58" s="442" t="s">
        <v>6</v>
      </c>
      <c r="B58" s="205">
        <f>F3-1</f>
        <v>2012</v>
      </c>
      <c r="C58" s="175"/>
      <c r="D58" s="175"/>
      <c r="E58" s="685"/>
      <c r="F58" s="175"/>
    </row>
    <row r="59" spans="1:6" ht="12.75">
      <c r="A59" s="441"/>
      <c r="B59" s="160"/>
      <c r="C59" s="175" t="s">
        <v>862</v>
      </c>
      <c r="D59" s="175"/>
      <c r="E59" s="175"/>
      <c r="F59" s="175"/>
    </row>
    <row r="60" spans="1:6" ht="15">
      <c r="A60" s="444" t="s">
        <v>143</v>
      </c>
      <c r="B60" s="160"/>
      <c r="C60" s="744" t="s">
        <v>142</v>
      </c>
      <c r="D60" s="741"/>
      <c r="E60" s="741"/>
      <c r="F60" s="741"/>
    </row>
    <row r="61" spans="1:6" ht="12.75">
      <c r="A61" s="733"/>
      <c r="B61" s="733"/>
      <c r="C61" s="733"/>
      <c r="D61" s="733"/>
      <c r="E61" s="733"/>
      <c r="F61" s="733"/>
    </row>
    <row r="62" spans="3:6" ht="12.75">
      <c r="C62" s="206"/>
      <c r="E62" s="206"/>
      <c r="F62" s="206"/>
    </row>
  </sheetData>
  <sheetProtection/>
  <mergeCells count="9">
    <mergeCell ref="A61:F61"/>
    <mergeCell ref="A2:F2"/>
    <mergeCell ref="E13:E14"/>
    <mergeCell ref="A6:F6"/>
    <mergeCell ref="A4:F4"/>
    <mergeCell ref="A5:F5"/>
    <mergeCell ref="A47:B47"/>
    <mergeCell ref="C60:F60"/>
    <mergeCell ref="F48:F49"/>
  </mergeCells>
  <hyperlinks>
    <hyperlink ref="A56" r:id="rId1" display="delcpa@ruraltel.net"/>
  </hyperlinks>
  <printOptions/>
  <pageMargins left="0.5" right="0.5" top="0" bottom="0.23" header="0" footer="0.31"/>
  <pageSetup blackAndWhite="1" fitToHeight="1" fitToWidth="1" horizontalDpi="120" verticalDpi="120" orientation="portrait" scale="86" r:id="rId2"/>
  <headerFooter alignWithMargins="0">
    <oddHeader>&amp;RState of Kansas
County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58"/>
  <sheetViews>
    <sheetView zoomScalePageLayoutView="0" workbookViewId="0" topLeftCell="A19">
      <selection activeCell="D21" sqref="D21"/>
    </sheetView>
  </sheetViews>
  <sheetFormatPr defaultColWidth="8.796875" defaultRowHeight="15"/>
  <cols>
    <col min="1" max="1" width="20.796875" style="69" customWidth="1"/>
    <col min="2" max="2" width="9.796875" style="69" customWidth="1"/>
    <col min="3" max="3" width="5.796875" style="69" customWidth="1"/>
    <col min="4" max="7" width="12.796875" style="69" customWidth="1"/>
    <col min="8" max="16384" width="8.8984375" style="69" customWidth="1"/>
  </cols>
  <sheetData>
    <row r="1" spans="1:7" ht="15.75">
      <c r="A1" s="122"/>
      <c r="B1" s="122"/>
      <c r="C1" s="122"/>
      <c r="D1" s="122"/>
      <c r="E1" s="122"/>
      <c r="F1" s="122"/>
      <c r="G1" s="122"/>
    </row>
    <row r="2" spans="1:7" ht="15.75">
      <c r="A2" s="122"/>
      <c r="B2" s="122"/>
      <c r="C2" s="122"/>
      <c r="D2" s="122"/>
      <c r="E2" s="122"/>
      <c r="F2" s="122"/>
      <c r="G2" s="122"/>
    </row>
    <row r="3" spans="1:7" ht="15.75">
      <c r="A3" s="141" t="str">
        <f>inputPrYr!C2</f>
        <v>Sheridan County</v>
      </c>
      <c r="B3" s="122"/>
      <c r="C3" s="122"/>
      <c r="D3" s="122"/>
      <c r="E3" s="122"/>
      <c r="F3" s="122"/>
      <c r="G3" s="122">
        <f>inputPrYr!C4</f>
        <v>2013</v>
      </c>
    </row>
    <row r="4" spans="1:7" ht="15.75">
      <c r="A4" s="720" t="s">
        <v>10</v>
      </c>
      <c r="B4" s="740"/>
      <c r="C4" s="740"/>
      <c r="D4" s="740"/>
      <c r="E4" s="740"/>
      <c r="F4" s="740"/>
      <c r="G4" s="740"/>
    </row>
    <row r="5" spans="1:7" ht="15.75">
      <c r="A5" s="207"/>
      <c r="B5" s="90"/>
      <c r="C5" s="90"/>
      <c r="D5" s="207"/>
      <c r="E5" s="207"/>
      <c r="F5" s="207"/>
      <c r="G5" s="207"/>
    </row>
    <row r="6" spans="1:7" ht="15.75">
      <c r="A6" s="82"/>
      <c r="B6" s="82"/>
      <c r="C6" s="82"/>
      <c r="D6" s="208" t="str">
        <f>CONCATENATE("",G3," Proposed Budget")</f>
        <v>2013 Proposed Budget</v>
      </c>
      <c r="E6" s="209"/>
      <c r="F6" s="209"/>
      <c r="G6" s="210"/>
    </row>
    <row r="7" spans="1:7" ht="21" customHeight="1">
      <c r="A7" s="82"/>
      <c r="B7" s="82"/>
      <c r="C7" s="211" t="s">
        <v>129</v>
      </c>
      <c r="D7" s="463" t="s">
        <v>648</v>
      </c>
      <c r="E7" s="747" t="str">
        <f>CONCATENATE("Amount of ",G3-1,"      Ad Valorem Tax")</f>
        <v>Amount of 2012      Ad Valorem Tax</v>
      </c>
      <c r="F7" s="747" t="s">
        <v>295</v>
      </c>
      <c r="G7" s="211" t="s">
        <v>130</v>
      </c>
    </row>
    <row r="8" spans="1:7" ht="15.75">
      <c r="A8" s="212" t="s">
        <v>9</v>
      </c>
      <c r="B8" s="111"/>
      <c r="C8" s="213" t="s">
        <v>132</v>
      </c>
      <c r="D8" s="464" t="s">
        <v>649</v>
      </c>
      <c r="E8" s="727"/>
      <c r="F8" s="727"/>
      <c r="G8" s="213" t="s">
        <v>134</v>
      </c>
    </row>
    <row r="9" spans="1:7" ht="15.75">
      <c r="A9" s="214" t="s">
        <v>8</v>
      </c>
      <c r="B9" s="215" t="s">
        <v>138</v>
      </c>
      <c r="C9" s="105"/>
      <c r="D9" s="105"/>
      <c r="E9" s="105"/>
      <c r="F9" s="105"/>
      <c r="G9" s="105"/>
    </row>
    <row r="10" spans="1:7" ht="15.75">
      <c r="A10" s="216" t="s">
        <v>908</v>
      </c>
      <c r="B10" s="144" t="s">
        <v>909</v>
      </c>
      <c r="C10" s="144"/>
      <c r="D10" s="144">
        <v>246979</v>
      </c>
      <c r="E10" s="144">
        <v>198665</v>
      </c>
      <c r="F10" s="144"/>
      <c r="G10" s="188" t="str">
        <f>IF(AND(D10=0,F10&gt;=0)," ",IF(AND(E10&gt;0,F10=0)," ",IF(AND(E10&gt;0,F10&gt;0),ROUND(E10/F10*1000,3))))</f>
        <v> </v>
      </c>
    </row>
    <row r="11" spans="1:7" ht="15.75">
      <c r="A11" s="144"/>
      <c r="B11" s="144"/>
      <c r="C11" s="144"/>
      <c r="D11" s="144"/>
      <c r="E11" s="144"/>
      <c r="F11" s="144"/>
      <c r="G11" s="188" t="str">
        <f aca="true" t="shared" si="0" ref="G11:G38">IF(AND(D11=0,F11&gt;=0)," ",IF(AND(E11&gt;0,F11=0)," ",IF(AND(E11&gt;0,F11&gt;0),ROUND(E11/F11*1000,3))))</f>
        <v> </v>
      </c>
    </row>
    <row r="12" spans="1:7" ht="15.75">
      <c r="A12" s="144"/>
      <c r="B12" s="144"/>
      <c r="C12" s="144"/>
      <c r="D12" s="144"/>
      <c r="E12" s="144"/>
      <c r="F12" s="144"/>
      <c r="G12" s="188" t="str">
        <f t="shared" si="0"/>
        <v> </v>
      </c>
    </row>
    <row r="13" spans="1:7" ht="15.75">
      <c r="A13" s="144"/>
      <c r="B13" s="144"/>
      <c r="C13" s="144"/>
      <c r="D13" s="144"/>
      <c r="E13" s="144"/>
      <c r="F13" s="144"/>
      <c r="G13" s="188" t="str">
        <f t="shared" si="0"/>
        <v> </v>
      </c>
    </row>
    <row r="14" spans="1:7" ht="15.75">
      <c r="A14" s="144"/>
      <c r="B14" s="144"/>
      <c r="C14" s="144"/>
      <c r="D14" s="144"/>
      <c r="E14" s="144"/>
      <c r="F14" s="144"/>
      <c r="G14" s="188" t="str">
        <f t="shared" si="0"/>
        <v> </v>
      </c>
    </row>
    <row r="15" spans="1:7" ht="15.75">
      <c r="A15" s="144"/>
      <c r="B15" s="144"/>
      <c r="C15" s="144"/>
      <c r="D15" s="144"/>
      <c r="E15" s="144"/>
      <c r="F15" s="144"/>
      <c r="G15" s="188" t="str">
        <f t="shared" si="0"/>
        <v> </v>
      </c>
    </row>
    <row r="16" spans="1:7" ht="15.75">
      <c r="A16" s="144"/>
      <c r="B16" s="144"/>
      <c r="C16" s="144"/>
      <c r="D16" s="144"/>
      <c r="E16" s="144"/>
      <c r="F16" s="144"/>
      <c r="G16" s="188" t="str">
        <f t="shared" si="0"/>
        <v> </v>
      </c>
    </row>
    <row r="17" spans="1:7" ht="15.75">
      <c r="A17" s="144"/>
      <c r="B17" s="144"/>
      <c r="C17" s="144"/>
      <c r="D17" s="144"/>
      <c r="E17" s="144"/>
      <c r="F17" s="144"/>
      <c r="G17" s="188" t="str">
        <f t="shared" si="0"/>
        <v> </v>
      </c>
    </row>
    <row r="18" spans="1:7" ht="15.75">
      <c r="A18" s="144"/>
      <c r="B18" s="144"/>
      <c r="C18" s="144"/>
      <c r="D18" s="144"/>
      <c r="E18" s="144"/>
      <c r="F18" s="144"/>
      <c r="G18" s="188" t="str">
        <f t="shared" si="0"/>
        <v> </v>
      </c>
    </row>
    <row r="19" spans="1:7" ht="15.75">
      <c r="A19" s="144"/>
      <c r="B19" s="144"/>
      <c r="C19" s="144"/>
      <c r="D19" s="144"/>
      <c r="E19" s="144"/>
      <c r="F19" s="144"/>
      <c r="G19" s="188" t="str">
        <f t="shared" si="0"/>
        <v> </v>
      </c>
    </row>
    <row r="20" spans="1:7" ht="15.75">
      <c r="A20" s="144"/>
      <c r="B20" s="144"/>
      <c r="C20" s="144"/>
      <c r="D20" s="144"/>
      <c r="E20" s="144"/>
      <c r="F20" s="144"/>
      <c r="G20" s="188" t="str">
        <f t="shared" si="0"/>
        <v> </v>
      </c>
    </row>
    <row r="21" spans="1:7" ht="15.75">
      <c r="A21" s="144"/>
      <c r="B21" s="144"/>
      <c r="C21" s="144"/>
      <c r="D21" s="144"/>
      <c r="E21" s="144"/>
      <c r="F21" s="144"/>
      <c r="G21" s="188" t="str">
        <f t="shared" si="0"/>
        <v> </v>
      </c>
    </row>
    <row r="22" spans="1:7" ht="15.75">
      <c r="A22" s="144"/>
      <c r="B22" s="144"/>
      <c r="C22" s="144"/>
      <c r="D22" s="144"/>
      <c r="E22" s="144"/>
      <c r="F22" s="144"/>
      <c r="G22" s="188" t="str">
        <f t="shared" si="0"/>
        <v> </v>
      </c>
    </row>
    <row r="23" spans="1:7" ht="15.75">
      <c r="A23" s="144"/>
      <c r="B23" s="144"/>
      <c r="C23" s="144"/>
      <c r="D23" s="144"/>
      <c r="E23" s="144"/>
      <c r="F23" s="144"/>
      <c r="G23" s="188" t="str">
        <f t="shared" si="0"/>
        <v> </v>
      </c>
    </row>
    <row r="24" spans="1:7" ht="15.75">
      <c r="A24" s="144"/>
      <c r="B24" s="144"/>
      <c r="C24" s="144"/>
      <c r="D24" s="144"/>
      <c r="E24" s="144"/>
      <c r="F24" s="144"/>
      <c r="G24" s="188" t="str">
        <f t="shared" si="0"/>
        <v> </v>
      </c>
    </row>
    <row r="25" spans="1:7" ht="15.75">
      <c r="A25" s="144"/>
      <c r="B25" s="144"/>
      <c r="C25" s="144"/>
      <c r="D25" s="144"/>
      <c r="E25" s="144"/>
      <c r="F25" s="144"/>
      <c r="G25" s="188" t="str">
        <f t="shared" si="0"/>
        <v> </v>
      </c>
    </row>
    <row r="26" spans="1:7" ht="15.75">
      <c r="A26" s="144"/>
      <c r="B26" s="144"/>
      <c r="C26" s="144"/>
      <c r="D26" s="144"/>
      <c r="E26" s="144"/>
      <c r="F26" s="144"/>
      <c r="G26" s="188" t="str">
        <f t="shared" si="0"/>
        <v> </v>
      </c>
    </row>
    <row r="27" spans="1:7" ht="15.75">
      <c r="A27" s="144"/>
      <c r="B27" s="144"/>
      <c r="C27" s="144"/>
      <c r="D27" s="144"/>
      <c r="E27" s="144"/>
      <c r="F27" s="144"/>
      <c r="G27" s="188" t="str">
        <f t="shared" si="0"/>
        <v> </v>
      </c>
    </row>
    <row r="28" spans="1:7" ht="15.75">
      <c r="A28" s="144"/>
      <c r="B28" s="144"/>
      <c r="C28" s="144"/>
      <c r="D28" s="144"/>
      <c r="E28" s="144"/>
      <c r="F28" s="144"/>
      <c r="G28" s="188" t="str">
        <f t="shared" si="0"/>
        <v> </v>
      </c>
    </row>
    <row r="29" spans="1:7" ht="15.75">
      <c r="A29" s="144"/>
      <c r="B29" s="108"/>
      <c r="C29" s="144"/>
      <c r="D29" s="144"/>
      <c r="E29" s="108"/>
      <c r="F29" s="108"/>
      <c r="G29" s="188" t="str">
        <f t="shared" si="0"/>
        <v> </v>
      </c>
    </row>
    <row r="30" spans="1:7" ht="15.75">
      <c r="A30" s="144"/>
      <c r="B30" s="108"/>
      <c r="C30" s="144"/>
      <c r="D30" s="144"/>
      <c r="E30" s="108"/>
      <c r="F30" s="108"/>
      <c r="G30" s="188" t="str">
        <f t="shared" si="0"/>
        <v> </v>
      </c>
    </row>
    <row r="31" spans="1:7" ht="15.75">
      <c r="A31" s="144"/>
      <c r="B31" s="108"/>
      <c r="C31" s="144"/>
      <c r="D31" s="144"/>
      <c r="E31" s="108"/>
      <c r="F31" s="108"/>
      <c r="G31" s="188" t="str">
        <f t="shared" si="0"/>
        <v> </v>
      </c>
    </row>
    <row r="32" spans="1:7" ht="15.75">
      <c r="A32" s="144"/>
      <c r="B32" s="108"/>
      <c r="C32" s="144"/>
      <c r="D32" s="144"/>
      <c r="E32" s="108"/>
      <c r="F32" s="108"/>
      <c r="G32" s="188" t="str">
        <f t="shared" si="0"/>
        <v> </v>
      </c>
    </row>
    <row r="33" spans="1:7" ht="15.75">
      <c r="A33" s="144"/>
      <c r="B33" s="108"/>
      <c r="C33" s="144"/>
      <c r="D33" s="144"/>
      <c r="E33" s="108"/>
      <c r="F33" s="108"/>
      <c r="G33" s="188" t="str">
        <f t="shared" si="0"/>
        <v> </v>
      </c>
    </row>
    <row r="34" spans="1:7" ht="15.75">
      <c r="A34" s="144"/>
      <c r="B34" s="108"/>
      <c r="C34" s="144"/>
      <c r="D34" s="144"/>
      <c r="E34" s="108"/>
      <c r="F34" s="108"/>
      <c r="G34" s="188" t="str">
        <f t="shared" si="0"/>
        <v> </v>
      </c>
    </row>
    <row r="35" spans="1:7" ht="15.75">
      <c r="A35" s="144"/>
      <c r="B35" s="108"/>
      <c r="C35" s="144"/>
      <c r="D35" s="144"/>
      <c r="E35" s="108"/>
      <c r="F35" s="108"/>
      <c r="G35" s="188" t="str">
        <f t="shared" si="0"/>
        <v> </v>
      </c>
    </row>
    <row r="36" spans="1:7" ht="15.75">
      <c r="A36" s="144"/>
      <c r="B36" s="108"/>
      <c r="C36" s="144"/>
      <c r="D36" s="144"/>
      <c r="E36" s="108"/>
      <c r="F36" s="108"/>
      <c r="G36" s="188" t="str">
        <f t="shared" si="0"/>
        <v> </v>
      </c>
    </row>
    <row r="37" spans="1:7" ht="15.75">
      <c r="A37" s="144"/>
      <c r="B37" s="108"/>
      <c r="C37" s="144"/>
      <c r="D37" s="144"/>
      <c r="E37" s="108"/>
      <c r="F37" s="108"/>
      <c r="G37" s="188" t="str">
        <f t="shared" si="0"/>
        <v> </v>
      </c>
    </row>
    <row r="38" spans="1:7" ht="15.75">
      <c r="A38" s="144"/>
      <c r="B38" s="108"/>
      <c r="C38" s="144"/>
      <c r="D38" s="144"/>
      <c r="E38" s="108"/>
      <c r="F38" s="108"/>
      <c r="G38" s="188" t="str">
        <f t="shared" si="0"/>
        <v> </v>
      </c>
    </row>
    <row r="39" spans="1:7" ht="16.5" thickBot="1">
      <c r="A39" s="145" t="s">
        <v>139</v>
      </c>
      <c r="B39" s="112"/>
      <c r="C39" s="217" t="s">
        <v>140</v>
      </c>
      <c r="D39" s="218">
        <f>SUM(D10:D38)</f>
        <v>246979</v>
      </c>
      <c r="E39" s="218">
        <f>SUM(E10:E38)</f>
        <v>198665</v>
      </c>
      <c r="F39" s="218"/>
      <c r="G39" s="219">
        <f>SUM(G10:G38)</f>
        <v>0</v>
      </c>
    </row>
    <row r="40" spans="1:7" ht="16.5" thickTop="1">
      <c r="A40" s="118"/>
      <c r="B40" s="85"/>
      <c r="C40" s="220"/>
      <c r="D40" s="82"/>
      <c r="E40" s="82"/>
      <c r="F40" s="82"/>
      <c r="G40" s="82"/>
    </row>
    <row r="41" spans="1:7" ht="15.75">
      <c r="A41" s="118"/>
      <c r="B41" s="82"/>
      <c r="C41" s="82"/>
      <c r="D41" s="82"/>
      <c r="E41" s="82"/>
      <c r="F41" s="82"/>
      <c r="G41" s="82"/>
    </row>
    <row r="42" spans="1:7" ht="15.75">
      <c r="A42" s="221"/>
      <c r="B42" s="140"/>
      <c r="C42" s="140"/>
      <c r="D42" s="140"/>
      <c r="E42" s="140"/>
      <c r="F42" s="140"/>
      <c r="G42" s="140"/>
    </row>
    <row r="43" spans="1:7" ht="15.75">
      <c r="A43" s="222"/>
      <c r="B43" s="222"/>
      <c r="C43" s="222"/>
      <c r="D43" s="222"/>
      <c r="E43" s="222"/>
      <c r="F43" s="222"/>
      <c r="G43" s="222"/>
    </row>
    <row r="44" spans="1:7" ht="15.75">
      <c r="A44" s="140"/>
      <c r="B44" s="140"/>
      <c r="C44" s="140"/>
      <c r="D44" s="140"/>
      <c r="E44" s="140"/>
      <c r="F44" s="140"/>
      <c r="G44" s="223"/>
    </row>
    <row r="54" spans="1:7" ht="15.75">
      <c r="A54" s="140"/>
      <c r="B54" s="140"/>
      <c r="C54" s="140"/>
      <c r="D54" s="140"/>
      <c r="E54" s="140"/>
      <c r="F54" s="140"/>
      <c r="G54" s="140"/>
    </row>
    <row r="58" spans="1:7" ht="15.75">
      <c r="A58" s="140"/>
      <c r="B58" s="140"/>
      <c r="C58" s="140"/>
      <c r="D58" s="221"/>
      <c r="E58" s="140"/>
      <c r="F58" s="140"/>
      <c r="G58" s="140"/>
    </row>
  </sheetData>
  <sheetProtection sheet="1"/>
  <mergeCells count="3">
    <mergeCell ref="E7:E8"/>
    <mergeCell ref="F7:F8"/>
    <mergeCell ref="A4:G4"/>
  </mergeCells>
  <printOptions/>
  <pageMargins left="0.5" right="0.5" top="0" bottom="0.23" header="0" footer="0.31"/>
  <pageSetup blackAndWhite="1" fitToHeight="1" fitToWidth="1" horizontalDpi="120" verticalDpi="120" orientation="portrait" scale="91" r:id="rId1"/>
  <headerFooter alignWithMargins="0">
    <oddHeader>&amp;RState of Kansas
County
</oddHeader>
    <oddFooter>&amp;CPage No. 1a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8"/>
  <sheetViews>
    <sheetView zoomScale="85" zoomScaleNormal="85" zoomScalePageLayoutView="0" workbookViewId="0" topLeftCell="A10">
      <selection activeCell="A29" sqref="A29:H37"/>
    </sheetView>
  </sheetViews>
  <sheetFormatPr defaultColWidth="8.796875" defaultRowHeight="15.75" customHeight="1"/>
  <cols>
    <col min="1" max="2" width="3.296875" style="69" customWidth="1"/>
    <col min="3" max="3" width="31.296875" style="69" customWidth="1"/>
    <col min="4" max="4" width="2.296875" style="69" customWidth="1"/>
    <col min="5" max="5" width="15.796875" style="69" customWidth="1"/>
    <col min="6" max="6" width="2" style="69" customWidth="1"/>
    <col min="7" max="7" width="15.796875" style="69" customWidth="1"/>
    <col min="8" max="8" width="1.8984375" style="69" customWidth="1"/>
    <col min="9" max="9" width="1.796875" style="69" customWidth="1"/>
    <col min="10" max="10" width="15.796875" style="69" customWidth="1"/>
    <col min="11" max="16384" width="8.8984375" style="69" customWidth="1"/>
  </cols>
  <sheetData>
    <row r="1" spans="1:10" ht="15.75" customHeight="1">
      <c r="A1" s="82"/>
      <c r="B1" s="82"/>
      <c r="C1" s="224" t="str">
        <f>inputPrYr!C2</f>
        <v>Sheridan County</v>
      </c>
      <c r="D1" s="82"/>
      <c r="E1" s="82"/>
      <c r="F1" s="82"/>
      <c r="G1" s="82"/>
      <c r="H1" s="82"/>
      <c r="I1" s="82"/>
      <c r="J1" s="82">
        <f>inputPrYr!C4</f>
        <v>2013</v>
      </c>
    </row>
    <row r="2" spans="1:10" ht="15.75" customHeight="1">
      <c r="A2" s="82"/>
      <c r="B2" s="82"/>
      <c r="C2" s="82"/>
      <c r="D2" s="82"/>
      <c r="E2" s="82"/>
      <c r="F2" s="82"/>
      <c r="G2" s="82"/>
      <c r="H2" s="82"/>
      <c r="I2" s="82"/>
      <c r="J2" s="82"/>
    </row>
    <row r="3" spans="1:10" ht="15.75">
      <c r="A3" s="720" t="str">
        <f>CONCATENATE("Computation to Determine Limit for ",J1,"")</f>
        <v>Computation to Determine Limit for 2013</v>
      </c>
      <c r="B3" s="749"/>
      <c r="C3" s="749"/>
      <c r="D3" s="749"/>
      <c r="E3" s="749"/>
      <c r="F3" s="749"/>
      <c r="G3" s="749"/>
      <c r="H3" s="749"/>
      <c r="I3" s="749"/>
      <c r="J3" s="749"/>
    </row>
    <row r="4" spans="1:10" ht="15.75">
      <c r="A4" s="82"/>
      <c r="B4" s="82"/>
      <c r="C4" s="82"/>
      <c r="D4" s="82"/>
      <c r="E4" s="749"/>
      <c r="F4" s="749"/>
      <c r="G4" s="749"/>
      <c r="H4" s="225"/>
      <c r="I4" s="82"/>
      <c r="J4" s="226" t="s">
        <v>228</v>
      </c>
    </row>
    <row r="5" spans="1:10" ht="15.75">
      <c r="A5" s="227" t="s">
        <v>229</v>
      </c>
      <c r="B5" s="82" t="str">
        <f>CONCATENATE("Total Tax Levy Amount in ",J1-1," Budget")</f>
        <v>Total Tax Levy Amount in 2012 Budget</v>
      </c>
      <c r="C5" s="82"/>
      <c r="D5" s="82"/>
      <c r="E5" s="142"/>
      <c r="F5" s="142"/>
      <c r="G5" s="142"/>
      <c r="H5" s="228" t="s">
        <v>230</v>
      </c>
      <c r="I5" s="142" t="s">
        <v>231</v>
      </c>
      <c r="J5" s="229">
        <f>inputPrYr!E41</f>
        <v>3660362</v>
      </c>
    </row>
    <row r="6" spans="1:10" ht="15.75">
      <c r="A6" s="227" t="s">
        <v>232</v>
      </c>
      <c r="B6" s="82" t="str">
        <f>CONCATENATE("Debt Service Levy in ",J1-1," Budget")</f>
        <v>Debt Service Levy in 2012 Budget</v>
      </c>
      <c r="C6" s="82"/>
      <c r="D6" s="82"/>
      <c r="E6" s="142"/>
      <c r="F6" s="142"/>
      <c r="G6" s="142"/>
      <c r="H6" s="228" t="s">
        <v>233</v>
      </c>
      <c r="I6" s="142" t="s">
        <v>231</v>
      </c>
      <c r="J6" s="148">
        <f>inputPrYr!E17</f>
        <v>0</v>
      </c>
    </row>
    <row r="7" spans="1:10" ht="15.75">
      <c r="A7" s="227" t="s">
        <v>234</v>
      </c>
      <c r="B7" s="149" t="s">
        <v>251</v>
      </c>
      <c r="C7" s="82"/>
      <c r="D7" s="82"/>
      <c r="E7" s="142"/>
      <c r="F7" s="142"/>
      <c r="G7" s="142"/>
      <c r="H7" s="142"/>
      <c r="I7" s="142" t="s">
        <v>231</v>
      </c>
      <c r="J7" s="148">
        <f>J5-J6</f>
        <v>3660362</v>
      </c>
    </row>
    <row r="8" spans="1:10" ht="15.75">
      <c r="A8" s="82"/>
      <c r="B8" s="82"/>
      <c r="C8" s="82"/>
      <c r="D8" s="82"/>
      <c r="E8" s="142"/>
      <c r="F8" s="142"/>
      <c r="G8" s="142"/>
      <c r="H8" s="142"/>
      <c r="I8" s="142"/>
      <c r="J8" s="142"/>
    </row>
    <row r="9" spans="1:10" ht="15.75">
      <c r="A9" s="82"/>
      <c r="B9" s="149" t="str">
        <f>CONCATENATE("",J1-1," Valuation Information for Valuation Adjustments:")</f>
        <v>2012 Valuation Information for Valuation Adjustments:</v>
      </c>
      <c r="C9" s="82"/>
      <c r="D9" s="82"/>
      <c r="E9" s="142"/>
      <c r="F9" s="142"/>
      <c r="G9" s="142"/>
      <c r="H9" s="142"/>
      <c r="I9" s="142"/>
      <c r="J9" s="142"/>
    </row>
    <row r="10" spans="1:10" ht="15.75">
      <c r="A10" s="82"/>
      <c r="B10" s="82"/>
      <c r="C10" s="149"/>
      <c r="D10" s="82"/>
      <c r="E10" s="142"/>
      <c r="F10" s="142"/>
      <c r="G10" s="142"/>
      <c r="H10" s="142"/>
      <c r="I10" s="142"/>
      <c r="J10" s="142"/>
    </row>
    <row r="11" spans="1:10" ht="15.75">
      <c r="A11" s="227" t="s">
        <v>235</v>
      </c>
      <c r="B11" s="149" t="str">
        <f>CONCATENATE("New Improvements for ",J1-1,":")</f>
        <v>New Improvements for 2012:</v>
      </c>
      <c r="C11" s="82"/>
      <c r="D11" s="82"/>
      <c r="E11" s="228"/>
      <c r="F11" s="228" t="s">
        <v>230</v>
      </c>
      <c r="G11" s="229">
        <f>inputOth!E7</f>
        <v>534880</v>
      </c>
      <c r="H11" s="120"/>
      <c r="I11" s="142"/>
      <c r="J11" s="142"/>
    </row>
    <row r="12" spans="1:10" ht="15.75">
      <c r="A12" s="227"/>
      <c r="B12" s="227"/>
      <c r="C12" s="82"/>
      <c r="D12" s="82"/>
      <c r="E12" s="228"/>
      <c r="F12" s="228"/>
      <c r="G12" s="120"/>
      <c r="H12" s="120"/>
      <c r="I12" s="142"/>
      <c r="J12" s="142"/>
    </row>
    <row r="13" spans="1:10" ht="15.75">
      <c r="A13" s="227" t="s">
        <v>236</v>
      </c>
      <c r="B13" s="149" t="str">
        <f>CONCATENATE("Increase in Personal Property for ",J1-1,":")</f>
        <v>Increase in Personal Property for 2012:</v>
      </c>
      <c r="C13" s="82"/>
      <c r="D13" s="82"/>
      <c r="E13" s="228"/>
      <c r="F13" s="228"/>
      <c r="G13" s="120"/>
      <c r="H13" s="120"/>
      <c r="I13" s="142"/>
      <c r="J13" s="142"/>
    </row>
    <row r="14" spans="1:10" ht="15.75">
      <c r="A14" s="82"/>
      <c r="B14" s="82" t="s">
        <v>237</v>
      </c>
      <c r="C14" s="82" t="str">
        <f>CONCATENATE("Personal Property ",J1-1,"")</f>
        <v>Personal Property 2012</v>
      </c>
      <c r="D14" s="227" t="s">
        <v>230</v>
      </c>
      <c r="E14" s="229">
        <f>inputOth!E8</f>
        <v>1828526</v>
      </c>
      <c r="F14" s="228"/>
      <c r="G14" s="142"/>
      <c r="H14" s="142"/>
      <c r="I14" s="120"/>
      <c r="J14" s="142"/>
    </row>
    <row r="15" spans="1:10" ht="15.75">
      <c r="A15" s="227"/>
      <c r="B15" s="82" t="s">
        <v>238</v>
      </c>
      <c r="C15" s="82" t="str">
        <f>CONCATENATE("Personal Property ",J1-2,"")</f>
        <v>Personal Property 2011</v>
      </c>
      <c r="D15" s="227" t="s">
        <v>233</v>
      </c>
      <c r="E15" s="148">
        <f>inputOth!E10</f>
        <v>1713098</v>
      </c>
      <c r="F15" s="228"/>
      <c r="G15" s="120"/>
      <c r="H15" s="120"/>
      <c r="I15" s="142"/>
      <c r="J15" s="142"/>
    </row>
    <row r="16" spans="1:10" ht="15.75">
      <c r="A16" s="227"/>
      <c r="B16" s="82" t="s">
        <v>239</v>
      </c>
      <c r="C16" s="82" t="s">
        <v>253</v>
      </c>
      <c r="D16" s="82"/>
      <c r="E16" s="142"/>
      <c r="F16" s="142" t="s">
        <v>230</v>
      </c>
      <c r="G16" s="229">
        <f>IF(E14&gt;E15,E14-E15,0)</f>
        <v>115428</v>
      </c>
      <c r="H16" s="120"/>
      <c r="I16" s="142"/>
      <c r="J16" s="142"/>
    </row>
    <row r="17" spans="1:10" ht="15.75">
      <c r="A17" s="227"/>
      <c r="B17" s="227"/>
      <c r="C17" s="82"/>
      <c r="D17" s="82"/>
      <c r="E17" s="142"/>
      <c r="F17" s="142"/>
      <c r="G17" s="120" t="s">
        <v>245</v>
      </c>
      <c r="H17" s="120"/>
      <c r="I17" s="142"/>
      <c r="J17" s="142"/>
    </row>
    <row r="18" spans="1:10" ht="15.75">
      <c r="A18" s="227"/>
      <c r="B18" s="227"/>
      <c r="C18" s="82"/>
      <c r="D18" s="227"/>
      <c r="E18" s="120"/>
      <c r="F18" s="142"/>
      <c r="G18" s="120"/>
      <c r="H18" s="120"/>
      <c r="I18" s="142"/>
      <c r="J18" s="142"/>
    </row>
    <row r="19" spans="1:10" ht="15.75">
      <c r="A19" s="227" t="s">
        <v>240</v>
      </c>
      <c r="B19" s="149" t="str">
        <f>CONCATENATE("Valuation of Property that has Changed in Use during ",J1-1,":")</f>
        <v>Valuation of Property that has Changed in Use during 2012:</v>
      </c>
      <c r="C19" s="82"/>
      <c r="D19" s="82"/>
      <c r="E19" s="142"/>
      <c r="F19" s="142"/>
      <c r="G19" s="142">
        <f>inputOth!E9</f>
        <v>232609</v>
      </c>
      <c r="H19" s="142"/>
      <c r="I19" s="142"/>
      <c r="J19" s="142"/>
    </row>
    <row r="20" spans="1:10" ht="15.75">
      <c r="A20" s="227"/>
      <c r="B20" s="82"/>
      <c r="C20" s="82"/>
      <c r="D20" s="227"/>
      <c r="E20" s="120"/>
      <c r="F20" s="142"/>
      <c r="G20" s="230"/>
      <c r="H20" s="120"/>
      <c r="I20" s="142"/>
      <c r="J20" s="142"/>
    </row>
    <row r="21" spans="1:10" ht="15.75">
      <c r="A21" s="227" t="s">
        <v>247</v>
      </c>
      <c r="B21" s="149" t="s">
        <v>252</v>
      </c>
      <c r="C21" s="82"/>
      <c r="D21" s="82"/>
      <c r="E21" s="142"/>
      <c r="F21" s="142"/>
      <c r="G21" s="229">
        <f>G11+G16+G19</f>
        <v>882917</v>
      </c>
      <c r="H21" s="120"/>
      <c r="I21" s="142"/>
      <c r="J21" s="142"/>
    </row>
    <row r="22" spans="1:10" ht="15.75">
      <c r="A22" s="227"/>
      <c r="B22" s="227"/>
      <c r="C22" s="149"/>
      <c r="D22" s="82"/>
      <c r="E22" s="142"/>
      <c r="F22" s="142"/>
      <c r="G22" s="120"/>
      <c r="H22" s="120"/>
      <c r="I22" s="142"/>
      <c r="J22" s="142"/>
    </row>
    <row r="23" spans="1:10" ht="15.75">
      <c r="A23" s="227" t="s">
        <v>248</v>
      </c>
      <c r="B23" s="82" t="str">
        <f>CONCATENATE("Total Estimated Valuation July 1,",J1-1,"")</f>
        <v>Total Estimated Valuation July 1,2012</v>
      </c>
      <c r="C23" s="82"/>
      <c r="D23" s="82"/>
      <c r="E23" s="229">
        <f>inputOth!E6</f>
        <v>43195695</v>
      </c>
      <c r="F23" s="142"/>
      <c r="G23" s="142"/>
      <c r="H23" s="142"/>
      <c r="I23" s="228"/>
      <c r="J23" s="142"/>
    </row>
    <row r="24" spans="1:10" ht="15.75">
      <c r="A24" s="227"/>
      <c r="B24" s="227"/>
      <c r="C24" s="82"/>
      <c r="D24" s="82"/>
      <c r="E24" s="120"/>
      <c r="F24" s="142"/>
      <c r="G24" s="142"/>
      <c r="H24" s="142"/>
      <c r="I24" s="228"/>
      <c r="J24" s="142"/>
    </row>
    <row r="25" spans="1:10" ht="15.75">
      <c r="A25" s="227" t="s">
        <v>241</v>
      </c>
      <c r="B25" s="149" t="s">
        <v>256</v>
      </c>
      <c r="C25" s="82"/>
      <c r="D25" s="82"/>
      <c r="E25" s="142"/>
      <c r="F25" s="142"/>
      <c r="G25" s="229">
        <f>E23-G21</f>
        <v>42312778</v>
      </c>
      <c r="H25" s="120"/>
      <c r="I25" s="228"/>
      <c r="J25" s="142"/>
    </row>
    <row r="26" spans="1:10" ht="15.75">
      <c r="A26" s="227"/>
      <c r="B26" s="227"/>
      <c r="C26" s="149"/>
      <c r="D26" s="82"/>
      <c r="E26" s="82"/>
      <c r="F26" s="82"/>
      <c r="G26" s="231"/>
      <c r="H26" s="85"/>
      <c r="I26" s="227"/>
      <c r="J26" s="82"/>
    </row>
    <row r="27" spans="1:10" ht="15.75">
      <c r="A27" s="227" t="s">
        <v>242</v>
      </c>
      <c r="B27" s="82" t="s">
        <v>255</v>
      </c>
      <c r="C27" s="82"/>
      <c r="D27" s="82"/>
      <c r="E27" s="82"/>
      <c r="F27" s="82"/>
      <c r="G27" s="232">
        <f>IF(G21&gt;0,G21/G25,0)</f>
        <v>0.020866438975006556</v>
      </c>
      <c r="H27" s="85"/>
      <c r="I27" s="82"/>
      <c r="J27" s="82"/>
    </row>
    <row r="28" spans="1:10" ht="15.75">
      <c r="A28" s="227"/>
      <c r="B28" s="227"/>
      <c r="C28" s="82"/>
      <c r="D28" s="82"/>
      <c r="E28" s="82"/>
      <c r="F28" s="82"/>
      <c r="G28" s="85"/>
      <c r="H28" s="85"/>
      <c r="I28" s="82"/>
      <c r="J28" s="82"/>
    </row>
    <row r="29" spans="1:10" ht="15.75">
      <c r="A29" s="227" t="s">
        <v>243</v>
      </c>
      <c r="B29" s="82" t="s">
        <v>254</v>
      </c>
      <c r="C29" s="82"/>
      <c r="D29" s="82"/>
      <c r="E29" s="82"/>
      <c r="F29" s="82"/>
      <c r="G29" s="85"/>
      <c r="H29" s="233" t="s">
        <v>230</v>
      </c>
      <c r="I29" s="82" t="s">
        <v>231</v>
      </c>
      <c r="J29" s="229">
        <f>ROUND(G27*J7,0)</f>
        <v>76379</v>
      </c>
    </row>
    <row r="30" spans="1:10" ht="15.75">
      <c r="A30" s="227"/>
      <c r="B30" s="227"/>
      <c r="C30" s="82"/>
      <c r="D30" s="82"/>
      <c r="E30" s="82"/>
      <c r="F30" s="82"/>
      <c r="G30" s="85"/>
      <c r="H30" s="233"/>
      <c r="I30" s="82"/>
      <c r="J30" s="120"/>
    </row>
    <row r="31" spans="1:10" ht="16.5" thickBot="1">
      <c r="A31" s="227" t="s">
        <v>244</v>
      </c>
      <c r="B31" s="149" t="s">
        <v>260</v>
      </c>
      <c r="C31" s="82"/>
      <c r="D31" s="82"/>
      <c r="E31" s="82"/>
      <c r="F31" s="82"/>
      <c r="G31" s="82"/>
      <c r="H31" s="82"/>
      <c r="I31" s="82" t="s">
        <v>231</v>
      </c>
      <c r="J31" s="234">
        <f>J7+J29</f>
        <v>3736741</v>
      </c>
    </row>
    <row r="32" spans="1:10" ht="16.5" thickTop="1">
      <c r="A32" s="82"/>
      <c r="B32" s="82"/>
      <c r="C32" s="82"/>
      <c r="D32" s="82"/>
      <c r="E32" s="82"/>
      <c r="F32" s="82"/>
      <c r="G32" s="82"/>
      <c r="H32" s="82"/>
      <c r="I32" s="82"/>
      <c r="J32" s="82"/>
    </row>
    <row r="33" spans="1:10" ht="15.75">
      <c r="A33" s="227" t="s">
        <v>258</v>
      </c>
      <c r="B33" s="149" t="str">
        <f>CONCATENATE("Debt Service Levy in this ",J1," Budget")</f>
        <v>Debt Service Levy in this 2013 Budget</v>
      </c>
      <c r="C33" s="82"/>
      <c r="D33" s="82"/>
      <c r="E33" s="82"/>
      <c r="F33" s="82"/>
      <c r="G33" s="82"/>
      <c r="H33" s="82"/>
      <c r="I33" s="82"/>
      <c r="J33" s="229">
        <v>0</v>
      </c>
    </row>
    <row r="34" spans="1:10" ht="15.75">
      <c r="A34" s="227"/>
      <c r="B34" s="149"/>
      <c r="C34" s="82"/>
      <c r="D34" s="82"/>
      <c r="E34" s="82"/>
      <c r="F34" s="82"/>
      <c r="G34" s="82"/>
      <c r="H34" s="82"/>
      <c r="I34" s="82"/>
      <c r="J34" s="85"/>
    </row>
    <row r="35" spans="1:10" ht="16.5" thickBot="1">
      <c r="A35" s="227" t="s">
        <v>259</v>
      </c>
      <c r="B35" s="149" t="s">
        <v>261</v>
      </c>
      <c r="C35" s="82"/>
      <c r="D35" s="82"/>
      <c r="E35" s="82"/>
      <c r="F35" s="82"/>
      <c r="G35" s="82"/>
      <c r="H35" s="82"/>
      <c r="I35" s="82"/>
      <c r="J35" s="234">
        <f>J31+J33</f>
        <v>3736741</v>
      </c>
    </row>
    <row r="36" spans="1:10" ht="16.5" thickTop="1">
      <c r="A36" s="82"/>
      <c r="B36" s="82"/>
      <c r="C36" s="82"/>
      <c r="D36" s="82"/>
      <c r="E36" s="82"/>
      <c r="F36" s="82"/>
      <c r="G36" s="82"/>
      <c r="H36" s="82"/>
      <c r="I36" s="82"/>
      <c r="J36" s="82"/>
    </row>
    <row r="37" spans="1:10" s="235" customFormat="1" ht="18.75">
      <c r="A37" s="748" t="str">
        <f>CONCATENATE("If the ",J1," budget includes tax levies exceeding the total on line 14, you must")</f>
        <v>If the 2013 budget includes tax levies exceeding the total on line 14, you must</v>
      </c>
      <c r="B37" s="748"/>
      <c r="C37" s="748"/>
      <c r="D37" s="748"/>
      <c r="E37" s="748"/>
      <c r="F37" s="748"/>
      <c r="G37" s="748"/>
      <c r="H37" s="748"/>
      <c r="I37" s="748"/>
      <c r="J37" s="748"/>
    </row>
    <row r="38" spans="1:10" s="235" customFormat="1" ht="18.75">
      <c r="A38" s="748" t="s">
        <v>257</v>
      </c>
      <c r="B38" s="748"/>
      <c r="C38" s="748"/>
      <c r="D38" s="748"/>
      <c r="E38" s="748"/>
      <c r="F38" s="748"/>
      <c r="G38" s="748"/>
      <c r="H38" s="748"/>
      <c r="I38" s="748"/>
      <c r="J38" s="748"/>
    </row>
  </sheetData>
  <sheetProtection/>
  <mergeCells count="4">
    <mergeCell ref="A37:J37"/>
    <mergeCell ref="A38:J38"/>
    <mergeCell ref="A3:J3"/>
    <mergeCell ref="E4:G4"/>
  </mergeCells>
  <printOptions/>
  <pageMargins left="0.5" right="0.5" top="0.82" bottom="0.23" header="0.5" footer="0.31"/>
  <pageSetup blackAndWhite="1" fitToHeight="1" fitToWidth="1" horizontalDpi="600" verticalDpi="600" orientation="portrait" scale="85" r:id="rId1"/>
  <headerFooter alignWithMargins="0">
    <oddHeader>&amp;RState of Kansas
County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selection activeCell="A29" sqref="A29:H37"/>
    </sheetView>
  </sheetViews>
  <sheetFormatPr defaultColWidth="8.796875" defaultRowHeight="15"/>
  <cols>
    <col min="1" max="1" width="6.8984375" style="2" customWidth="1"/>
    <col min="2" max="2" width="18.796875" style="2" customWidth="1"/>
    <col min="3" max="3" width="12.796875" style="2" customWidth="1"/>
    <col min="4" max="4" width="0.203125" style="2" customWidth="1"/>
    <col min="5" max="9" width="11.796875" style="2" customWidth="1"/>
    <col min="10" max="16384" width="8.8984375" style="2" customWidth="1"/>
  </cols>
  <sheetData>
    <row r="1" spans="1:9" ht="15.75">
      <c r="A1" s="66"/>
      <c r="B1" s="24" t="str">
        <f>inputPrYr!C2</f>
        <v>Sheridan County</v>
      </c>
      <c r="C1" s="12"/>
      <c r="D1" s="12"/>
      <c r="E1" s="12"/>
      <c r="F1" s="12"/>
      <c r="G1" s="11"/>
      <c r="H1" s="11"/>
      <c r="I1" s="63">
        <f>inputPrYr!C4</f>
        <v>2013</v>
      </c>
    </row>
    <row r="2" spans="1:9" ht="15.75">
      <c r="A2" s="66"/>
      <c r="B2" s="12"/>
      <c r="C2" s="12"/>
      <c r="D2" s="12"/>
      <c r="E2" s="12"/>
      <c r="F2" s="12"/>
      <c r="G2" s="11"/>
      <c r="H2" s="11"/>
      <c r="I2" s="25"/>
    </row>
    <row r="3" spans="1:9" ht="15.75">
      <c r="A3" s="66"/>
      <c r="B3" s="755" t="s">
        <v>810</v>
      </c>
      <c r="C3" s="755"/>
      <c r="D3" s="755"/>
      <c r="E3" s="755"/>
      <c r="F3" s="755"/>
      <c r="G3" s="755"/>
      <c r="H3" s="64"/>
      <c r="I3" s="65"/>
    </row>
    <row r="4" spans="1:9" ht="15.75">
      <c r="A4" s="66"/>
      <c r="B4" s="14"/>
      <c r="C4" s="15"/>
      <c r="D4" s="15"/>
      <c r="E4" s="15"/>
      <c r="F4" s="15"/>
      <c r="G4" s="12"/>
      <c r="H4" s="12"/>
      <c r="I4" s="25"/>
    </row>
    <row r="5" spans="1:9" ht="21.75" customHeight="1">
      <c r="A5" s="66"/>
      <c r="B5" s="613" t="s">
        <v>811</v>
      </c>
      <c r="C5" s="747" t="str">
        <f>CONCATENATE("Budget Tax Levy Amount for ",I1-2,"")</f>
        <v>Budget Tax Levy Amount for 2011</v>
      </c>
      <c r="D5" s="750" t="str">
        <f>CONCATENATE("Budget Tax Levy Rate for ",I1-1,"")</f>
        <v>Budget Tax Levy Rate for 2012</v>
      </c>
      <c r="E5" s="752" t="str">
        <f>CONCATENATE("Allocation for Year ",I1,"")</f>
        <v>Allocation for Year 2013</v>
      </c>
      <c r="F5" s="753"/>
      <c r="G5" s="754"/>
      <c r="H5" s="65"/>
      <c r="I5" s="65"/>
    </row>
    <row r="6" spans="1:9" ht="15.75">
      <c r="A6" s="66"/>
      <c r="B6" s="10" t="str">
        <f>CONCATENATE("for ",I1-1,"")</f>
        <v>for 2012</v>
      </c>
      <c r="C6" s="727"/>
      <c r="D6" s="751"/>
      <c r="E6" s="213" t="s">
        <v>150</v>
      </c>
      <c r="F6" s="213" t="s">
        <v>225</v>
      </c>
      <c r="G6" s="189" t="s">
        <v>250</v>
      </c>
      <c r="H6" s="60"/>
      <c r="I6" s="65"/>
    </row>
    <row r="7" spans="1:9" ht="15.75">
      <c r="A7" s="66"/>
      <c r="B7" s="23" t="str">
        <f>(inputPrYr!B16)</f>
        <v>General</v>
      </c>
      <c r="C7" s="189">
        <f>(inputPrYr!E16)</f>
        <v>1510151</v>
      </c>
      <c r="D7" s="616">
        <f>IF(inputPrYr!F16&gt;0,(inputPrYr!F16),"  ")</f>
        <v>34.262</v>
      </c>
      <c r="E7" s="189">
        <f>IF(inputPrYr!E16&gt;0,E26-SUM(E8:E23),0)</f>
        <v>134222</v>
      </c>
      <c r="F7" s="189">
        <f>IF(inputPrYr!E16=0,0,F28-SUM(F8:F23))</f>
        <v>2454</v>
      </c>
      <c r="G7" s="189">
        <f>IF(inputPrYr!E16=0,0,G30-SUM(G8:G23))</f>
        <v>19167</v>
      </c>
      <c r="H7" s="60"/>
      <c r="I7" s="65"/>
    </row>
    <row r="8" spans="1:9" ht="15.75">
      <c r="A8" s="66"/>
      <c r="B8" s="23" t="str">
        <f>(inputPrYr!B17)</f>
        <v>Debt Service</v>
      </c>
      <c r="C8" s="189" t="str">
        <f>IF(inputPrYr!E17&gt;0,inputPrYr!E17," ")</f>
        <v> </v>
      </c>
      <c r="D8" s="616" t="str">
        <f>IF(inputPrYr!F17&gt;0,(inputPrYr!F17),"  ")</f>
        <v>  </v>
      </c>
      <c r="E8" s="189" t="str">
        <f>IF(inputPrYr!$E$17&gt;0,ROUND(+C8*E$33,0)," ")</f>
        <v> </v>
      </c>
      <c r="F8" s="189" t="str">
        <f>IF(inputPrYr!$E$17&gt;0,ROUND(+C8*F$35,0)," ")</f>
        <v> </v>
      </c>
      <c r="G8" s="189" t="str">
        <f>IF(inputPrYr!$E$17&gt;0,ROUND(+C8*G$37,0)," ")</f>
        <v> </v>
      </c>
      <c r="H8" s="60"/>
      <c r="I8" s="65"/>
    </row>
    <row r="9" spans="1:9" ht="15.75">
      <c r="A9" s="66"/>
      <c r="B9" s="23" t="str">
        <f>(inputPrYr!B18)</f>
        <v>Road &amp; Bridge</v>
      </c>
      <c r="C9" s="189">
        <f>IF(inputPrYr!E18&gt;0,inputPrYr!E18," ")</f>
        <v>1485972</v>
      </c>
      <c r="D9" s="616">
        <f>IF(inputPrYr!F18&gt;0,(inputPrYr!F18),"  ")</f>
        <v>33.714</v>
      </c>
      <c r="E9" s="189">
        <f>IF(inputPrYr!$E$18&gt;0,ROUND(+C9*E$33,0)," ")</f>
        <v>132073</v>
      </c>
      <c r="F9" s="189">
        <f>IF(inputPrYr!$E$18&gt;0,ROUND(+C9*F$35,0)," ")</f>
        <v>2415</v>
      </c>
      <c r="G9" s="189">
        <f>IF(inputPrYr!$E$18&gt;0,ROUND(+C9*G$37,0)," ")</f>
        <v>18859</v>
      </c>
      <c r="H9" s="60"/>
      <c r="I9" s="65"/>
    </row>
    <row r="10" spans="1:9" ht="15.75">
      <c r="A10" s="66"/>
      <c r="B10" s="23" t="str">
        <f>IF((inputPrYr!$B19&gt;" "),(inputPrYr!$B19),"  ")</f>
        <v>Noxious Weed</v>
      </c>
      <c r="C10" s="189">
        <f>IF(inputPrYr!E19&gt;0,inputPrYr!E19,"  ")</f>
        <v>96681</v>
      </c>
      <c r="D10" s="616">
        <f>IF(inputPrYr!F19&gt;0,(inputPrYr!F19),"  ")</f>
        <v>2.194</v>
      </c>
      <c r="E10" s="189">
        <f>IF(inputPrYr!$E$19&gt;0,ROUND(+C10*E$33,0)," ")</f>
        <v>8593</v>
      </c>
      <c r="F10" s="189">
        <f>IF(inputPrYr!$E$19&gt;0,ROUND(+C10*F$35,0)," ")</f>
        <v>157</v>
      </c>
      <c r="G10" s="189">
        <f>IF(inputPrYr!$E$19&gt;0,ROUND(+C10*G$37,0)," ")</f>
        <v>1227</v>
      </c>
      <c r="H10" s="60"/>
      <c r="I10" s="65"/>
    </row>
    <row r="11" spans="1:9" ht="15.75">
      <c r="A11" s="66"/>
      <c r="B11" s="23" t="str">
        <f>IF((inputPrYr!$B20&gt;" "),(inputPrYr!$B20),"  ")</f>
        <v>Mental Health</v>
      </c>
      <c r="C11" s="189">
        <f>IF(inputPrYr!E20&gt;0,inputPrYr!E20,"  ")</f>
        <v>14708</v>
      </c>
      <c r="D11" s="616">
        <f>IF(inputPrYr!F20&gt;0,(inputPrYr!F20),"  ")</f>
        <v>0.334</v>
      </c>
      <c r="E11" s="189">
        <f>IF(inputPrYr!E20&gt;0,ROUND(+C11*E$33,0),"  ")</f>
        <v>1307</v>
      </c>
      <c r="F11" s="189">
        <f>IF(inputPrYr!E20&gt;0,ROUND(+C11*F$35,0),"  ")</f>
        <v>24</v>
      </c>
      <c r="G11" s="189">
        <f>IF(inputPrYr!E20&gt;0,ROUND(+C11*G$37,0),"  ")</f>
        <v>187</v>
      </c>
      <c r="H11" s="60"/>
      <c r="I11" s="65"/>
    </row>
    <row r="12" spans="1:9" ht="15.75">
      <c r="A12" s="66"/>
      <c r="B12" s="23" t="str">
        <f>IF((inputPrYr!$B21&gt;" "),(inputPrYr!$B21),"  ")</f>
        <v>Public Health</v>
      </c>
      <c r="C12" s="189">
        <f>IF(inputPrYr!E21&gt;0,inputPrYr!E21,"  ")</f>
        <v>22028</v>
      </c>
      <c r="D12" s="616">
        <f>IF(inputPrYr!F21&gt;0,(inputPrYr!F21),"  ")</f>
        <v>0.5</v>
      </c>
      <c r="E12" s="189">
        <f>IF(inputPrYr!E21&gt;0,ROUND(+C12*E$33,0),"  ")</f>
        <v>1958</v>
      </c>
      <c r="F12" s="189">
        <f>IF(inputPrYr!E21&gt;0,ROUND(+C12*F$35,0),"  ")</f>
        <v>36</v>
      </c>
      <c r="G12" s="189">
        <f>IF(inputPrYr!E21&gt;0,ROUND(+C12*G$37,0),"  ")</f>
        <v>280</v>
      </c>
      <c r="H12" s="60"/>
      <c r="I12" s="65"/>
    </row>
    <row r="13" spans="1:9" ht="15.75">
      <c r="A13" s="66"/>
      <c r="B13" s="23" t="str">
        <f>IF((inputPrYr!$B22&gt;" "),(inputPrYr!$B22),"  ")</f>
        <v>Council on Aging</v>
      </c>
      <c r="C13" s="189">
        <f>IF(inputPrYr!E22&gt;0,inputPrYr!E22,"  ")</f>
        <v>33043</v>
      </c>
      <c r="D13" s="616">
        <f>IF(inputPrYr!F22&gt;0,(inputPrYr!F22),"  ")</f>
        <v>0.75</v>
      </c>
      <c r="E13" s="189">
        <f>IF(inputPrYr!E22&gt;0,ROUND(+C13*E$33,0),"  ")</f>
        <v>2937</v>
      </c>
      <c r="F13" s="189">
        <f>IF(inputPrYr!E22&gt;0,ROUND(+C13*F$35,0),"  ")</f>
        <v>54</v>
      </c>
      <c r="G13" s="189">
        <f>IF(inputPrYr!E22&gt;0,ROUND(+C13*G$37,0),"  ")</f>
        <v>419</v>
      </c>
      <c r="H13" s="60"/>
      <c r="I13" s="65"/>
    </row>
    <row r="14" spans="1:9" ht="15.75">
      <c r="A14" s="66"/>
      <c r="B14" s="23" t="str">
        <f>IF((inputPrYr!$B23&gt;" "),(inputPrYr!$B23),"  ")</f>
        <v>Library Service Contract</v>
      </c>
      <c r="C14" s="189">
        <f>IF(inputPrYr!E23&gt;0,inputPrYr!E23,"  ")</f>
        <v>15560</v>
      </c>
      <c r="D14" s="616">
        <f>IF(inputPrYr!F23&gt;0,(inputPrYr!F23),"  ")</f>
        <v>0.353</v>
      </c>
      <c r="E14" s="189">
        <f>IF(inputPrYr!E23&gt;0,ROUND(+C14*E$33,0),"  ")</f>
        <v>1383</v>
      </c>
      <c r="F14" s="189">
        <f>IF(inputPrYr!E23&gt;0,ROUND(+C14*F$35,0),"  ")</f>
        <v>25</v>
      </c>
      <c r="G14" s="189">
        <f>IF(inputPrYr!E23&gt;0,ROUND(+C14*G$37,0),"  ")</f>
        <v>197</v>
      </c>
      <c r="H14" s="60"/>
      <c r="I14" s="65"/>
    </row>
    <row r="15" spans="1:9" ht="15.75">
      <c r="A15" s="66"/>
      <c r="B15" s="23" t="str">
        <f>IF((inputPrYr!$B24&gt;" "),(inputPrYr!$B24),"  ")</f>
        <v>Hospital Maintenance</v>
      </c>
      <c r="C15" s="189">
        <f>IF(inputPrYr!E24&gt;0,inputPrYr!E24,"  ")</f>
        <v>440584</v>
      </c>
      <c r="D15" s="616">
        <f>IF(inputPrYr!F24&gt;0,(inputPrYr!F24),"  ")</f>
        <v>9.996</v>
      </c>
      <c r="E15" s="189">
        <f>IF(inputPrYr!E24&gt;0,ROUND(+C15*E$33,0),"  ")</f>
        <v>39159</v>
      </c>
      <c r="F15" s="189">
        <f>IF(inputPrYr!E24&gt;0,ROUND(+C15*F$35,0),"  ")</f>
        <v>716</v>
      </c>
      <c r="G15" s="189">
        <f>IF(inputPrYr!E24&gt;0,ROUND(+C15*G$37,0),"  ")</f>
        <v>5592</v>
      </c>
      <c r="H15" s="60"/>
      <c r="I15" s="65"/>
    </row>
    <row r="16" spans="1:9" ht="15.75">
      <c r="A16" s="66"/>
      <c r="B16" s="23" t="str">
        <f>IF((inputPrYr!$B25&gt;" "),(inputPrYr!$B25),"  ")</f>
        <v>Mental Retardation</v>
      </c>
      <c r="C16" s="189">
        <f>IF(inputPrYr!E25&gt;0,inputPrYr!E25,"  ")</f>
        <v>41635</v>
      </c>
      <c r="D16" s="616">
        <f>IF(inputPrYr!F25&gt;0,(inputPrYr!F25),"  ")</f>
        <v>0.945</v>
      </c>
      <c r="E16" s="189">
        <f>IF(inputPrYr!E25&gt;0,ROUND(+C16*E$33,0),"  ")</f>
        <v>3701</v>
      </c>
      <c r="F16" s="189">
        <f>IF(inputPrYr!E25&gt;0,ROUND(+C16*F$35,0),"  ")</f>
        <v>68</v>
      </c>
      <c r="G16" s="189">
        <f>IF(inputPrYr!E25&gt;0,ROUND(+C16*G$37,0),"  ")</f>
        <v>528</v>
      </c>
      <c r="H16" s="60"/>
      <c r="I16" s="65"/>
    </row>
    <row r="17" spans="1:9" ht="15.75">
      <c r="A17" s="66"/>
      <c r="B17" s="23" t="str">
        <f>IF((inputPrYr!$B26&gt;" "),(inputPrYr!$B26),"  ")</f>
        <v>Pool Lease-Purchase</v>
      </c>
      <c r="C17" s="189" t="str">
        <f>IF(inputPrYr!E26&gt;0,inputPrYr!E26,"  ")</f>
        <v>  </v>
      </c>
      <c r="D17" s="616" t="str">
        <f>IF(inputPrYr!F26&gt;0,(inputPrYr!F26),"  ")</f>
        <v>  </v>
      </c>
      <c r="E17" s="189" t="str">
        <f>IF(inputPrYr!E26&gt;0,ROUND(+C17*E$33,0),"  ")</f>
        <v>  </v>
      </c>
      <c r="F17" s="189" t="str">
        <f>IF(inputPrYr!E26&gt;0,ROUND(+C17*F$35,0),"  ")</f>
        <v>  </v>
      </c>
      <c r="G17" s="189" t="str">
        <f>IF(inputPrYr!E26&gt;0,ROUND(+C17*G$37,0),"  ")</f>
        <v>  </v>
      </c>
      <c r="H17" s="60"/>
      <c r="I17" s="65"/>
    </row>
    <row r="18" spans="1:9" ht="15.75">
      <c r="A18" s="66"/>
      <c r="B18" s="23" t="str">
        <f>IF((inputPrYr!$B35&gt;" "),(inputPrYr!$B35),"  ")</f>
        <v>  </v>
      </c>
      <c r="C18" s="189" t="str">
        <f>IF(inputPrYr!E35&gt;0,inputPrYr!E35,"  ")</f>
        <v>  </v>
      </c>
      <c r="D18" s="616" t="str">
        <f>IF(inputPrYr!F35&gt;0,(inputPrYr!F35),"  ")</f>
        <v>  </v>
      </c>
      <c r="E18" s="189" t="str">
        <f>IF(inputPrYr!E35&gt;0,ROUND(+C18*E$33,0),"  ")</f>
        <v>  </v>
      </c>
      <c r="F18" s="189" t="str">
        <f>IF(inputPrYr!E35&gt;0,ROUND(+C18*F$35,0),"  ")</f>
        <v>  </v>
      </c>
      <c r="G18" s="189" t="str">
        <f>IF(inputPrYr!E35&gt;0,ROUND(+C18*G$37,0),"  ")</f>
        <v>  </v>
      </c>
      <c r="H18" s="60"/>
      <c r="I18" s="65"/>
    </row>
    <row r="19" spans="1:9" ht="15.75">
      <c r="A19" s="66"/>
      <c r="B19" s="23" t="str">
        <f>IF((inputPrYr!$B36&gt;" "),(inputPrYr!$B36),"  ")</f>
        <v>  </v>
      </c>
      <c r="C19" s="189" t="str">
        <f>IF(inputPrYr!E36&gt;0,inputPrYr!E36,"  ")</f>
        <v>  </v>
      </c>
      <c r="D19" s="616" t="str">
        <f>IF(inputPrYr!F36&gt;0,(inputPrYr!F36),"  ")</f>
        <v>  </v>
      </c>
      <c r="E19" s="189" t="str">
        <f>IF(inputPrYr!E36&gt;0,ROUND(+C19*E$33,0),"  ")</f>
        <v>  </v>
      </c>
      <c r="F19" s="189" t="str">
        <f>IF(inputPrYr!E36&gt;0,ROUND(+C19*F$35,0),"  ")</f>
        <v>  </v>
      </c>
      <c r="G19" s="189" t="str">
        <f>IF(inputPrYr!E36&gt;0,ROUND(+C19*G$37,0),"  ")</f>
        <v>  </v>
      </c>
      <c r="H19" s="60"/>
      <c r="I19" s="65"/>
    </row>
    <row r="20" spans="1:9" ht="15.75">
      <c r="A20" s="66"/>
      <c r="B20" s="23" t="str">
        <f>IF((inputPrYr!$B37&gt;" "),(inputPrYr!$B37),"  ")</f>
        <v>  </v>
      </c>
      <c r="C20" s="189" t="str">
        <f>IF(inputPrYr!E37&gt;0,inputPrYr!E37,"  ")</f>
        <v>  </v>
      </c>
      <c r="D20" s="616" t="str">
        <f>IF(inputPrYr!F37&gt;0,(inputPrYr!F37),"  ")</f>
        <v>  </v>
      </c>
      <c r="E20" s="189" t="str">
        <f>IF(inputPrYr!E37&gt;0,ROUND(+C20*E$33,0),"  ")</f>
        <v>  </v>
      </c>
      <c r="F20" s="189" t="str">
        <f>IF(inputPrYr!E37&gt;0,ROUND(+C20*F$35,0),"  ")</f>
        <v>  </v>
      </c>
      <c r="G20" s="189" t="str">
        <f>IF(inputPrYr!E37&gt;0,ROUND(+C20*G$37,0),"  ")</f>
        <v>  </v>
      </c>
      <c r="H20" s="60"/>
      <c r="I20" s="65"/>
    </row>
    <row r="21" spans="1:9" ht="15.75">
      <c r="A21" s="66"/>
      <c r="B21" s="23" t="str">
        <f>IF((inputPrYr!$B38&gt;" "),(inputPrYr!$B38),"  ")</f>
        <v>  </v>
      </c>
      <c r="C21" s="189" t="str">
        <f>IF(inputPrYr!E38&gt;0,inputPrYr!E38,"  ")</f>
        <v>  </v>
      </c>
      <c r="D21" s="616" t="str">
        <f>IF(inputPrYr!F38&gt;0,(inputPrYr!F38),"  ")</f>
        <v>  </v>
      </c>
      <c r="E21" s="189" t="str">
        <f>IF(inputPrYr!E38&gt;0,ROUND(+C21*E$33,0),"  ")</f>
        <v>  </v>
      </c>
      <c r="F21" s="189" t="str">
        <f>IF(inputPrYr!E38&gt;0,ROUND(+C21*F$35,0),"  ")</f>
        <v>  </v>
      </c>
      <c r="G21" s="189" t="str">
        <f>IF(inputPrYr!E38&gt;0,ROUND(+C21*G$37,0),"  ")</f>
        <v>  </v>
      </c>
      <c r="H21" s="60"/>
      <c r="I21" s="65"/>
    </row>
    <row r="22" spans="1:9" ht="15.75">
      <c r="A22" s="66"/>
      <c r="B22" s="23" t="str">
        <f>IF((inputPrYr!$B39&gt;" "),(inputPrYr!$B39),"  ")</f>
        <v>  </v>
      </c>
      <c r="C22" s="189" t="str">
        <f>IF(inputPrYr!E39&gt;0,inputPrYr!E39,"  ")</f>
        <v>  </v>
      </c>
      <c r="D22" s="616" t="str">
        <f>IF(inputPrYr!F39&gt;0,(inputPrYr!F39),"  ")</f>
        <v>  </v>
      </c>
      <c r="E22" s="189" t="str">
        <f>IF(inputPrYr!E39&gt;0,ROUND(+C22*E$33,0),"  ")</f>
        <v>  </v>
      </c>
      <c r="F22" s="189" t="str">
        <f>IF(inputPrYr!E39&gt;0,ROUND(+C22*F$35,0),"  ")</f>
        <v>  </v>
      </c>
      <c r="G22" s="189" t="str">
        <f>IF(inputPrYr!E39&gt;0,ROUND(+C22*G$37,0),"  ")</f>
        <v>  </v>
      </c>
      <c r="H22" s="60"/>
      <c r="I22" s="65"/>
    </row>
    <row r="23" spans="1:9" ht="15.75">
      <c r="A23" s="66"/>
      <c r="B23" s="23" t="str">
        <f>IF((inputPrYr!$B40&gt;" "),(inputPrYr!$B40),"  ")</f>
        <v>  </v>
      </c>
      <c r="C23" s="189" t="str">
        <f>IF(inputPrYr!E40&gt;0,inputPrYr!E40,"  ")</f>
        <v>  </v>
      </c>
      <c r="D23" s="616" t="str">
        <f>IF(inputPrYr!F40&gt;0,(inputPrYr!F40),"  ")</f>
        <v>  </v>
      </c>
      <c r="E23" s="189" t="str">
        <f>IF(inputPrYr!E40&gt;0,ROUND(+C23*E$33,0),"  ")</f>
        <v>  </v>
      </c>
      <c r="F23" s="189" t="str">
        <f>IF(inputPrYr!E40&gt;0,ROUND(+C23*F$35,0),"  ")</f>
        <v>  </v>
      </c>
      <c r="G23" s="189" t="str">
        <f>IF(inputPrYr!E40&gt;0,ROUND(+C23*G$37,0),"  ")</f>
        <v>  </v>
      </c>
      <c r="H23" s="60"/>
      <c r="I23" s="65"/>
    </row>
    <row r="24" spans="1:9" ht="16.5" thickBot="1">
      <c r="A24" s="66"/>
      <c r="B24" s="100" t="s">
        <v>146</v>
      </c>
      <c r="C24" s="614">
        <f>SUM(C7:C23)</f>
        <v>3660362</v>
      </c>
      <c r="D24" s="615">
        <f>SUM(D7:D23)</f>
        <v>83.04799999999999</v>
      </c>
      <c r="E24" s="614">
        <f>SUM(E7:E23)</f>
        <v>325333</v>
      </c>
      <c r="F24" s="614">
        <f>SUM(F7:F23)</f>
        <v>5949</v>
      </c>
      <c r="G24" s="614">
        <f>SUM(G7:G23)</f>
        <v>46456</v>
      </c>
      <c r="H24" s="65"/>
      <c r="I24" s="65"/>
    </row>
    <row r="25" spans="1:9" ht="16.5" thickTop="1">
      <c r="A25" s="66"/>
      <c r="B25" s="49"/>
      <c r="C25" s="60"/>
      <c r="D25" s="67"/>
      <c r="E25" s="60"/>
      <c r="F25" s="60"/>
      <c r="G25" s="60"/>
      <c r="H25" s="60"/>
      <c r="I25" s="65"/>
    </row>
    <row r="26" spans="1:9" ht="15.75">
      <c r="A26" s="66"/>
      <c r="B26" s="13" t="s">
        <v>147</v>
      </c>
      <c r="C26" s="58"/>
      <c r="D26" s="58"/>
      <c r="E26" s="59">
        <f>(inputOth!E15)</f>
        <v>325333</v>
      </c>
      <c r="F26" s="58"/>
      <c r="G26" s="27"/>
      <c r="H26" s="27"/>
      <c r="I26" s="50"/>
    </row>
    <row r="27" spans="1:9" ht="15.75">
      <c r="A27" s="66"/>
      <c r="B27" s="13"/>
      <c r="C27" s="58"/>
      <c r="D27" s="58"/>
      <c r="E27" s="60"/>
      <c r="F27" s="58"/>
      <c r="G27" s="27"/>
      <c r="H27" s="27"/>
      <c r="I27" s="50"/>
    </row>
    <row r="28" spans="1:9" ht="15.75">
      <c r="A28" s="66"/>
      <c r="B28" s="13" t="s">
        <v>148</v>
      </c>
      <c r="C28" s="27"/>
      <c r="D28" s="27"/>
      <c r="E28" s="27"/>
      <c r="F28" s="59">
        <f>(inputOth!E16)</f>
        <v>5949</v>
      </c>
      <c r="G28" s="27"/>
      <c r="H28" s="27"/>
      <c r="I28" s="50"/>
    </row>
    <row r="29" spans="1:9" ht="15.75">
      <c r="A29" s="66"/>
      <c r="B29" s="13"/>
      <c r="C29" s="27"/>
      <c r="D29" s="27"/>
      <c r="E29" s="27"/>
      <c r="F29" s="60"/>
      <c r="G29" s="27"/>
      <c r="H29" s="27"/>
      <c r="I29" s="50"/>
    </row>
    <row r="30" spans="1:9" ht="15.75">
      <c r="A30" s="66"/>
      <c r="B30" s="13" t="s">
        <v>226</v>
      </c>
      <c r="C30" s="27"/>
      <c r="D30" s="27"/>
      <c r="E30" s="27"/>
      <c r="F30" s="27"/>
      <c r="G30" s="59">
        <f>inputOth!E17</f>
        <v>46456</v>
      </c>
      <c r="H30" s="60"/>
      <c r="I30" s="50"/>
    </row>
    <row r="31" spans="1:9" ht="15.75">
      <c r="A31" s="66"/>
      <c r="B31" s="12"/>
      <c r="C31" s="27"/>
      <c r="D31" s="27"/>
      <c r="E31" s="27"/>
      <c r="F31" s="27"/>
      <c r="G31" s="27"/>
      <c r="H31" s="27"/>
      <c r="I31" s="50"/>
    </row>
    <row r="32" spans="1:9" ht="15.75">
      <c r="A32" s="66"/>
      <c r="B32" s="12"/>
      <c r="C32" s="27"/>
      <c r="D32" s="27"/>
      <c r="E32" s="27"/>
      <c r="F32" s="27"/>
      <c r="G32" s="27"/>
      <c r="H32" s="27"/>
      <c r="I32" s="50"/>
    </row>
    <row r="33" spans="1:9" ht="15.75">
      <c r="A33" s="66"/>
      <c r="B33" s="13" t="s">
        <v>149</v>
      </c>
      <c r="C33" s="27"/>
      <c r="D33" s="27"/>
      <c r="E33" s="61">
        <f>IF(C24=0,0,E26/C24)</f>
        <v>0.08888000695013225</v>
      </c>
      <c r="F33" s="27"/>
      <c r="G33" s="27"/>
      <c r="H33" s="27"/>
      <c r="I33" s="50"/>
    </row>
    <row r="34" spans="1:9" ht="15.75">
      <c r="A34" s="66"/>
      <c r="B34" s="13"/>
      <c r="C34" s="27"/>
      <c r="D34" s="27"/>
      <c r="E34" s="62"/>
      <c r="F34" s="27"/>
      <c r="G34" s="27"/>
      <c r="H34" s="27"/>
      <c r="I34" s="50"/>
    </row>
    <row r="35" spans="1:9" ht="15.75">
      <c r="A35" s="66"/>
      <c r="B35" s="13" t="s">
        <v>285</v>
      </c>
      <c r="C35" s="27"/>
      <c r="D35" s="27"/>
      <c r="E35" s="27"/>
      <c r="F35" s="61">
        <f>IF(C24=0,0,F28/C24)</f>
        <v>0.001625249087385346</v>
      </c>
      <c r="G35" s="27"/>
      <c r="H35" s="27"/>
      <c r="I35" s="50"/>
    </row>
    <row r="36" spans="1:9" ht="15.75">
      <c r="A36" s="66"/>
      <c r="B36" s="13"/>
      <c r="C36" s="27"/>
      <c r="D36" s="27"/>
      <c r="E36" s="27"/>
      <c r="F36" s="62"/>
      <c r="G36" s="27"/>
      <c r="H36" s="27"/>
      <c r="I36" s="50"/>
    </row>
    <row r="37" spans="1:9" ht="15.75">
      <c r="A37" s="66"/>
      <c r="B37" s="13" t="s">
        <v>284</v>
      </c>
      <c r="C37" s="27"/>
      <c r="D37" s="27"/>
      <c r="E37" s="27"/>
      <c r="F37" s="27"/>
      <c r="G37" s="61">
        <f>IF(C24=0,0,G30/C24)</f>
        <v>0.012691640881421018</v>
      </c>
      <c r="H37" s="62"/>
      <c r="I37" s="50"/>
    </row>
    <row r="38" spans="1:9" ht="15.75">
      <c r="A38" s="66"/>
      <c r="B38" s="25"/>
      <c r="C38" s="50"/>
      <c r="D38" s="50"/>
      <c r="E38" s="50"/>
      <c r="F38" s="50"/>
      <c r="G38" s="50"/>
      <c r="H38" s="50"/>
      <c r="I38" s="50"/>
    </row>
    <row r="39" spans="1:9" ht="15.75">
      <c r="A39" s="66"/>
      <c r="B39" s="25"/>
      <c r="C39" s="50"/>
      <c r="D39" s="50"/>
      <c r="E39" s="50"/>
      <c r="F39" s="50"/>
      <c r="G39" s="50"/>
      <c r="H39" s="50"/>
      <c r="I39" s="50"/>
    </row>
  </sheetData>
  <sheetProtection/>
  <mergeCells count="4">
    <mergeCell ref="C5:C6"/>
    <mergeCell ref="D5:D6"/>
    <mergeCell ref="E5:G5"/>
    <mergeCell ref="B3:G3"/>
  </mergeCells>
  <printOptions/>
  <pageMargins left="1.5" right="0.75" top="0.38" bottom="0.18" header="0" footer="0"/>
  <pageSetup blackAndWhite="1" firstPageNumber="3" useFirstPageNumber="1" fitToHeight="1" fitToWidth="1" horizontalDpi="600" verticalDpi="600" orientation="landscape" scale="93" r:id="rId1"/>
  <headerFooter alignWithMargins="0">
    <oddHeader>&amp;RState of Kansas
County</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29" sqref="A29:H37"/>
    </sheetView>
  </sheetViews>
  <sheetFormatPr defaultColWidth="8.796875" defaultRowHeight="15"/>
  <cols>
    <col min="1" max="2" width="17.796875" style="140" customWidth="1"/>
    <col min="3" max="6" width="12.796875" style="140" customWidth="1"/>
    <col min="7" max="16384" width="8.8984375" style="140" customWidth="1"/>
  </cols>
  <sheetData>
    <row r="1" spans="1:6" ht="15.75">
      <c r="A1" s="224"/>
      <c r="B1" s="82"/>
      <c r="C1" s="82"/>
      <c r="D1" s="82"/>
      <c r="E1" s="236"/>
      <c r="F1" s="82"/>
    </row>
    <row r="2" spans="1:6" ht="15.75">
      <c r="A2" s="141" t="str">
        <f>inputPrYr!C2</f>
        <v>Sheridan County</v>
      </c>
      <c r="B2" s="141"/>
      <c r="C2" s="82"/>
      <c r="D2" s="82"/>
      <c r="E2" s="236"/>
      <c r="F2" s="82">
        <f>inputPrYr!C4</f>
        <v>2013</v>
      </c>
    </row>
    <row r="3" spans="1:6" ht="15.75">
      <c r="A3" s="224"/>
      <c r="B3" s="141"/>
      <c r="C3" s="82"/>
      <c r="D3" s="82"/>
      <c r="E3" s="236"/>
      <c r="F3" s="82"/>
    </row>
    <row r="4" spans="1:6" ht="15.75">
      <c r="A4" s="224"/>
      <c r="B4" s="82"/>
      <c r="C4" s="82"/>
      <c r="D4" s="82"/>
      <c r="E4" s="236"/>
      <c r="F4" s="82"/>
    </row>
    <row r="5" spans="1:6" ht="15" customHeight="1">
      <c r="A5" s="749" t="s">
        <v>267</v>
      </c>
      <c r="B5" s="749"/>
      <c r="C5" s="749"/>
      <c r="D5" s="749"/>
      <c r="E5" s="749"/>
      <c r="F5" s="749"/>
    </row>
    <row r="6" spans="1:6" ht="14.25" customHeight="1">
      <c r="A6" s="225"/>
      <c r="B6" s="237"/>
      <c r="C6" s="237"/>
      <c r="D6" s="237"/>
      <c r="E6" s="237"/>
      <c r="F6" s="237"/>
    </row>
    <row r="7" spans="1:6" ht="15" customHeight="1">
      <c r="A7" s="238" t="s">
        <v>635</v>
      </c>
      <c r="B7" s="238" t="s">
        <v>636</v>
      </c>
      <c r="C7" s="239" t="s">
        <v>179</v>
      </c>
      <c r="D7" s="239" t="s">
        <v>286</v>
      </c>
      <c r="E7" s="239" t="s">
        <v>287</v>
      </c>
      <c r="F7" s="239" t="s">
        <v>315</v>
      </c>
    </row>
    <row r="8" spans="1:6" ht="15" customHeight="1">
      <c r="A8" s="240" t="s">
        <v>637</v>
      </c>
      <c r="B8" s="240" t="s">
        <v>638</v>
      </c>
      <c r="C8" s="241" t="s">
        <v>314</v>
      </c>
      <c r="D8" s="241" t="s">
        <v>314</v>
      </c>
      <c r="E8" s="241" t="s">
        <v>314</v>
      </c>
      <c r="F8" s="241" t="s">
        <v>316</v>
      </c>
    </row>
    <row r="9" spans="1:6" s="222" customFormat="1" ht="15" customHeight="1" thickBot="1">
      <c r="A9" s="242" t="s">
        <v>312</v>
      </c>
      <c r="B9" s="243" t="s">
        <v>313</v>
      </c>
      <c r="C9" s="244">
        <f>F2-2</f>
        <v>2011</v>
      </c>
      <c r="D9" s="244">
        <f>F2-1</f>
        <v>2012</v>
      </c>
      <c r="E9" s="244">
        <f>F2</f>
        <v>2013</v>
      </c>
      <c r="F9" s="243" t="s">
        <v>122</v>
      </c>
    </row>
    <row r="10" spans="1:6" ht="15" customHeight="1" thickTop="1">
      <c r="A10" s="245" t="s">
        <v>156</v>
      </c>
      <c r="B10" s="245" t="s">
        <v>886</v>
      </c>
      <c r="C10" s="246">
        <v>35000</v>
      </c>
      <c r="D10" s="246">
        <v>50000</v>
      </c>
      <c r="E10" s="246">
        <v>50000</v>
      </c>
      <c r="F10" s="245" t="s">
        <v>912</v>
      </c>
    </row>
    <row r="11" spans="1:6" ht="15" customHeight="1">
      <c r="A11" s="108" t="s">
        <v>174</v>
      </c>
      <c r="B11" s="108" t="s">
        <v>896</v>
      </c>
      <c r="C11" s="247">
        <v>0</v>
      </c>
      <c r="D11" s="247">
        <v>0</v>
      </c>
      <c r="E11" s="247">
        <v>12500</v>
      </c>
      <c r="F11" s="108" t="s">
        <v>913</v>
      </c>
    </row>
    <row r="12" spans="1:6" ht="15" customHeight="1">
      <c r="A12" s="108" t="s">
        <v>174</v>
      </c>
      <c r="B12" s="108" t="s">
        <v>889</v>
      </c>
      <c r="C12" s="247">
        <v>300000</v>
      </c>
      <c r="D12" s="247">
        <v>425000</v>
      </c>
      <c r="E12" s="247">
        <v>425000</v>
      </c>
      <c r="F12" s="108" t="s">
        <v>914</v>
      </c>
    </row>
    <row r="13" spans="1:6" ht="15" customHeight="1">
      <c r="A13" s="108" t="s">
        <v>174</v>
      </c>
      <c r="B13" s="108" t="s">
        <v>910</v>
      </c>
      <c r="C13" s="247">
        <v>175000</v>
      </c>
      <c r="D13" s="247">
        <v>175000</v>
      </c>
      <c r="E13" s="247">
        <v>175000</v>
      </c>
      <c r="F13" s="108" t="s">
        <v>915</v>
      </c>
    </row>
    <row r="14" spans="1:6" ht="15" customHeight="1">
      <c r="A14" s="108" t="s">
        <v>871</v>
      </c>
      <c r="B14" s="108" t="s">
        <v>911</v>
      </c>
      <c r="C14" s="247">
        <v>10000</v>
      </c>
      <c r="D14" s="247">
        <v>10000</v>
      </c>
      <c r="E14" s="247">
        <v>10000</v>
      </c>
      <c r="F14" s="108" t="s">
        <v>876</v>
      </c>
    </row>
    <row r="15" spans="1:6" ht="15" customHeight="1">
      <c r="A15" s="108" t="s">
        <v>892</v>
      </c>
      <c r="B15" s="108" t="s">
        <v>123</v>
      </c>
      <c r="C15" s="247">
        <v>10344</v>
      </c>
      <c r="D15" s="247">
        <v>12500</v>
      </c>
      <c r="E15" s="247">
        <v>16500</v>
      </c>
      <c r="F15" s="108" t="s">
        <v>916</v>
      </c>
    </row>
    <row r="16" spans="1:6" ht="15" customHeight="1">
      <c r="A16" s="108"/>
      <c r="B16" s="108"/>
      <c r="C16" s="247"/>
      <c r="D16" s="247"/>
      <c r="E16" s="247"/>
      <c r="F16" s="108"/>
    </row>
    <row r="17" spans="1:6" ht="15" customHeight="1">
      <c r="A17" s="108"/>
      <c r="B17" s="108"/>
      <c r="C17" s="247"/>
      <c r="D17" s="247"/>
      <c r="E17" s="247"/>
      <c r="F17" s="108"/>
    </row>
    <row r="18" spans="1:6" ht="15" customHeight="1">
      <c r="A18" s="108"/>
      <c r="B18" s="108"/>
      <c r="C18" s="247"/>
      <c r="D18" s="247"/>
      <c r="E18" s="247"/>
      <c r="F18" s="108"/>
    </row>
    <row r="19" spans="1:6" ht="15" customHeight="1">
      <c r="A19" s="108"/>
      <c r="B19" s="248"/>
      <c r="C19" s="247"/>
      <c r="D19" s="247"/>
      <c r="E19" s="247"/>
      <c r="F19" s="108"/>
    </row>
    <row r="20" spans="1:6" ht="15" customHeight="1">
      <c r="A20" s="108"/>
      <c r="B20" s="108"/>
      <c r="C20" s="247"/>
      <c r="D20" s="247"/>
      <c r="E20" s="247"/>
      <c r="F20" s="108"/>
    </row>
    <row r="21" spans="1:6" ht="15" customHeight="1">
      <c r="A21" s="108"/>
      <c r="B21" s="108"/>
      <c r="C21" s="247"/>
      <c r="D21" s="247"/>
      <c r="E21" s="247"/>
      <c r="F21" s="108"/>
    </row>
    <row r="22" spans="1:6" ht="15" customHeight="1">
      <c r="A22" s="108"/>
      <c r="B22" s="108"/>
      <c r="C22" s="247"/>
      <c r="D22" s="247"/>
      <c r="E22" s="247"/>
      <c r="F22" s="108"/>
    </row>
    <row r="23" spans="1:6" ht="15" customHeight="1">
      <c r="A23" s="108"/>
      <c r="B23" s="108"/>
      <c r="C23" s="247"/>
      <c r="D23" s="247"/>
      <c r="E23" s="247"/>
      <c r="F23" s="108"/>
    </row>
    <row r="24" spans="1:6" ht="15" customHeight="1">
      <c r="A24" s="108"/>
      <c r="B24" s="108"/>
      <c r="C24" s="247"/>
      <c r="D24" s="247"/>
      <c r="E24" s="247"/>
      <c r="F24" s="108"/>
    </row>
    <row r="25" spans="1:6" ht="15" customHeight="1">
      <c r="A25" s="108"/>
      <c r="B25" s="108"/>
      <c r="C25" s="247"/>
      <c r="D25" s="247"/>
      <c r="E25" s="247"/>
      <c r="F25" s="108"/>
    </row>
    <row r="26" spans="1:6" ht="15" customHeight="1">
      <c r="A26" s="108"/>
      <c r="B26" s="108"/>
      <c r="C26" s="247"/>
      <c r="D26" s="247"/>
      <c r="E26" s="247"/>
      <c r="F26" s="108"/>
    </row>
    <row r="27" spans="1:6" ht="15.75">
      <c r="A27" s="134"/>
      <c r="B27" s="249" t="s">
        <v>124</v>
      </c>
      <c r="C27" s="117">
        <f>SUM(C10:C26)</f>
        <v>530344</v>
      </c>
      <c r="D27" s="117">
        <f>SUM(D10:D26)</f>
        <v>672500</v>
      </c>
      <c r="E27" s="117">
        <f>SUM(E10:E26)</f>
        <v>689000</v>
      </c>
      <c r="F27" s="134"/>
    </row>
    <row r="28" spans="1:6" ht="15.75">
      <c r="A28" s="134"/>
      <c r="B28" s="250" t="s">
        <v>633</v>
      </c>
      <c r="C28" s="101"/>
      <c r="D28" s="102">
        <v>12500</v>
      </c>
      <c r="E28" s="102">
        <v>16500</v>
      </c>
      <c r="F28" s="134"/>
    </row>
    <row r="29" spans="1:6" ht="15.75">
      <c r="A29" s="134"/>
      <c r="B29" s="249" t="s">
        <v>317</v>
      </c>
      <c r="C29" s="117">
        <f>C27</f>
        <v>530344</v>
      </c>
      <c r="D29" s="117">
        <f>SUM(D27-D28)</f>
        <v>660000</v>
      </c>
      <c r="E29" s="117">
        <f>SUM(E27-E28)</f>
        <v>672500</v>
      </c>
      <c r="F29" s="134"/>
    </row>
    <row r="30" spans="1:6" ht="15.75">
      <c r="A30" s="134"/>
      <c r="B30" s="134"/>
      <c r="C30" s="134"/>
      <c r="D30" s="134"/>
      <c r="E30" s="134"/>
      <c r="F30" s="134"/>
    </row>
    <row r="31" spans="1:6" ht="15.75">
      <c r="A31" s="134"/>
      <c r="B31" s="134"/>
      <c r="C31" s="134"/>
      <c r="D31" s="134"/>
      <c r="E31" s="134"/>
      <c r="F31" s="134"/>
    </row>
    <row r="32" spans="1:6" ht="15.75">
      <c r="A32" s="428" t="s">
        <v>634</v>
      </c>
      <c r="B32" s="429" t="str">
        <f>CONCATENATE("Adjustments are required only if the transfer is being made in ",D9," and/or ",E9," from a non-budgeted fund.")</f>
        <v>Adjustments are required only if the transfer is being made in 2012 and/or 2013 from a non-budgeted fund.</v>
      </c>
      <c r="C32" s="134"/>
      <c r="D32" s="134"/>
      <c r="E32" s="134"/>
      <c r="F32" s="134"/>
    </row>
  </sheetData>
  <sheetProtection sheet="1"/>
  <mergeCells count="1">
    <mergeCell ref="A5:F5"/>
  </mergeCells>
  <printOptions/>
  <pageMargins left="0.5" right="0.5" top="0.72" bottom="0.23" header="0.5" footer="0.47"/>
  <pageSetup blackAndWhite="1" fitToHeight="1" fitToWidth="1" horizontalDpi="120" verticalDpi="120" orientation="portrait" scale="83" r:id="rId1"/>
  <headerFooter alignWithMargins="0">
    <oddHeader>&amp;RState of Kansas
County
</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rbrazier</cp:lastModifiedBy>
  <cp:lastPrinted>2012-08-16T14:51:52Z</cp:lastPrinted>
  <dcterms:created xsi:type="dcterms:W3CDTF">1998-08-26T13:26:11Z</dcterms:created>
  <dcterms:modified xsi:type="dcterms:W3CDTF">2012-12-03T15:40:16Z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