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7"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summ" sheetId="13" r:id="rId13"/>
    <sheet name="levypage8" sheetId="14" r:id="rId14"/>
    <sheet name="nolevypage9" sheetId="15" r:id="rId15"/>
    <sheet name="NonBud" sheetId="16" r:id="rId16"/>
    <sheet name="NonBudFunds" sheetId="17" r:id="rId17"/>
    <sheet name="Nhood" sheetId="18" r:id="rId18"/>
    <sheet name="Resolution" sheetId="19" r:id="rId19"/>
    <sheet name="Affidavit" sheetId="20" r:id="rId20"/>
    <sheet name="Signed Certificate"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2">'summ'!$A$1:$I$41</definedName>
  </definedNames>
  <calcPr fullCalcOnLoad="1"/>
</workbook>
</file>

<file path=xl/sharedStrings.xml><?xml version="1.0" encoding="utf-8"?>
<sst xmlns="http://schemas.openxmlformats.org/spreadsheetml/2006/main" count="1176" uniqueCount="799">
  <si>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</si>
  <si>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</si>
  <si>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</si>
  <si>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</si>
  <si>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</si>
  <si>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</si>
  <si>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</si>
  <si>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</si>
  <si>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</si>
  <si>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</si>
  <si>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</si>
  <si>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</si>
  <si>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</si>
  <si>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</si>
  <si>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</si>
  <si>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</si>
  <si>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</si>
  <si>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</si>
  <si>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</si>
  <si>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</si>
  <si>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</si>
  <si>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</si>
  <si>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</si>
  <si>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</si>
  <si>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</si>
  <si>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</si>
  <si>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</si>
  <si>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</si>
  <si>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</si>
  <si>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</si>
  <si>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</si>
  <si>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</si>
  <si>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</si>
  <si>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</si>
  <si>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</si>
  <si>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</si>
  <si>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</si>
  <si>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</si>
  <si>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</si>
  <si>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</si>
  <si>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</si>
  <si>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</si>
  <si>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</si>
  <si>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</si>
  <si>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</si>
  <si>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</si>
  <si>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</si>
  <si>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</si>
  <si>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</si>
  <si>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</si>
  <si>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</si>
  <si>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</si>
  <si>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</si>
  <si>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</si>
  <si>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</si>
  <si>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</si>
  <si>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</si>
  <si>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</si>
  <si>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</si>
  <si>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</si>
  <si>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</si>
  <si>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</si>
  <si>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</si>
  <si>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</si>
  <si>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</si>
  <si>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</si>
  <si>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</si>
  <si>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</si>
  <si>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</si>
  <si>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</si>
  <si>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</si>
  <si>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</si>
  <si>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</si>
  <si>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</si>
  <si>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</si>
  <si>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</si>
  <si>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</si>
  <si>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</si>
  <si>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</si>
  <si>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</si>
  <si>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</si>
  <si>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</si>
  <si>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</si>
  <si>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</si>
  <si>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</si>
  <si>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</si>
  <si>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</si>
  <si>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</si>
  <si>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</si>
  <si>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</si>
  <si>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</si>
  <si>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</si>
  <si>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</si>
  <si>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</si>
  <si>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</si>
  <si>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</si>
  <si>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</si>
  <si>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</si>
  <si>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</si>
  <si>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</si>
  <si>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</si>
  <si>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</si>
  <si>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</si>
  <si>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</si>
  <si>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</si>
  <si>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</si>
  <si>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</si>
  <si>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</si>
  <si>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</si>
  <si>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</si>
  <si>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</si>
  <si>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</si>
  <si>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</si>
  <si>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</si>
  <si>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</si>
  <si>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</si>
  <si>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</si>
  <si>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</si>
  <si>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</si>
  <si>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</si>
  <si>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</si>
  <si>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</si>
  <si>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</si>
  <si>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</si>
  <si>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</si>
  <si>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</si>
  <si>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</si>
  <si>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</si>
  <si>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</si>
  <si>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</si>
  <si>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</si>
  <si>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</si>
  <si>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</si>
  <si>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</si>
  <si>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</si>
  <si>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</si>
  <si>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</si>
  <si>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</si>
  <si>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</si>
  <si>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</si>
  <si>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</si>
  <si>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</si>
  <si>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</si>
  <si>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</si>
  <si>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</si>
  <si>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</si>
  <si>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</si>
  <si>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</si>
  <si>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</si>
  <si>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</si>
  <si>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</si>
  <si>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</si>
  <si>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</si>
  <si>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</si>
  <si>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</si>
  <si>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</si>
  <si>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</si>
  <si>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</si>
  <si>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</si>
  <si>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</si>
  <si>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</si>
  <si>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</si>
  <si>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</si>
  <si>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</si>
  <si>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</si>
  <si>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</si>
  <si>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</si>
  <si>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</si>
  <si>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</si>
  <si>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</si>
  <si>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</si>
  <si>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</si>
  <si>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</si>
  <si>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</si>
  <si>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</si>
  <si>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</si>
  <si>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</si>
  <si>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</si>
  <si>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</si>
  <si>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</si>
  <si>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</si>
  <si>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</si>
  <si>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</si>
  <si>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</si>
  <si>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</si>
  <si>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</si>
  <si>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</si>
  <si>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</si>
  <si>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</si>
  <si>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</si>
  <si>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</si>
  <si>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</si>
  <si>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</si>
  <si>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</si>
  <si>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</si>
  <si>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</si>
  <si>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</si>
  <si>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</si>
  <si>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</si>
  <si>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</si>
  <si>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</si>
  <si>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</si>
  <si>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</si>
  <si>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</si>
  <si>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</si>
  <si>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</si>
  <si>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</si>
  <si>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</si>
  <si>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</si>
  <si>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</si>
  <si>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</si>
  <si>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</si>
  <si>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</si>
  <si>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</si>
  <si>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</si>
  <si>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</si>
  <si>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</si>
  <si>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</si>
  <si>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</si>
  <si>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</si>
  <si>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</si>
  <si>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</si>
  <si>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</si>
  <si>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</si>
  <si>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</si>
  <si>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</si>
  <si>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</si>
  <si>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</si>
  <si>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</si>
  <si>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</si>
  <si>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</si>
  <si>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</si>
  <si>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</si>
  <si>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</si>
  <si>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</si>
  <si>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</si>
  <si>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</si>
  <si>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</si>
  <si>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</si>
  <si>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</si>
  <si>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</si>
  <si>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</si>
  <si>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</si>
  <si>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</si>
  <si>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</si>
  <si>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</si>
  <si>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</si>
  <si>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</si>
  <si>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</si>
  <si>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</si>
  <si>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</si>
  <si>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</si>
  <si>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</si>
  <si>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</si>
  <si>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</si>
  <si>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</si>
  <si>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</si>
  <si>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</si>
  <si>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</si>
  <si>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</si>
  <si>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</si>
  <si>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</si>
  <si>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</si>
  <si>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</si>
  <si>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</si>
  <si>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</si>
  <si>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</si>
  <si>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</si>
  <si>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</si>
  <si>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</si>
  <si>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</si>
  <si>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</si>
  <si>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</si>
  <si>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</si>
  <si>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</si>
  <si>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</si>
  <si>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</si>
  <si>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</si>
  <si>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</si>
  <si>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</si>
  <si>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</si>
  <si>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</si>
  <si>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</si>
  <si>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</si>
  <si>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</si>
  <si>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</si>
  <si>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</si>
  <si>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</si>
  <si>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</si>
  <si>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</si>
  <si>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</si>
  <si>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</si>
  <si>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</si>
  <si>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</si>
  <si>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</si>
  <si>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</si>
  <si>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</si>
  <si>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</si>
  <si>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</si>
  <si>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</si>
  <si>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</si>
  <si>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</si>
  <si>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</si>
  <si>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</si>
  <si>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</si>
  <si>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</si>
  <si>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</si>
  <si>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</si>
  <si>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</si>
  <si>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</si>
  <si>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</si>
  <si>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</si>
  <si>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</si>
  <si>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</si>
  <si>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</si>
  <si>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</si>
  <si>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</si>
  <si>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</si>
  <si>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</si>
  <si>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</si>
  <si>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</si>
  <si>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</si>
  <si>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</si>
  <si>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</si>
  <si>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</si>
  <si>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</si>
  <si>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</si>
  <si>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</si>
  <si>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</si>
  <si>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</si>
  <si>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</si>
  <si>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</si>
  <si>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</si>
  <si>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</si>
  <si>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</si>
  <si>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</si>
  <si>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</si>
  <si>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</si>
  <si>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</si>
  <si>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</si>
  <si>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</si>
  <si>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</si>
  <si>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</si>
  <si>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</si>
  <si>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</si>
  <si>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</si>
  <si>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</si>
  <si>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</si>
  <si>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</si>
  <si>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</si>
  <si>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</si>
  <si>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</si>
  <si>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</si>
  <si>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</si>
  <si>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</si>
  <si>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</si>
  <si>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</si>
  <si>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</si>
  <si>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</si>
  <si>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</si>
  <si>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</si>
  <si>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</si>
  <si>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</si>
  <si>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</si>
  <si>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</si>
  <si>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</si>
  <si>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</si>
  <si>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</si>
  <si>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</si>
  <si>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</si>
  <si>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</si>
  <si>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</si>
  <si>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</si>
  <si>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</si>
  <si>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</si>
  <si>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</si>
  <si>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</si>
  <si>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</si>
  <si>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</si>
  <si>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</si>
  <si>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</si>
  <si>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</si>
  <si>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</si>
  <si>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</si>
  <si>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</si>
  <si>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</si>
  <si>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</si>
  <si>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</si>
  <si>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</si>
  <si>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</si>
  <si>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</si>
  <si>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</si>
  <si>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</si>
  <si>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</si>
  <si>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</si>
  <si>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</si>
  <si>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</si>
  <si>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</si>
  <si>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</si>
  <si>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</si>
  <si>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</si>
  <si>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</si>
  <si>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</si>
  <si>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</si>
  <si>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</si>
  <si>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</si>
  <si>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</si>
  <si>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</si>
  <si>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</si>
  <si>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</si>
  <si>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</si>
  <si>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</si>
  <si>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</si>
  <si>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</si>
  <si>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</si>
  <si>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</si>
  <si>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</si>
  <si>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</si>
  <si>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</si>
  <si>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</si>
  <si>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</si>
  <si>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</si>
  <si>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</si>
  <si>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</si>
  <si>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</si>
  <si>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</si>
  <si>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</si>
  <si>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</si>
  <si>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</si>
  <si>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</si>
  <si>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</si>
  <si>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</si>
  <si>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</si>
  <si>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</si>
  <si>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</si>
  <si>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</si>
  <si>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</si>
  <si>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</si>
  <si>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</si>
  <si>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</si>
  <si>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</si>
  <si>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</si>
  <si>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</si>
  <si>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</si>
  <si>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</si>
  <si>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</si>
  <si>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</si>
  <si>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</si>
  <si>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</si>
  <si>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</si>
  <si>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</si>
  <si>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</si>
  <si>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</si>
  <si>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</si>
  <si>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</si>
  <si>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</si>
  <si>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</si>
  <si>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</si>
  <si>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</si>
  <si>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</si>
  <si>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</si>
  <si>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</si>
  <si>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</si>
  <si>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</si>
  <si>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</si>
  <si>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</si>
  <si>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</si>
  <si>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</si>
  <si>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</si>
  <si>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</si>
  <si>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</si>
  <si>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</si>
  <si>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</si>
  <si>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</si>
  <si>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</si>
  <si>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</si>
  <si>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</si>
  <si>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</si>
  <si>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</si>
  <si>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</si>
  <si>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</si>
  <si>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</si>
  <si>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</si>
  <si>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</si>
  <si>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</si>
  <si>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</si>
  <si>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</si>
  <si>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</si>
  <si>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</si>
  <si>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</si>
  <si>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</si>
  <si>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</si>
  <si>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</si>
  <si>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</si>
  <si>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</si>
  <si>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</si>
  <si>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</si>
  <si>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</si>
  <si>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</si>
  <si>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</si>
  <si>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</si>
  <si>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</si>
  <si>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</si>
  <si>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</si>
  <si>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</si>
  <si>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</si>
  <si>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</si>
  <si>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</si>
  <si>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</si>
  <si>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</si>
  <si>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</si>
  <si>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</si>
  <si>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</si>
  <si>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</si>
  <si>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</si>
  <si>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</si>
  <si>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</si>
  <si>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</si>
  <si>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</si>
  <si>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</si>
  <si>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</si>
  <si>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</si>
  <si>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</si>
  <si>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</si>
  <si>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</si>
  <si>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</si>
  <si>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</si>
  <si>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</si>
  <si>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</si>
  <si>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</si>
  <si>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</si>
  <si>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</si>
  <si>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</si>
  <si>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</si>
  <si>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</si>
  <si>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</si>
  <si>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</si>
  <si>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</si>
  <si>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</si>
  <si>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</si>
  <si>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</si>
  <si>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</si>
  <si>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</si>
  <si>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</si>
  <si>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</si>
  <si>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</si>
  <si>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</si>
  <si>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</si>
  <si>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</si>
  <si>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</si>
  <si>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</si>
  <si>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</si>
  <si>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</si>
  <si>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</si>
  <si>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</si>
  <si>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</si>
  <si>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</si>
  <si>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</si>
  <si>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</si>
  <si>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</si>
  <si>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</si>
  <si>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</si>
  <si>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</si>
  <si>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</si>
  <si>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</si>
  <si>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</si>
  <si>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</si>
  <si>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</si>
  <si>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</si>
  <si>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</si>
  <si>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</si>
  <si>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</si>
  <si>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</si>
  <si>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</si>
  <si>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</si>
  <si>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</si>
  <si>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</si>
  <si>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</si>
  <si>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</si>
  <si>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</si>
  <si>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</si>
  <si>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</si>
  <si>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</si>
  <si>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</si>
  <si>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</si>
  <si>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</si>
  <si>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</si>
  <si>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</si>
  <si>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</si>
  <si>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</si>
  <si>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</si>
  <si>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</si>
  <si>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</si>
  <si>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</si>
  <si>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</si>
  <si>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</si>
  <si>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</si>
  <si>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</si>
  <si>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</si>
  <si>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</si>
  <si>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</si>
  <si>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</si>
  <si>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</si>
  <si>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</si>
  <si>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</si>
  <si>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</si>
  <si>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</si>
  <si>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</si>
  <si>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</si>
  <si>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</si>
  <si>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</si>
  <si>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</si>
  <si>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</si>
  <si>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</si>
  <si>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</si>
  <si>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</si>
  <si>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</si>
  <si>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</si>
  <si>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</si>
  <si>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</si>
  <si>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</si>
  <si>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</si>
  <si>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</si>
  <si>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</si>
  <si>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</si>
  <si>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</si>
  <si>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</si>
  <si>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</si>
  <si>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</si>
  <si>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</si>
  <si>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</si>
  <si>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</si>
  <si>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</si>
  <si>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</si>
  <si>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</si>
  <si>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</si>
  <si>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</si>
  <si>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</si>
  <si>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</si>
  <si>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</si>
  <si>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</si>
  <si>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</si>
  <si>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</si>
  <si>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</si>
  <si>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</si>
  <si>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</si>
  <si>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</si>
  <si>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</si>
  <si>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</si>
  <si>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</si>
  <si>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</si>
  <si>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</si>
  <si>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</si>
  <si>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</si>
  <si>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</si>
  <si>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</si>
  <si>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</si>
  <si>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</si>
  <si>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</si>
  <si>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</si>
  <si>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</si>
  <si>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</si>
  <si>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</si>
  <si>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</si>
  <si>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</si>
  <si>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</si>
  <si>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</si>
  <si>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</si>
  <si>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</si>
  <si>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</si>
  <si>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</si>
  <si>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</si>
  <si>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</si>
  <si>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</si>
  <si>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</si>
  <si>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</si>
  <si>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</si>
  <si>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</si>
  <si>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</si>
  <si>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</si>
  <si>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</si>
  <si>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</si>
  <si>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</si>
  <si>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</si>
  <si>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</si>
  <si>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</si>
  <si>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</si>
  <si>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</si>
  <si>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</si>
  <si>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</si>
  <si>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</si>
  <si>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</si>
  <si>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</si>
  <si>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</si>
  <si>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</si>
  <si>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</si>
  <si>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</si>
  <si>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</si>
  <si>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</si>
  <si>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</si>
  <si>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</si>
  <si>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</si>
  <si>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</si>
  <si>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</si>
  <si>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</si>
  <si>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</si>
  <si>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</si>
  <si>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</si>
  <si>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</si>
  <si>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</si>
  <si>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</si>
  <si>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</si>
  <si>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</si>
  <si>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</si>
  <si>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</si>
  <si>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</si>
  <si>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</si>
  <si>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</si>
  <si>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</si>
  <si>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</si>
  <si>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</si>
  <si>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</si>
  <si>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</si>
  <si>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</si>
  <si>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</si>
  <si>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</si>
  <si>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</si>
  <si>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</si>
  <si>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</si>
  <si>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</si>
  <si>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</si>
  <si>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</si>
  <si>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</si>
  <si>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</si>
  <si>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</si>
  <si>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</si>
  <si>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</si>
  <si>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</si>
  <si>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</si>
  <si>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</si>
  <si>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</si>
  <si>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</si>
  <si>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</si>
  <si>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</si>
  <si>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</si>
  <si>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</si>
  <si>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</si>
  <si>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</si>
  <si>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</si>
  <si>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</si>
  <si>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</si>
  <si>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</si>
  <si>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</si>
  <si>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</si>
  <si>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</si>
  <si>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</si>
  <si>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</si>
  <si>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</si>
  <si>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</si>
  <si>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</si>
  <si>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</si>
  <si>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</si>
  <si>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</si>
  <si>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</si>
  <si>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</si>
  <si>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</si>
  <si>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</si>
  <si>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</si>
  <si>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</si>
  <si>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</si>
  <si>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</si>
  <si>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</si>
  <si>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</si>
  <si>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</si>
  <si>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</si>
  <si>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</si>
  <si>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</si>
  <si>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</si>
  <si>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</si>
  <si>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</si>
  <si>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</si>
  <si>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</si>
  <si>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</si>
  <si>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</si>
  <si>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</si>
  <si>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Maize Park Cemetery</t>
  </si>
  <si>
    <t>Sedgwick County</t>
  </si>
  <si>
    <t>Lot Sales</t>
  </si>
  <si>
    <t>Interments</t>
  </si>
  <si>
    <t>Stone Sets</t>
  </si>
  <si>
    <t>Misc</t>
  </si>
  <si>
    <t>Operations</t>
  </si>
  <si>
    <t>Insurance</t>
  </si>
  <si>
    <t>Improvements</t>
  </si>
  <si>
    <t>Maize Park Cemetery District</t>
  </si>
  <si>
    <t>August 6, 2012</t>
  </si>
  <si>
    <t>7:00 PM</t>
  </si>
  <si>
    <t>Maize City Hall</t>
  </si>
  <si>
    <t>10100 Grady Avenue Maize, Ks  67101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</si>
</sst>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49" fontId="4" fillId="22" borderId="0" xfId="444" applyNumberFormat="1" applyFont="1" applyFill="1" applyAlignment="1" applyProtection="1">
      <alignment horizontal="left" vertical="center"/>
      <protection locked="0"/>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2"/>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2"/>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6">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Maize Park Cemetery</v>
      </c>
      <c r="C1" s="18"/>
      <c r="D1" s="18"/>
      <c r="E1" s="18"/>
      <c r="F1" s="18"/>
      <c r="G1" s="18"/>
      <c r="H1" s="18"/>
      <c r="I1" s="18"/>
      <c r="J1" s="18"/>
      <c r="K1" s="18"/>
      <c r="L1" s="182">
        <f>inputPrYr!D6</f>
        <v>2013</v>
      </c>
    </row>
    <row r="2" spans="2:12" ht="15.75">
      <c r="B2" s="18" t="str">
        <f>inputPrYr!$D$4</f>
        <v>Sedgwick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Maize Park Cemetery</v>
      </c>
      <c r="C1" s="222"/>
      <c r="D1" s="18"/>
      <c r="E1" s="182"/>
    </row>
    <row r="2" spans="2:5" ht="15.75">
      <c r="B2" s="18" t="str">
        <f>inputPrYr!D4</f>
        <v>Sedgwick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128631</v>
      </c>
      <c r="D7" s="374">
        <f>C62</f>
        <v>133776</v>
      </c>
      <c r="E7" s="45">
        <f>D62</f>
        <v>121285</v>
      </c>
    </row>
    <row r="8" spans="2:5" ht="15.75">
      <c r="B8" s="226" t="s">
        <v>127</v>
      </c>
      <c r="C8" s="227"/>
      <c r="D8" s="227"/>
      <c r="E8" s="123"/>
    </row>
    <row r="9" spans="2:5" ht="15.75">
      <c r="B9" s="119" t="s">
        <v>33</v>
      </c>
      <c r="C9" s="367">
        <v>5607</v>
      </c>
      <c r="D9" s="374">
        <f>IF(inputPrYr!H18&gt;0,inputPrYr!G19,inputPrYr!E19)</f>
        <v>6162</v>
      </c>
      <c r="E9" s="128" t="s">
        <v>28</v>
      </c>
    </row>
    <row r="10" spans="2:5" ht="15.75">
      <c r="B10" s="119" t="s">
        <v>34</v>
      </c>
      <c r="C10" s="367">
        <v>140</v>
      </c>
      <c r="D10" s="367"/>
      <c r="E10" s="198"/>
    </row>
    <row r="11" spans="2:5" ht="15.75">
      <c r="B11" s="119" t="s">
        <v>35</v>
      </c>
      <c r="C11" s="367">
        <v>755</v>
      </c>
      <c r="D11" s="367"/>
      <c r="E11" s="45">
        <f>mvalloc!D11</f>
        <v>705</v>
      </c>
    </row>
    <row r="12" spans="2:5" ht="15.75">
      <c r="B12" s="119" t="s">
        <v>36</v>
      </c>
      <c r="C12" s="367"/>
      <c r="D12" s="367"/>
      <c r="E12" s="45">
        <f>mvalloc!E11</f>
        <v>7</v>
      </c>
    </row>
    <row r="13" spans="2:5" ht="15.75">
      <c r="B13" s="227" t="s">
        <v>109</v>
      </c>
      <c r="C13" s="367"/>
      <c r="D13" s="367"/>
      <c r="E13" s="45">
        <f>mvalloc!F11</f>
        <v>6</v>
      </c>
    </row>
    <row r="14" spans="2:5" ht="15.75">
      <c r="B14" s="227" t="s">
        <v>159</v>
      </c>
      <c r="C14" s="367"/>
      <c r="D14" s="367"/>
      <c r="E14" s="45">
        <f>inputOth!E30</f>
        <v>0</v>
      </c>
    </row>
    <row r="15" spans="2:5" ht="15.75">
      <c r="B15" s="228" t="s">
        <v>37</v>
      </c>
      <c r="C15" s="367"/>
      <c r="D15" s="367"/>
      <c r="E15" s="198"/>
    </row>
    <row r="16" spans="2:5" ht="15.75">
      <c r="B16" s="228" t="s">
        <v>787</v>
      </c>
      <c r="C16" s="367">
        <v>13535</v>
      </c>
      <c r="D16" s="367">
        <v>8000</v>
      </c>
      <c r="E16" s="198">
        <v>5000</v>
      </c>
    </row>
    <row r="17" spans="2:5" ht="15.75">
      <c r="B17" s="228" t="s">
        <v>788</v>
      </c>
      <c r="C17" s="367">
        <v>8650</v>
      </c>
      <c r="D17" s="367">
        <v>5000</v>
      </c>
      <c r="E17" s="198">
        <v>5000</v>
      </c>
    </row>
    <row r="18" spans="2:5" ht="15.75">
      <c r="B18" s="228" t="s">
        <v>789</v>
      </c>
      <c r="C18" s="367">
        <v>1425</v>
      </c>
      <c r="D18" s="367">
        <v>1000</v>
      </c>
      <c r="E18" s="198">
        <v>400</v>
      </c>
    </row>
    <row r="19" spans="2:5" ht="15.75">
      <c r="B19" s="228" t="s">
        <v>790</v>
      </c>
      <c r="C19" s="367">
        <v>50</v>
      </c>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1155</v>
      </c>
      <c r="D30" s="367">
        <v>900</v>
      </c>
      <c r="E30" s="198">
        <v>300</v>
      </c>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31317</v>
      </c>
      <c r="D33" s="369">
        <f>SUM(D9:D31)</f>
        <v>21062</v>
      </c>
      <c r="E33" s="234">
        <f>SUM(E9:E31)</f>
        <v>11418</v>
      </c>
    </row>
    <row r="34" spans="2:5" ht="15.75">
      <c r="B34" s="233" t="s">
        <v>40</v>
      </c>
      <c r="C34" s="369">
        <f>C7+C33</f>
        <v>159948</v>
      </c>
      <c r="D34" s="369">
        <f>D7+D33</f>
        <v>154838</v>
      </c>
      <c r="E34" s="234">
        <f>E7+E33</f>
        <v>132703</v>
      </c>
    </row>
    <row r="35" spans="2:5" ht="15.75">
      <c r="B35" s="119" t="s">
        <v>41</v>
      </c>
      <c r="C35" s="121"/>
      <c r="D35" s="121"/>
      <c r="E35" s="36"/>
    </row>
    <row r="36" spans="2:5" ht="15.75">
      <c r="B36" s="228"/>
      <c r="C36" s="367"/>
      <c r="D36" s="367"/>
      <c r="E36" s="198"/>
    </row>
    <row r="37" spans="2:5" ht="15.75">
      <c r="B37" s="228" t="s">
        <v>791</v>
      </c>
      <c r="C37" s="367">
        <v>22748</v>
      </c>
      <c r="D37" s="367">
        <v>23000</v>
      </c>
      <c r="E37" s="198">
        <v>35000</v>
      </c>
    </row>
    <row r="38" spans="2:5" ht="15.75">
      <c r="B38" s="228" t="s">
        <v>792</v>
      </c>
      <c r="C38" s="367">
        <v>290</v>
      </c>
      <c r="D38" s="367">
        <v>553</v>
      </c>
      <c r="E38" s="198">
        <v>600</v>
      </c>
    </row>
    <row r="39" spans="2:5" ht="15.75">
      <c r="B39" s="228" t="s">
        <v>793</v>
      </c>
      <c r="C39" s="367">
        <v>3084</v>
      </c>
      <c r="D39" s="367">
        <v>10000</v>
      </c>
      <c r="E39" s="198">
        <v>103507</v>
      </c>
    </row>
    <row r="40" spans="2:5" ht="15.75">
      <c r="B40" s="228" t="s">
        <v>219</v>
      </c>
      <c r="C40" s="367">
        <v>50</v>
      </c>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7" t="str">
        <f>CONCATENATE("Projected Carryover Into ",E3+1,"")</f>
        <v>Projected Carryover Into 2014</v>
      </c>
      <c r="H59" s="688"/>
      <c r="I59" s="688"/>
      <c r="J59" s="689"/>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26172</v>
      </c>
      <c r="D61" s="369">
        <f>SUM(D36:D59)</f>
        <v>33553</v>
      </c>
      <c r="E61" s="234">
        <f>SUM(E36:E59)</f>
        <v>139107</v>
      </c>
      <c r="F61" s="16"/>
      <c r="G61" s="490">
        <f>D62</f>
        <v>121285</v>
      </c>
      <c r="H61" s="489" t="str">
        <f>CONCATENATE("",E3-1," Ending Cash Balance (est.)")</f>
        <v>2012 Ending Cash Balance (est.)</v>
      </c>
      <c r="I61" s="586"/>
      <c r="J61" s="484"/>
      <c r="K61" s="16"/>
    </row>
    <row r="62" spans="2:11" ht="15.75">
      <c r="B62" s="119" t="s">
        <v>126</v>
      </c>
      <c r="C62" s="370">
        <f>C34-C61</f>
        <v>133776</v>
      </c>
      <c r="D62" s="370">
        <f>D34-D61</f>
        <v>121285</v>
      </c>
      <c r="E62" s="128" t="s">
        <v>28</v>
      </c>
      <c r="F62" s="16"/>
      <c r="G62" s="490">
        <f>E33</f>
        <v>11418</v>
      </c>
      <c r="H62" s="483" t="str">
        <f>CONCATENATE("",E3," Non-AV Receipts (est.)")</f>
        <v>2013 Non-AV Receipts (est.)</v>
      </c>
      <c r="I62" s="586"/>
      <c r="J62" s="484"/>
      <c r="K62" s="16"/>
    </row>
    <row r="63" spans="2:11" ht="15.75">
      <c r="B63" s="138" t="str">
        <f>CONCATENATE("",E3-2,"/",E3-1," Budget Authority Amount:")</f>
        <v>2011/2012 Budget Authority Amount:</v>
      </c>
      <c r="C63" s="120">
        <f>inputOth!B41</f>
        <v>142296</v>
      </c>
      <c r="D63" s="388">
        <f>inputPrYr!D19</f>
        <v>132881</v>
      </c>
      <c r="E63" s="128" t="s">
        <v>28</v>
      </c>
      <c r="F63" s="251"/>
      <c r="G63" s="482">
        <f>IF(E67&gt;0,E66,E68)</f>
        <v>6404</v>
      </c>
      <c r="H63" s="483" t="str">
        <f>CONCATENATE("",E3," Ad Valorem Tax (est.)")</f>
        <v>2013 Ad Valorem Tax (est.)</v>
      </c>
      <c r="I63" s="483"/>
      <c r="J63" s="484"/>
      <c r="K63" s="587">
        <f>IF(G63=E68,"","Note: Does not include Delinquent Taxes")</f>
      </c>
    </row>
    <row r="64" spans="2:11" ht="15.75">
      <c r="B64" s="138"/>
      <c r="C64" s="683" t="s">
        <v>659</v>
      </c>
      <c r="D64" s="684"/>
      <c r="E64" s="35"/>
      <c r="F64" s="588">
        <f>IF(E61/0.95-E61&lt;E64,"Exceeds 5%","")</f>
      </c>
      <c r="G64" s="490">
        <f>SUM(G61:G63)</f>
        <v>139107</v>
      </c>
      <c r="H64" s="483" t="str">
        <f>CONCATENATE("Total ",E3," Resources Available")</f>
        <v>Total 2013 Resources Available</v>
      </c>
      <c r="I64" s="586"/>
      <c r="J64" s="484"/>
      <c r="K64" s="16"/>
    </row>
    <row r="65" spans="2:11" ht="15.75">
      <c r="B65" s="386" t="str">
        <f>CONCATENATE(C81,"     ",D81)</f>
        <v>     </v>
      </c>
      <c r="C65" s="685" t="s">
        <v>660</v>
      </c>
      <c r="D65" s="686"/>
      <c r="E65" s="45">
        <f>E61+E64</f>
        <v>139107</v>
      </c>
      <c r="F65" s="16"/>
      <c r="G65" s="481"/>
      <c r="H65" s="483"/>
      <c r="I65" s="483"/>
      <c r="J65" s="484"/>
      <c r="K65" s="16"/>
    </row>
    <row r="66" spans="2:11" ht="15.75">
      <c r="B66" s="386" t="str">
        <f>CONCATENATE(C82,"     ",D82)</f>
        <v>     </v>
      </c>
      <c r="C66" s="494"/>
      <c r="D66" s="493" t="s">
        <v>661</v>
      </c>
      <c r="E66" s="42">
        <f>IF(E65-E34&gt;0,E65-E34,0)</f>
        <v>6404</v>
      </c>
      <c r="F66" s="16"/>
      <c r="G66" s="482">
        <f>ROUND(C61*0.05+C61,0)</f>
        <v>27481</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111626</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6404</v>
      </c>
      <c r="F68" s="16"/>
      <c r="G68" s="16"/>
      <c r="H68" s="16"/>
      <c r="I68" s="16"/>
      <c r="J68" s="16"/>
      <c r="K68" s="16"/>
    </row>
    <row r="69" spans="2:11" ht="15.75">
      <c r="B69" s="18"/>
      <c r="C69" s="18"/>
      <c r="D69" s="18"/>
      <c r="E69" s="18"/>
      <c r="F69" s="16"/>
      <c r="G69" s="678" t="s">
        <v>733</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0.141</v>
      </c>
      <c r="H71" s="489" t="str">
        <f>CONCATENATE("",E3," Fund Mill Rate")</f>
        <v>2013 Fund Mill Rate</v>
      </c>
      <c r="I71" s="571"/>
      <c r="J71" s="591"/>
      <c r="K71" s="16"/>
    </row>
    <row r="72" spans="2:11" ht="15.75">
      <c r="B72" s="18"/>
      <c r="C72" s="18"/>
      <c r="D72" s="18"/>
      <c r="E72" s="18"/>
      <c r="F72" s="593"/>
      <c r="G72" s="594">
        <f>summ!E16</f>
        <v>0.136</v>
      </c>
      <c r="H72" s="489" t="str">
        <f>CONCATENATE("",E3-1," Fund Mill Rate")</f>
        <v>2012 Fund Mill Rate</v>
      </c>
      <c r="I72" s="571"/>
      <c r="J72" s="591"/>
      <c r="K72" s="16"/>
    </row>
    <row r="73" spans="2:11" ht="15.75">
      <c r="B73" s="18"/>
      <c r="C73" s="222"/>
      <c r="D73" s="222"/>
      <c r="E73" s="222"/>
      <c r="F73" s="577"/>
      <c r="G73" s="595">
        <f>summ!H23</f>
        <v>0.141</v>
      </c>
      <c r="H73" s="489" t="str">
        <f>CONCATENATE("Total ",E3," Mill Rate")</f>
        <v>Total 2013 Mill Rate</v>
      </c>
      <c r="I73" s="571"/>
      <c r="J73" s="591"/>
      <c r="K73" s="16"/>
    </row>
    <row r="74" spans="2:11" ht="15.75">
      <c r="B74" s="138"/>
      <c r="C74" s="18" t="s">
        <v>228</v>
      </c>
      <c r="D74" s="18"/>
      <c r="E74" s="18"/>
      <c r="F74" s="577"/>
      <c r="G74" s="594">
        <f>summ!E23</f>
        <v>0.136</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Maize Park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7" t="str">
        <f>CONCATENATE("Projected Carryover Into ",E1+1,"")</f>
        <v>Projected Carryover Into 2014</v>
      </c>
      <c r="H51" s="690"/>
      <c r="I51" s="690"/>
      <c r="J51" s="691"/>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3" t="s">
        <v>659</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660</v>
      </c>
      <c r="D57" s="686"/>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733</v>
      </c>
      <c r="H61" s="679"/>
      <c r="I61" s="679"/>
      <c r="J61" s="680"/>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0.141</v>
      </c>
      <c r="H65" s="489" t="str">
        <f>CONCATENATE("Total ",E1," Mill Rate")</f>
        <v>Total 2013 Mill Rate</v>
      </c>
      <c r="I65" s="571"/>
      <c r="J65" s="591"/>
      <c r="K65" s="599"/>
    </row>
    <row r="66" spans="6:11" ht="15.75">
      <c r="F66"/>
      <c r="G66" s="594">
        <f>summ!E23</f>
        <v>0.136</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F22" sqref="F2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5"/>
    </row>
    <row r="2" spans="1:8" ht="15.75">
      <c r="A2" s="18"/>
      <c r="B2" s="18"/>
      <c r="C2" s="18"/>
      <c r="D2" s="18"/>
      <c r="E2" s="18"/>
      <c r="F2" s="18"/>
      <c r="G2" s="18"/>
      <c r="H2" s="18"/>
    </row>
    <row r="3" spans="1:9" ht="15.75">
      <c r="A3" s="670" t="s">
        <v>110</v>
      </c>
      <c r="B3" s="670"/>
      <c r="C3" s="670"/>
      <c r="D3" s="670"/>
      <c r="E3" s="670"/>
      <c r="F3" s="670"/>
      <c r="G3" s="670"/>
      <c r="H3" s="670"/>
      <c r="I3" s="52">
        <f>inputPrYr!D6</f>
        <v>2013</v>
      </c>
    </row>
    <row r="4" spans="1:8" ht="15.75">
      <c r="A4" s="638" t="str">
        <f>inputPrYr!D3</f>
        <v>Maize Park Cemetery</v>
      </c>
      <c r="B4" s="638"/>
      <c r="C4" s="638"/>
      <c r="D4" s="638"/>
      <c r="E4" s="638"/>
      <c r="F4" s="638"/>
      <c r="G4" s="638"/>
      <c r="H4" s="638"/>
    </row>
    <row r="5" spans="1:8" ht="15.75">
      <c r="A5" s="698" t="str">
        <f>inputPrYr!D4</f>
        <v>Sedgwick County</v>
      </c>
      <c r="B5" s="698"/>
      <c r="C5" s="698"/>
      <c r="D5" s="698"/>
      <c r="E5" s="698"/>
      <c r="F5" s="698"/>
      <c r="G5" s="698"/>
      <c r="H5" s="698"/>
    </row>
    <row r="6" spans="1:8" ht="15.75">
      <c r="A6" s="659" t="str">
        <f>CONCATENATE("will meet on ",inputBudSum!B7," at ",inputBudSum!B9," at ",inputBudSum!B11," for the purpose of hearing and")</f>
        <v>will meet on August 6, 2012 at 7:00 PM at Maize City Hall for the purpose of hearing and</v>
      </c>
      <c r="B6" s="659"/>
      <c r="C6" s="659"/>
      <c r="D6" s="659"/>
      <c r="E6" s="659"/>
      <c r="F6" s="659"/>
      <c r="G6" s="659"/>
      <c r="H6" s="659"/>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10100 Grady Avenue Maize, Ks  67101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1" t="str">
        <f>CONCATENATE("Estimated Value Of One Mill For ",I3,"")</f>
        <v>Estimated Value Of One Mill For 2013</v>
      </c>
      <c r="K12" s="702"/>
      <c r="L12" s="702"/>
      <c r="M12" s="70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6" t="str">
        <f>CONCATENATE("Amount of ",I3-1," Ad Valorem Tax")</f>
        <v>Amount of 2012 Ad Valorem Tax</v>
      </c>
      <c r="H14" s="293" t="s">
        <v>566</v>
      </c>
      <c r="J14" s="501" t="s">
        <v>667</v>
      </c>
      <c r="K14" s="502"/>
      <c r="L14" s="502"/>
      <c r="M14" s="503">
        <f>ROUND(F27/1000,0)</f>
        <v>45322</v>
      </c>
    </row>
    <row r="15" spans="1:13" ht="15.75">
      <c r="A15" s="169" t="s">
        <v>52</v>
      </c>
      <c r="B15" s="114" t="s">
        <v>53</v>
      </c>
      <c r="C15" s="294" t="s">
        <v>198</v>
      </c>
      <c r="D15" s="114" t="s">
        <v>53</v>
      </c>
      <c r="E15" s="294" t="s">
        <v>198</v>
      </c>
      <c r="F15" s="114" t="s">
        <v>561</v>
      </c>
      <c r="G15" s="697"/>
      <c r="H15" s="294" t="s">
        <v>198</v>
      </c>
      <c r="J15" s="16"/>
      <c r="K15" s="16"/>
      <c r="L15" s="16"/>
      <c r="M15" s="16"/>
    </row>
    <row r="16" spans="1:13" ht="15.75">
      <c r="A16" s="36" t="str">
        <f>inputPrYr!B19</f>
        <v>General</v>
      </c>
      <c r="B16" s="123">
        <f>IF(gen!$C$61&lt;&gt;0,gen!$C$61,"  ")</f>
        <v>26172</v>
      </c>
      <c r="C16" s="624">
        <f>IF(inputPrYr!D38&gt;0,inputPrYr!D38,"  ")</f>
        <v>0.132</v>
      </c>
      <c r="D16" s="561">
        <f>IF(gen!$D$61&lt;&gt;0,gen!$D$61,"  ")</f>
        <v>33553</v>
      </c>
      <c r="E16" s="627">
        <f>IF(inputOth!D16&gt;0,inputOth!D16,"  ")</f>
        <v>0.136</v>
      </c>
      <c r="F16" s="561">
        <f>IF(gen!$E$61&lt;&gt;0,gen!$E$61,"  ")</f>
        <v>139107</v>
      </c>
      <c r="G16" s="243">
        <f>IF(gen!$E$68&lt;&gt;0,gen!$E$68,"  ")</f>
        <v>6404</v>
      </c>
      <c r="H16" s="624">
        <f>IF(gen!E68&gt;0,ROUND(G16/$F$27*1000,3)," ")</f>
        <v>0.141</v>
      </c>
      <c r="J16" s="701" t="str">
        <f>CONCATENATE("Want The Mill Rate The Same As For ",I3-1,"?")</f>
        <v>Want The Mill Rate The Same As For 2012?</v>
      </c>
      <c r="K16" s="704"/>
      <c r="L16" s="704"/>
      <c r="M16" s="705"/>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0.136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-240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26172</v>
      </c>
      <c r="C23" s="626">
        <f aca="true" t="shared" si="0" ref="C23:H23">SUM(C16:C21)</f>
        <v>0.132</v>
      </c>
      <c r="D23" s="621">
        <f t="shared" si="0"/>
        <v>33553</v>
      </c>
      <c r="E23" s="629">
        <f t="shared" si="0"/>
        <v>0.136</v>
      </c>
      <c r="F23" s="621">
        <f t="shared" si="0"/>
        <v>139107</v>
      </c>
      <c r="G23" s="621">
        <f t="shared" si="0"/>
        <v>6404</v>
      </c>
      <c r="H23" s="629">
        <f t="shared" si="0"/>
        <v>0.141</v>
      </c>
      <c r="J23" s="701" t="str">
        <f>CONCATENATE("Impact On Keeping The Same Mill Rate As For ",I3-1,"")</f>
        <v>Impact On Keeping The Same Mill Rate As For 2012</v>
      </c>
      <c r="K23" s="706"/>
      <c r="L23" s="706"/>
      <c r="M23" s="707"/>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26172</v>
      </c>
      <c r="C25" s="296"/>
      <c r="D25" s="129">
        <f>SUM(D23-D24)</f>
        <v>33553</v>
      </c>
      <c r="E25" s="296"/>
      <c r="F25" s="485">
        <f>SUM(F23-F24)</f>
        <v>139107</v>
      </c>
      <c r="G25" s="238"/>
      <c r="H25" s="295"/>
      <c r="J25" s="504" t="str">
        <f>CONCATENATE("",I3," Ad Valorem Tax Revenue:")</f>
        <v>2013 Ad Valorem Tax Revenue:</v>
      </c>
      <c r="K25" s="499"/>
      <c r="L25" s="499"/>
      <c r="M25" s="500">
        <f>G23</f>
        <v>6404</v>
      </c>
    </row>
    <row r="26" spans="1:13" ht="16.5" thickTop="1">
      <c r="A26" s="33" t="s">
        <v>54</v>
      </c>
      <c r="B26" s="621">
        <f>inputPrYr!E44</f>
        <v>5954</v>
      </c>
      <c r="C26" s="215"/>
      <c r="D26" s="621">
        <f>inputPrYr!E24</f>
        <v>6162</v>
      </c>
      <c r="E26" s="215"/>
      <c r="F26" s="83" t="s">
        <v>174</v>
      </c>
      <c r="G26" s="18"/>
      <c r="H26" s="18"/>
      <c r="J26" s="504" t="str">
        <f>CONCATENATE("",I3-1," Ad Valorem Tax Revenue:")</f>
        <v>2012 Ad Valorem Tax Revenue:</v>
      </c>
      <c r="K26" s="499"/>
      <c r="L26" s="499"/>
      <c r="M26" s="513">
        <f>ROUND(F27*M18/1000,0)</f>
        <v>6164</v>
      </c>
    </row>
    <row r="27" spans="1:13" ht="15.75">
      <c r="A27" s="33" t="s">
        <v>170</v>
      </c>
      <c r="B27" s="42">
        <f>inputPrYr!E45</f>
        <v>44990191</v>
      </c>
      <c r="C27" s="215"/>
      <c r="D27" s="42">
        <f>inputOth!E24</f>
        <v>45237763</v>
      </c>
      <c r="E27" s="215"/>
      <c r="F27" s="42">
        <f>inputOth!E7</f>
        <v>45321568</v>
      </c>
      <c r="G27" s="18"/>
      <c r="H27" s="18"/>
      <c r="J27" s="514" t="s">
        <v>668</v>
      </c>
      <c r="K27" s="515"/>
      <c r="L27" s="515"/>
      <c r="M27" s="503">
        <f>M25-M26</f>
        <v>240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1" t="s">
        <v>669</v>
      </c>
      <c r="K29" s="704"/>
      <c r="L29" s="704"/>
      <c r="M29" s="705"/>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0.141</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8" t="str">
        <f>inputBudSum!B3</f>
        <v>Maize Park Cemetery District</v>
      </c>
      <c r="B40" s="667"/>
      <c r="C40" s="99"/>
      <c r="D40" s="18"/>
      <c r="E40" s="18"/>
      <c r="F40" s="18"/>
      <c r="G40" s="18"/>
      <c r="H40" s="52"/>
    </row>
    <row r="41" spans="1:8" ht="15.75">
      <c r="A41" s="699">
        <f>inputBudSum!B5</f>
        <v>0</v>
      </c>
      <c r="B41" s="700"/>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76">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Maize Park Cemetery</v>
      </c>
      <c r="C1" s="18"/>
      <c r="D1" s="18"/>
      <c r="E1" s="182"/>
    </row>
    <row r="2" spans="2:5" ht="15.75">
      <c r="B2" s="18" t="str">
        <f>inputPrYr!D4</f>
        <v>Sedgwick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7" t="str">
        <f>CONCATENATE("Projected Carryover Into ",E3+1,"")</f>
        <v>Projected Carryover Into 2014</v>
      </c>
      <c r="H32" s="690"/>
      <c r="I32" s="690"/>
      <c r="J32" s="691"/>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3" t="s">
        <v>659</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660</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8" t="s">
        <v>733</v>
      </c>
      <c r="H42" s="679"/>
      <c r="I42" s="679"/>
      <c r="J42" s="680"/>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0.141</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0.136</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7"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3" t="s">
        <v>659</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660</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733</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0.141</v>
      </c>
      <c r="H86" s="489" t="str">
        <f>CONCATENATE("Total ",E3," Mill Rate")</f>
        <v>Total 2013 Mill Rate</v>
      </c>
      <c r="I86" s="571"/>
      <c r="J86" s="591"/>
      <c r="K86" s="16"/>
    </row>
    <row r="87" spans="3:11" ht="19.5" customHeight="1">
      <c r="C87" s="95">
        <f>IF(C33&gt;C35,"See Tab A","")</f>
      </c>
      <c r="D87" s="95">
        <f>IF(D33&gt;D35,"See Tab C","")</f>
      </c>
      <c r="F87" s="16"/>
      <c r="G87" s="594">
        <f>summ!E23</f>
        <v>0.136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Maize Park Cemetery</v>
      </c>
      <c r="C1" s="222"/>
      <c r="D1" s="18"/>
      <c r="E1" s="182"/>
    </row>
    <row r="2" spans="2:5" ht="15.75">
      <c r="B2" s="18" t="str">
        <f>inputPrYr!D4</f>
        <v>Sedgwick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Maize Park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Maize Park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8" t="str">
        <f>CONCATENATE("",F1," Neighborhood Revitalization Rebate")</f>
        <v>2013 Neighborhood Revitalization Rebate</v>
      </c>
      <c r="C4" s="711"/>
      <c r="D4" s="711"/>
      <c r="E4" s="69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45321568</v>
      </c>
      <c r="E16" s="18"/>
      <c r="F16" s="52"/>
    </row>
    <row r="17" spans="1:6" ht="15.75">
      <c r="A17" s="18"/>
      <c r="B17" s="18"/>
      <c r="C17" s="18"/>
      <c r="D17" s="18"/>
      <c r="E17" s="18"/>
      <c r="F17" s="52"/>
    </row>
    <row r="18" spans="1:6" ht="15.75">
      <c r="A18" s="18"/>
      <c r="B18" s="712" t="s">
        <v>319</v>
      </c>
      <c r="C18" s="712"/>
      <c r="D18" s="309">
        <f>IF(D16&gt;0,(D16*0.001),"")</f>
        <v>45321.568</v>
      </c>
      <c r="E18" s="18"/>
      <c r="F18" s="52"/>
    </row>
    <row r="19" spans="1:6" ht="15.75">
      <c r="A19" s="18"/>
      <c r="B19" s="138"/>
      <c r="C19" s="138"/>
      <c r="D19" s="310"/>
      <c r="E19" s="18"/>
      <c r="F19" s="52"/>
    </row>
    <row r="20" spans="1:6" ht="15.75">
      <c r="A20" s="709" t="s">
        <v>317</v>
      </c>
      <c r="B20" s="695"/>
      <c r="C20" s="695"/>
      <c r="D20" s="311">
        <f>inputOth!E12</f>
        <v>0</v>
      </c>
      <c r="E20" s="62"/>
      <c r="F20" s="62"/>
    </row>
    <row r="21" spans="1:6" ht="15">
      <c r="A21" s="62"/>
      <c r="B21" s="62"/>
      <c r="C21" s="62"/>
      <c r="D21" s="312"/>
      <c r="E21" s="62"/>
      <c r="F21" s="62"/>
    </row>
    <row r="22" spans="1:6" ht="15.75">
      <c r="A22" s="62"/>
      <c r="B22" s="709" t="s">
        <v>318</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3" t="s">
        <v>140</v>
      </c>
      <c r="C1" s="713"/>
      <c r="D1" s="713"/>
      <c r="E1" s="713"/>
      <c r="F1" s="713"/>
      <c r="G1" s="713"/>
      <c r="H1" s="713"/>
    </row>
    <row r="2" spans="2:8" ht="15.75">
      <c r="B2" s="6"/>
      <c r="C2"/>
      <c r="D2"/>
      <c r="E2"/>
      <c r="F2"/>
      <c r="G2"/>
      <c r="H2"/>
    </row>
    <row r="3" spans="2:8" ht="15.75">
      <c r="B3" s="714" t="s">
        <v>137</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Maize Park Cemetery District with respect to financing the 2013 annual budget for Maize Park Cemetery , Sedgwick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Maize Park Cemetery district budget exceed the amount levied to finance the</v>
      </c>
      <c r="C9"/>
      <c r="D9"/>
      <c r="E9"/>
      <c r="F9"/>
      <c r="G9"/>
      <c r="H9"/>
    </row>
    <row r="10" spans="2:8" ht="15.75">
      <c r="B10" s="12" t="str">
        <f>CONCATENATE("",inputPrYr!D6-1," ",inputPrYr!D3," except with regard to revenue produced and attributable to the")</f>
        <v>2012 Maize Park Cemetery except with regard to revenue produced and attributable to the</v>
      </c>
      <c r="C10"/>
      <c r="D10"/>
      <c r="E10"/>
      <c r="F10"/>
      <c r="G10"/>
      <c r="H10"/>
    </row>
    <row r="11" spans="2:8" ht="15.75">
      <c r="B11" s="715" t="s">
        <v>176</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149</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Maize Park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Maize Park Cemetery that is our desire to notify the public of the possibility of increased property taxes to finance the 2013 Maize Park Cemetery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Maize Park Cemetery District Board, Sedgwick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Maize Park Cemetery District Board</v>
      </c>
      <c r="C31"/>
      <c r="D31"/>
      <c r="E31"/>
      <c r="F31"/>
      <c r="G31"/>
      <c r="H31"/>
    </row>
    <row r="32" spans="2:8" ht="15.75">
      <c r="B32" s="8"/>
      <c r="C32"/>
      <c r="D32"/>
      <c r="E32"/>
      <c r="F32"/>
      <c r="G32"/>
      <c r="H32"/>
    </row>
    <row r="33" spans="2:8" ht="15.75">
      <c r="B33"/>
      <c r="C33"/>
      <c r="D33"/>
      <c r="E33" s="717" t="s">
        <v>138</v>
      </c>
      <c r="F33" s="717"/>
      <c r="G33" s="717"/>
      <c r="H33" s="717"/>
    </row>
    <row r="34" spans="2:8" ht="15.75">
      <c r="B34"/>
      <c r="C34"/>
      <c r="D34"/>
      <c r="E34" s="717" t="s">
        <v>141</v>
      </c>
      <c r="F34" s="717"/>
      <c r="G34" s="717"/>
      <c r="H34" s="717"/>
    </row>
    <row r="35" spans="2:8" ht="15.75">
      <c r="B35" s="8"/>
      <c r="C35"/>
      <c r="D35"/>
      <c r="E35" s="717"/>
      <c r="F35" s="717"/>
      <c r="G35" s="717"/>
      <c r="H35" s="717"/>
    </row>
    <row r="36" spans="2:8" ht="15.75">
      <c r="B36"/>
      <c r="C36"/>
      <c r="D36"/>
      <c r="E36" s="717" t="s">
        <v>138</v>
      </c>
      <c r="F36" s="717"/>
      <c r="G36" s="717"/>
      <c r="H36" s="717"/>
    </row>
    <row r="37" spans="2:8" ht="15.75">
      <c r="B37"/>
      <c r="C37"/>
      <c r="D37"/>
      <c r="E37" s="717" t="s">
        <v>142</v>
      </c>
      <c r="F37" s="717"/>
      <c r="G37" s="717"/>
      <c r="H37" s="717"/>
    </row>
    <row r="38" spans="2:8" ht="15.75">
      <c r="B38" s="8"/>
      <c r="C38"/>
      <c r="D38"/>
      <c r="E38" s="717"/>
      <c r="F38" s="717"/>
      <c r="G38" s="717"/>
      <c r="H38" s="717"/>
    </row>
    <row r="39" spans="2:8" ht="15.75">
      <c r="B39"/>
      <c r="C39"/>
      <c r="D39"/>
      <c r="E39" s="717" t="s">
        <v>138</v>
      </c>
      <c r="F39" s="717"/>
      <c r="G39" s="717"/>
      <c r="H39" s="717"/>
    </row>
    <row r="40" spans="2:8" ht="15.75">
      <c r="B40"/>
      <c r="C40"/>
      <c r="D40"/>
      <c r="E40" s="717" t="s">
        <v>143</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G52" sqref="G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132881</v>
      </c>
      <c r="E19" s="35">
        <v>6162</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6162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132881</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0.132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0.132</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5954</v>
      </c>
    </row>
    <row r="45" spans="1:5" ht="15.75">
      <c r="A45" s="49" t="str">
        <f>CONCATENATE("Assessed Valuation (",D6-2," budget column)")</f>
        <v>Assessed Valuation (2011 budget column)</v>
      </c>
      <c r="B45" s="27"/>
      <c r="C45" s="18"/>
      <c r="D45" s="18"/>
      <c r="E45" s="51">
        <v>44990191</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Q28">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40">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6">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3" t="s">
        <v>567</v>
      </c>
      <c r="C6" s="741"/>
      <c r="D6" s="741"/>
      <c r="E6" s="741"/>
      <c r="F6" s="741"/>
      <c r="G6" s="741"/>
      <c r="H6" s="741"/>
      <c r="I6" s="741"/>
      <c r="J6" s="741"/>
      <c r="K6" s="741"/>
      <c r="L6" s="397"/>
    </row>
    <row r="7" spans="1:12" ht="40.5" customHeight="1">
      <c r="A7" s="394"/>
      <c r="B7" s="753" t="s">
        <v>568</v>
      </c>
      <c r="C7" s="754"/>
      <c r="D7" s="754"/>
      <c r="E7" s="754"/>
      <c r="F7" s="754"/>
      <c r="G7" s="754"/>
      <c r="H7" s="754"/>
      <c r="I7" s="754"/>
      <c r="J7" s="754"/>
      <c r="K7" s="754"/>
      <c r="L7" s="394"/>
    </row>
    <row r="8" spans="1:12" ht="14.25">
      <c r="A8" s="394"/>
      <c r="B8" s="750" t="s">
        <v>569</v>
      </c>
      <c r="C8" s="750"/>
      <c r="D8" s="750"/>
      <c r="E8" s="750"/>
      <c r="F8" s="750"/>
      <c r="G8" s="750"/>
      <c r="H8" s="750"/>
      <c r="I8" s="750"/>
      <c r="J8" s="750"/>
      <c r="K8" s="750"/>
      <c r="L8" s="394"/>
    </row>
    <row r="9" spans="1:12" ht="14.25">
      <c r="A9" s="394"/>
      <c r="L9" s="394"/>
    </row>
    <row r="10" spans="1:12" ht="14.25">
      <c r="A10" s="394"/>
      <c r="B10" s="750" t="s">
        <v>570</v>
      </c>
      <c r="C10" s="750"/>
      <c r="D10" s="750"/>
      <c r="E10" s="750"/>
      <c r="F10" s="750"/>
      <c r="G10" s="750"/>
      <c r="H10" s="750"/>
      <c r="I10" s="750"/>
      <c r="J10" s="750"/>
      <c r="K10" s="750"/>
      <c r="L10" s="394"/>
    </row>
    <row r="11" spans="1:12" ht="14.25">
      <c r="A11" s="394"/>
      <c r="B11" s="533"/>
      <c r="C11" s="533"/>
      <c r="D11" s="533"/>
      <c r="E11" s="533"/>
      <c r="F11" s="533"/>
      <c r="G11" s="533"/>
      <c r="H11" s="533"/>
      <c r="I11" s="533"/>
      <c r="J11" s="533"/>
      <c r="K11" s="533"/>
      <c r="L11" s="394"/>
    </row>
    <row r="12" spans="1:12" ht="32.25" customHeight="1">
      <c r="A12" s="394"/>
      <c r="B12" s="734" t="s">
        <v>571</v>
      </c>
      <c r="C12" s="734"/>
      <c r="D12" s="734"/>
      <c r="E12" s="734"/>
      <c r="F12" s="734"/>
      <c r="G12" s="734"/>
      <c r="H12" s="734"/>
      <c r="I12" s="734"/>
      <c r="J12" s="734"/>
      <c r="K12" s="734"/>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6">
        <v>312000000</v>
      </c>
      <c r="G23" s="736"/>
      <c r="L23" s="394"/>
    </row>
    <row r="24" spans="1:12" ht="14.25">
      <c r="A24" s="394"/>
      <c r="L24" s="394"/>
    </row>
    <row r="25" spans="1:12" ht="14.25">
      <c r="A25" s="394"/>
      <c r="C25" s="751">
        <f>F23</f>
        <v>312000000</v>
      </c>
      <c r="D25" s="751"/>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568</v>
      </c>
      <c r="C30" s="738"/>
      <c r="D30" s="738"/>
      <c r="E30" s="738"/>
      <c r="F30" s="738"/>
      <c r="G30" s="738"/>
      <c r="H30" s="738"/>
      <c r="I30" s="738"/>
      <c r="J30" s="738"/>
      <c r="K30" s="738"/>
      <c r="L30" s="394"/>
    </row>
    <row r="31" spans="1:12" ht="14.25">
      <c r="A31" s="394"/>
      <c r="B31" s="750" t="s">
        <v>580</v>
      </c>
      <c r="C31" s="750"/>
      <c r="D31" s="750"/>
      <c r="E31" s="750"/>
      <c r="F31" s="750"/>
      <c r="G31" s="750"/>
      <c r="H31" s="750"/>
      <c r="I31" s="750"/>
      <c r="J31" s="750"/>
      <c r="K31" s="750"/>
      <c r="L31" s="394"/>
    </row>
    <row r="32" spans="1:12" ht="14.25">
      <c r="A32" s="394"/>
      <c r="L32" s="394"/>
    </row>
    <row r="33" spans="1:12" ht="14.25">
      <c r="A33" s="394"/>
      <c r="B33" s="750" t="s">
        <v>581</v>
      </c>
      <c r="C33" s="750"/>
      <c r="D33" s="750"/>
      <c r="E33" s="750"/>
      <c r="F33" s="750"/>
      <c r="G33" s="750"/>
      <c r="H33" s="750"/>
      <c r="I33" s="750"/>
      <c r="J33" s="750"/>
      <c r="K33" s="750"/>
      <c r="L33" s="394"/>
    </row>
    <row r="34" spans="1:12" ht="14.25">
      <c r="A34" s="394"/>
      <c r="L34" s="394"/>
    </row>
    <row r="35" spans="1:12" ht="89.25" customHeight="1">
      <c r="A35" s="394"/>
      <c r="B35" s="734" t="s">
        <v>582</v>
      </c>
      <c r="C35" s="744"/>
      <c r="D35" s="744"/>
      <c r="E35" s="744"/>
      <c r="F35" s="744"/>
      <c r="G35" s="744"/>
      <c r="H35" s="744"/>
      <c r="I35" s="744"/>
      <c r="J35" s="744"/>
      <c r="K35" s="744"/>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2">
        <v>312000000</v>
      </c>
      <c r="D41" s="752"/>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5">
        <v>312000000</v>
      </c>
      <c r="C48" s="736"/>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6" t="s">
        <v>590</v>
      </c>
      <c r="H50" s="747"/>
      <c r="I50" s="529" t="s">
        <v>576</v>
      </c>
      <c r="J50" s="414">
        <f>B50/F50</f>
        <v>0.16025641025641027</v>
      </c>
      <c r="K50" s="406"/>
      <c r="L50" s="394"/>
    </row>
    <row r="51" spans="1:15" ht="15" thickBot="1">
      <c r="A51" s="394"/>
      <c r="B51" s="407"/>
      <c r="C51" s="408"/>
      <c r="D51" s="408"/>
      <c r="E51" s="408"/>
      <c r="F51" s="408"/>
      <c r="G51" s="408"/>
      <c r="H51" s="408"/>
      <c r="I51" s="748" t="s">
        <v>591</v>
      </c>
      <c r="J51" s="748"/>
      <c r="K51" s="749"/>
      <c r="L51" s="394"/>
      <c r="O51" s="415"/>
    </row>
    <row r="52" spans="1:12" ht="40.5" customHeight="1">
      <c r="A52" s="394"/>
      <c r="B52" s="738" t="s">
        <v>568</v>
      </c>
      <c r="C52" s="738"/>
      <c r="D52" s="738"/>
      <c r="E52" s="738"/>
      <c r="F52" s="738"/>
      <c r="G52" s="738"/>
      <c r="H52" s="738"/>
      <c r="I52" s="738"/>
      <c r="J52" s="738"/>
      <c r="K52" s="738"/>
      <c r="L52" s="394"/>
    </row>
    <row r="53" spans="1:12" ht="14.25">
      <c r="A53" s="394"/>
      <c r="B53" s="750" t="s">
        <v>592</v>
      </c>
      <c r="C53" s="750"/>
      <c r="D53" s="750"/>
      <c r="E53" s="750"/>
      <c r="F53" s="750"/>
      <c r="G53" s="750"/>
      <c r="H53" s="750"/>
      <c r="I53" s="750"/>
      <c r="J53" s="750"/>
      <c r="K53" s="750"/>
      <c r="L53" s="394"/>
    </row>
    <row r="54" spans="1:12" ht="14.25">
      <c r="A54" s="394"/>
      <c r="B54" s="533"/>
      <c r="C54" s="533"/>
      <c r="D54" s="533"/>
      <c r="E54" s="533"/>
      <c r="F54" s="533"/>
      <c r="G54" s="533"/>
      <c r="H54" s="533"/>
      <c r="I54" s="533"/>
      <c r="J54" s="533"/>
      <c r="K54" s="533"/>
      <c r="L54" s="394"/>
    </row>
    <row r="55" spans="1:12" ht="14.25">
      <c r="A55" s="394"/>
      <c r="B55" s="733" t="s">
        <v>593</v>
      </c>
      <c r="C55" s="733"/>
      <c r="D55" s="733"/>
      <c r="E55" s="733"/>
      <c r="F55" s="733"/>
      <c r="G55" s="733"/>
      <c r="H55" s="733"/>
      <c r="I55" s="733"/>
      <c r="J55" s="733"/>
      <c r="K55" s="733"/>
      <c r="L55" s="394"/>
    </row>
    <row r="56" spans="1:12" ht="15" customHeight="1">
      <c r="A56" s="394"/>
      <c r="L56" s="394"/>
    </row>
    <row r="57" spans="1:24" ht="74.25" customHeight="1">
      <c r="A57" s="394"/>
      <c r="B57" s="734" t="s">
        <v>594</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4"/>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6">
        <v>312000000</v>
      </c>
      <c r="D74" s="736"/>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6">
        <v>50000</v>
      </c>
      <c r="D77" s="736"/>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6">
        <v>100000</v>
      </c>
      <c r="D80" s="736"/>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7">
        <f>H80</f>
        <v>11500</v>
      </c>
      <c r="D83" s="737"/>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568</v>
      </c>
      <c r="C85" s="738"/>
      <c r="D85" s="738"/>
      <c r="E85" s="738"/>
      <c r="F85" s="738"/>
      <c r="G85" s="738"/>
      <c r="H85" s="738"/>
      <c r="I85" s="738"/>
      <c r="J85" s="738"/>
      <c r="K85" s="738"/>
      <c r="L85" s="394"/>
    </row>
    <row r="86" spans="1:12" ht="14.25">
      <c r="A86" s="394"/>
      <c r="B86" s="733" t="s">
        <v>610</v>
      </c>
      <c r="C86" s="733"/>
      <c r="D86" s="733"/>
      <c r="E86" s="733"/>
      <c r="F86" s="733"/>
      <c r="G86" s="733"/>
      <c r="H86" s="733"/>
      <c r="I86" s="733"/>
      <c r="J86" s="733"/>
      <c r="K86" s="733"/>
      <c r="L86" s="394"/>
    </row>
    <row r="87" spans="1:12" ht="14.25">
      <c r="A87" s="394"/>
      <c r="B87" s="428"/>
      <c r="C87" s="428"/>
      <c r="D87" s="428"/>
      <c r="E87" s="428"/>
      <c r="F87" s="428"/>
      <c r="G87" s="428"/>
      <c r="H87" s="428"/>
      <c r="I87" s="428"/>
      <c r="J87" s="428"/>
      <c r="K87" s="428"/>
      <c r="L87" s="394"/>
    </row>
    <row r="88" spans="1:12" ht="14.25">
      <c r="A88" s="394"/>
      <c r="B88" s="733" t="s">
        <v>611</v>
      </c>
      <c r="C88" s="733"/>
      <c r="D88" s="733"/>
      <c r="E88" s="733"/>
      <c r="F88" s="733"/>
      <c r="G88" s="733"/>
      <c r="H88" s="733"/>
      <c r="I88" s="733"/>
      <c r="J88" s="733"/>
      <c r="K88" s="733"/>
      <c r="L88" s="394"/>
    </row>
    <row r="89" spans="1:12" ht="14.25">
      <c r="A89" s="394"/>
      <c r="B89" s="528"/>
      <c r="C89" s="528"/>
      <c r="D89" s="528"/>
      <c r="E89" s="528"/>
      <c r="F89" s="528"/>
      <c r="G89" s="528"/>
      <c r="H89" s="528"/>
      <c r="I89" s="528"/>
      <c r="J89" s="528"/>
      <c r="K89" s="528"/>
      <c r="L89" s="394"/>
    </row>
    <row r="90" spans="1:12" ht="45" customHeight="1">
      <c r="A90" s="394"/>
      <c r="B90" s="734" t="s">
        <v>612</v>
      </c>
      <c r="C90" s="734"/>
      <c r="D90" s="734"/>
      <c r="E90" s="734"/>
      <c r="F90" s="734"/>
      <c r="G90" s="734"/>
      <c r="H90" s="734"/>
      <c r="I90" s="734"/>
      <c r="J90" s="734"/>
      <c r="K90" s="734"/>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6">
        <v>312000000</v>
      </c>
      <c r="D94" s="736"/>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6">
        <v>50000</v>
      </c>
      <c r="D97" s="736"/>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6">
        <v>2500000</v>
      </c>
      <c r="D100" s="736"/>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7">
        <f>H100</f>
        <v>750000</v>
      </c>
      <c r="D103" s="737"/>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568</v>
      </c>
      <c r="C105" s="739"/>
      <c r="D105" s="739"/>
      <c r="E105" s="739"/>
      <c r="F105" s="739"/>
      <c r="G105" s="739"/>
      <c r="H105" s="739"/>
      <c r="I105" s="739"/>
      <c r="J105" s="739"/>
      <c r="K105" s="739"/>
      <c r="L105" s="394"/>
    </row>
    <row r="106" spans="1:12" ht="15" customHeight="1">
      <c r="A106" s="394"/>
      <c r="B106" s="740" t="s">
        <v>614</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6">
        <v>312000000</v>
      </c>
      <c r="D114" s="736"/>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6">
        <v>50000</v>
      </c>
      <c r="D117" s="736"/>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6">
        <v>2500000</v>
      </c>
      <c r="D120" s="736"/>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7">
        <f>H120</f>
        <v>625000</v>
      </c>
      <c r="D123" s="737"/>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568</v>
      </c>
      <c r="C125" s="738"/>
      <c r="D125" s="738"/>
      <c r="E125" s="738"/>
      <c r="F125" s="738"/>
      <c r="G125" s="738"/>
      <c r="H125" s="738"/>
      <c r="I125" s="738"/>
      <c r="J125" s="738"/>
      <c r="K125" s="738"/>
      <c r="L125" s="440"/>
    </row>
    <row r="126" spans="1:12" ht="14.25">
      <c r="A126" s="394"/>
      <c r="B126" s="733" t="s">
        <v>617</v>
      </c>
      <c r="C126" s="733"/>
      <c r="D126" s="733"/>
      <c r="E126" s="733"/>
      <c r="F126" s="733"/>
      <c r="G126" s="733"/>
      <c r="H126" s="733"/>
      <c r="I126" s="733"/>
      <c r="J126" s="733"/>
      <c r="K126" s="733"/>
      <c r="L126" s="440"/>
    </row>
    <row r="127" spans="1:12" ht="14.25">
      <c r="A127" s="394"/>
      <c r="B127" s="533"/>
      <c r="C127" s="533"/>
      <c r="D127" s="533"/>
      <c r="E127" s="533"/>
      <c r="F127" s="533"/>
      <c r="G127" s="533"/>
      <c r="H127" s="533"/>
      <c r="I127" s="533"/>
      <c r="J127" s="533"/>
      <c r="K127" s="533"/>
      <c r="L127" s="440"/>
    </row>
    <row r="128" spans="1:12" ht="14.25">
      <c r="A128" s="394"/>
      <c r="B128" s="733" t="s">
        <v>618</v>
      </c>
      <c r="C128" s="733"/>
      <c r="D128" s="733"/>
      <c r="E128" s="733"/>
      <c r="F128" s="733"/>
      <c r="G128" s="733"/>
      <c r="H128" s="733"/>
      <c r="I128" s="733"/>
      <c r="J128" s="733"/>
      <c r="K128" s="733"/>
      <c r="L128" s="440"/>
    </row>
    <row r="129" spans="1:12" ht="14.25">
      <c r="A129" s="394"/>
      <c r="B129" s="528"/>
      <c r="C129" s="528"/>
      <c r="D129" s="528"/>
      <c r="E129" s="528"/>
      <c r="F129" s="528"/>
      <c r="G129" s="528"/>
      <c r="H129" s="528"/>
      <c r="I129" s="528"/>
      <c r="J129" s="528"/>
      <c r="K129" s="528"/>
      <c r="L129" s="440"/>
    </row>
    <row r="130" spans="1:12" ht="74.25" customHeight="1">
      <c r="A130" s="394"/>
      <c r="B130" s="734" t="s">
        <v>619</v>
      </c>
      <c r="C130" s="734"/>
      <c r="D130" s="734"/>
      <c r="E130" s="734"/>
      <c r="F130" s="734"/>
      <c r="G130" s="734"/>
      <c r="H130" s="734"/>
      <c r="I130" s="734"/>
      <c r="J130" s="734"/>
      <c r="K130" s="734"/>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5" t="s">
        <v>620</v>
      </c>
      <c r="D133" s="735"/>
      <c r="E133" s="404"/>
      <c r="F133" s="529" t="s">
        <v>621</v>
      </c>
      <c r="G133" s="404"/>
      <c r="H133" s="735" t="s">
        <v>606</v>
      </c>
      <c r="I133" s="735"/>
      <c r="J133" s="404"/>
      <c r="K133" s="406"/>
      <c r="L133" s="394"/>
    </row>
    <row r="134" spans="1:12" ht="14.25">
      <c r="A134" s="394"/>
      <c r="B134" s="412" t="s">
        <v>599</v>
      </c>
      <c r="C134" s="736">
        <v>100000</v>
      </c>
      <c r="D134" s="736"/>
      <c r="E134" s="529" t="s">
        <v>28</v>
      </c>
      <c r="F134" s="529">
        <v>0.115</v>
      </c>
      <c r="G134" s="529" t="s">
        <v>576</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606</v>
      </c>
      <c r="D136" s="724"/>
      <c r="E136" s="422"/>
      <c r="F136" s="525" t="s">
        <v>622</v>
      </c>
      <c r="G136" s="525"/>
      <c r="H136" s="422"/>
      <c r="I136" s="422"/>
      <c r="J136" s="422" t="s">
        <v>623</v>
      </c>
      <c r="K136" s="423"/>
      <c r="L136" s="394"/>
    </row>
    <row r="137" spans="1:12" ht="14.25">
      <c r="A137" s="394"/>
      <c r="B137" s="412" t="s">
        <v>602</v>
      </c>
      <c r="C137" s="725">
        <f>H134</f>
        <v>11500</v>
      </c>
      <c r="D137" s="72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626</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5" t="s">
        <v>627</v>
      </c>
      <c r="D147" s="725"/>
      <c r="E147" s="529"/>
      <c r="F147" s="458" t="s">
        <v>628</v>
      </c>
      <c r="G147" s="529"/>
      <c r="H147" s="529"/>
      <c r="I147" s="529"/>
      <c r="J147" s="729" t="s">
        <v>629</v>
      </c>
      <c r="K147" s="730"/>
      <c r="L147" s="394"/>
    </row>
    <row r="148" spans="1:12" ht="14.25">
      <c r="A148" s="394"/>
      <c r="B148" s="412"/>
      <c r="C148" s="731">
        <v>52.869</v>
      </c>
      <c r="D148" s="731"/>
      <c r="E148" s="529" t="s">
        <v>28</v>
      </c>
      <c r="F148" s="530">
        <v>312000000</v>
      </c>
      <c r="G148" s="463" t="s">
        <v>577</v>
      </c>
      <c r="H148" s="529">
        <v>1000</v>
      </c>
      <c r="I148" s="529" t="s">
        <v>576</v>
      </c>
      <c r="J148" s="729">
        <f>C148*(F148/1000)</f>
        <v>16495128</v>
      </c>
      <c r="K148" s="732"/>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37">
      <selection activeCell="E25" sqref="E2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Maize Park Cemetery</v>
      </c>
      <c r="B1" s="60"/>
      <c r="C1" s="60"/>
      <c r="D1" s="60"/>
      <c r="E1" s="60">
        <f>inputPrYr!D6</f>
        <v>2013</v>
      </c>
    </row>
    <row r="2" spans="1:5" ht="15.75">
      <c r="A2" s="60" t="str">
        <f>inputPrYr!D4</f>
        <v>Sedgwick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45321568</v>
      </c>
    </row>
    <row r="8" spans="1:5" ht="15.75">
      <c r="A8" s="66" t="str">
        <f>CONCATENATE("New Improvements for ",inputPrYr!D6-1,"")</f>
        <v>New Improvements for 2012</v>
      </c>
      <c r="B8" s="67"/>
      <c r="C8" s="67"/>
      <c r="D8" s="67"/>
      <c r="E8" s="68">
        <v>1047147</v>
      </c>
    </row>
    <row r="9" spans="1:5" ht="15.75">
      <c r="A9" s="66" t="str">
        <f>CONCATENATE("Personal Property excluding oil, gas, and mobile homes- ",inputPrYr!D6-1,"")</f>
        <v>Personal Property excluding oil, gas, and mobile homes- 2012</v>
      </c>
      <c r="B9" s="67"/>
      <c r="C9" s="67"/>
      <c r="D9" s="67"/>
      <c r="E9" s="68">
        <v>1277471</v>
      </c>
    </row>
    <row r="10" spans="1:5" ht="15.75">
      <c r="A10" s="66" t="str">
        <f>CONCATENATE("Property that has changed in use for ",inputPrYr!D6-1,"")</f>
        <v>Property that has changed in use for 2012</v>
      </c>
      <c r="B10" s="67"/>
      <c r="C10" s="67"/>
      <c r="D10" s="67"/>
      <c r="E10" s="68">
        <v>666789</v>
      </c>
    </row>
    <row r="11" spans="1:5" ht="15.75">
      <c r="A11" s="65" t="str">
        <f>CONCATENATE("Personal Property excluding oil, gas, and mobile homes- ",inputPrYr!D6-2,"")</f>
        <v>Personal Property excluding oil, gas, and mobile homes- 2011</v>
      </c>
      <c r="B11" s="40"/>
      <c r="C11" s="40"/>
      <c r="D11" s="40"/>
      <c r="E11" s="68">
        <v>2203108</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0.136</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0.136</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45237763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705</v>
      </c>
    </row>
    <row r="28" spans="1:5" ht="15.75">
      <c r="A28" s="66" t="s">
        <v>15</v>
      </c>
      <c r="B28" s="67"/>
      <c r="C28" s="67"/>
      <c r="D28" s="84"/>
      <c r="E28" s="35">
        <v>7</v>
      </c>
    </row>
    <row r="29" spans="1:5" ht="15.75">
      <c r="A29" s="66" t="s">
        <v>171</v>
      </c>
      <c r="B29" s="67"/>
      <c r="C29" s="67"/>
      <c r="D29" s="84"/>
      <c r="E29" s="35">
        <v>6</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0.0421</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142296</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C3"/>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654" t="s">
        <v>794</v>
      </c>
      <c r="C3" s="643"/>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795</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27, 2012</v>
      </c>
      <c r="E8" s="340"/>
      <c r="F8" s="340"/>
      <c r="J8" s="540" t="s">
        <v>719</v>
      </c>
    </row>
    <row r="9" spans="1:10" ht="15.75">
      <c r="A9" s="342" t="s">
        <v>322</v>
      </c>
      <c r="B9" s="343" t="s">
        <v>796</v>
      </c>
      <c r="C9" s="347"/>
      <c r="D9" s="342"/>
      <c r="E9" s="340"/>
      <c r="F9" s="340"/>
      <c r="J9" s="540" t="s">
        <v>720</v>
      </c>
    </row>
    <row r="10" spans="1:10" ht="15.75">
      <c r="A10" s="342"/>
      <c r="B10" s="342"/>
      <c r="C10" s="342"/>
      <c r="D10" s="342"/>
      <c r="E10" s="340"/>
      <c r="F10" s="340"/>
      <c r="J10" s="540" t="s">
        <v>721</v>
      </c>
    </row>
    <row r="11" spans="1:10" ht="15.75">
      <c r="A11" s="342" t="s">
        <v>323</v>
      </c>
      <c r="B11" s="348" t="s">
        <v>797</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798</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41117</v>
      </c>
    </row>
    <row r="21" spans="1:7" ht="15.75">
      <c r="A21" s="342" t="s">
        <v>322</v>
      </c>
      <c r="B21" s="342" t="s">
        <v>327</v>
      </c>
      <c r="C21" s="342"/>
      <c r="D21" s="342"/>
      <c r="E21" s="342"/>
      <c r="G21" s="544">
        <f>IF(B7="","",MONTH(G20))</f>
        <v>7</v>
      </c>
    </row>
    <row r="22" spans="1:7" ht="15.75">
      <c r="A22" s="342"/>
      <c r="B22" s="342"/>
      <c r="C22" s="342"/>
      <c r="D22" s="342"/>
      <c r="E22" s="342"/>
      <c r="G22" s="545">
        <f>IF(B7="","",DAY(G20))</f>
        <v>27</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3">
    <mergeCell ref="A2:F2"/>
    <mergeCell ref="A17:B17"/>
    <mergeCell ref="B3:C3"/>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J30" sqref="J30"/>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8" t="s">
        <v>79</v>
      </c>
      <c r="B2" s="658"/>
      <c r="C2" s="658"/>
      <c r="D2" s="658"/>
      <c r="E2" s="658"/>
      <c r="F2" s="658"/>
      <c r="G2" s="658"/>
    </row>
    <row r="3" spans="1:7" ht="15.75">
      <c r="A3" s="18"/>
      <c r="B3" s="18"/>
      <c r="C3" s="18"/>
      <c r="D3" s="18"/>
      <c r="E3" s="18"/>
      <c r="F3" s="18"/>
      <c r="G3" s="60">
        <f>inputPrYr!D6</f>
        <v>2013</v>
      </c>
    </row>
    <row r="4" spans="1:7" ht="15.75">
      <c r="A4" s="659" t="str">
        <f>CONCATENATE("To the Clerk of ",inputPrYr!D4,", State of Kansas")</f>
        <v>To the Clerk of Sedgwick County, State of Kansas</v>
      </c>
      <c r="B4" s="659"/>
      <c r="C4" s="659"/>
      <c r="D4" s="659"/>
      <c r="E4" s="659"/>
      <c r="F4" s="659"/>
      <c r="G4" s="659"/>
    </row>
    <row r="5" spans="1:7" ht="15.75">
      <c r="A5" s="97" t="s">
        <v>156</v>
      </c>
      <c r="B5" s="24"/>
      <c r="C5" s="24"/>
      <c r="D5" s="24"/>
      <c r="E5" s="24"/>
      <c r="F5" s="24"/>
      <c r="G5" s="24"/>
    </row>
    <row r="6" spans="1:7" ht="15.75">
      <c r="A6" s="638" t="str">
        <f>inputPrYr!D3</f>
        <v>Maize Park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60" t="str">
        <f>CONCATENATE("",G3," Adopted Budget")</f>
        <v>2013 Adopted Budget</v>
      </c>
      <c r="F13" s="661"/>
      <c r="G13" s="662"/>
    </row>
    <row r="14" spans="1:8" ht="15.75">
      <c r="A14" s="17"/>
      <c r="B14" s="18"/>
      <c r="C14" s="18"/>
      <c r="D14" s="40"/>
      <c r="E14" s="101" t="s">
        <v>18</v>
      </c>
      <c r="F14" s="102"/>
      <c r="G14" s="103" t="s">
        <v>19</v>
      </c>
      <c r="H14" s="104"/>
    </row>
    <row r="15" spans="1:7" ht="15.75">
      <c r="A15" s="18"/>
      <c r="B15" s="18"/>
      <c r="C15" s="18"/>
      <c r="D15" s="102" t="s">
        <v>20</v>
      </c>
      <c r="E15" s="105" t="s">
        <v>213</v>
      </c>
      <c r="F15" s="663" t="str">
        <f>CONCATENATE("Amount of ",G3-1," Ad Valorem Tax")</f>
        <v>Amount of 2012 Ad Valorem Tax</v>
      </c>
      <c r="G15" s="103" t="s">
        <v>21</v>
      </c>
    </row>
    <row r="16" spans="1:7" ht="15.75">
      <c r="A16" s="17" t="s">
        <v>22</v>
      </c>
      <c r="B16" s="18"/>
      <c r="C16" s="18"/>
      <c r="D16" s="105" t="s">
        <v>23</v>
      </c>
      <c r="E16" s="105" t="s">
        <v>561</v>
      </c>
      <c r="F16" s="663"/>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139107</v>
      </c>
      <c r="F23" s="559">
        <f>IF(gen!$E$68&lt;&gt;0,gen!$E$68,"  ")</f>
        <v>6404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139107</v>
      </c>
      <c r="F30" s="566">
        <f>SUM(F23:F28)</f>
        <v>6404</v>
      </c>
      <c r="G30" s="567">
        <f>IF(SUM(G23:G28)=0,"",SUM(G23:G28))</f>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4" t="str">
        <f>CONCATENATE("Nov. 1, ",G3," Total Assessed Valuation")</f>
        <v>Nov. 1, 2013 Total Assessed Valuation</v>
      </c>
    </row>
    <row r="34" spans="1:7" ht="15.75">
      <c r="A34" s="20"/>
      <c r="B34" s="69"/>
      <c r="C34" s="18"/>
      <c r="D34" s="137"/>
      <c r="E34" s="60"/>
      <c r="F34" s="69"/>
      <c r="G34" s="665"/>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6"/>
      <c r="B49" s="667"/>
      <c r="C49" s="18"/>
      <c r="D49" s="69" t="s">
        <v>730</v>
      </c>
      <c r="E49" s="69"/>
      <c r="F49" s="69"/>
      <c r="G49" s="69"/>
    </row>
    <row r="50" spans="1:7" ht="15.75">
      <c r="A50" s="24" t="s">
        <v>30</v>
      </c>
      <c r="B50" s="24"/>
      <c r="C50" s="18"/>
      <c r="D50" s="668" t="s">
        <v>29</v>
      </c>
      <c r="E50" s="669"/>
      <c r="F50" s="669"/>
      <c r="G50" s="669"/>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57"/>
    </row>
    <row r="54" spans="1:7" ht="15.75">
      <c r="A54" s="16"/>
      <c r="B54" s="16"/>
      <c r="C54" s="16"/>
      <c r="D54" s="16"/>
      <c r="E54" s="16"/>
      <c r="F54" s="16"/>
      <c r="G54" s="657"/>
    </row>
    <row r="55" spans="1:7" ht="15.75">
      <c r="A55" s="16"/>
      <c r="B55" s="16"/>
      <c r="C55" s="16"/>
      <c r="D55" s="16"/>
      <c r="E55" s="16"/>
      <c r="F55" s="16"/>
      <c r="G55" s="657"/>
    </row>
    <row r="56" spans="1:7" ht="15.75">
      <c r="A56" s="16"/>
      <c r="B56" s="16"/>
      <c r="C56" s="16"/>
      <c r="D56" s="16"/>
      <c r="E56" s="16"/>
      <c r="F56" s="16"/>
      <c r="G56" s="657"/>
    </row>
    <row r="57" spans="1:7" ht="15.75">
      <c r="A57" s="16"/>
      <c r="B57" s="16"/>
      <c r="C57" s="16"/>
      <c r="D57" s="142"/>
      <c r="E57" s="16"/>
      <c r="F57" s="16"/>
      <c r="G57" s="657"/>
    </row>
    <row r="58" ht="15.75">
      <c r="G58" s="657"/>
    </row>
    <row r="59" ht="15.75">
      <c r="G59" s="657"/>
    </row>
    <row r="60" ht="15.75">
      <c r="G60" s="657"/>
    </row>
    <row r="61" ht="15.75">
      <c r="G61" s="657"/>
    </row>
    <row r="62" ht="15.75">
      <c r="G62" s="657"/>
    </row>
    <row r="63" ht="15.75">
      <c r="G63" s="657"/>
    </row>
    <row r="64" ht="15.75">
      <c r="G64" s="657"/>
    </row>
    <row r="65" ht="15.75">
      <c r="G65" s="657"/>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Maize Park Cemetery</v>
      </c>
      <c r="D1" s="18"/>
      <c r="E1" s="18"/>
      <c r="F1" s="18"/>
      <c r="G1" s="18"/>
      <c r="H1" s="18"/>
      <c r="I1" s="18"/>
      <c r="J1" s="18">
        <f>inputPrYr!D6</f>
        <v>2013</v>
      </c>
    </row>
    <row r="2" spans="1:10" ht="15.75" customHeight="1">
      <c r="A2" s="18"/>
      <c r="B2" s="18"/>
      <c r="C2" s="18" t="str">
        <f>inputPrYr!D4</f>
        <v>Sedgwick County</v>
      </c>
      <c r="D2" s="18"/>
      <c r="E2" s="18"/>
      <c r="F2" s="18"/>
      <c r="G2" s="18"/>
      <c r="H2" s="18"/>
      <c r="I2" s="18"/>
      <c r="J2" s="18"/>
    </row>
    <row r="3" spans="1:10" ht="15.75">
      <c r="A3" s="640" t="str">
        <f>CONCATENATE("Computation to Determine Limit for ",J1,"")</f>
        <v>Computation to Determine Limit for 2013</v>
      </c>
      <c r="B3" s="658"/>
      <c r="C3" s="658"/>
      <c r="D3" s="658"/>
      <c r="E3" s="658"/>
      <c r="F3" s="658"/>
      <c r="G3" s="658"/>
      <c r="H3" s="658"/>
      <c r="I3" s="658"/>
      <c r="J3" s="658"/>
    </row>
    <row r="4" spans="1:10" ht="15.75">
      <c r="A4" s="18"/>
      <c r="B4" s="18"/>
      <c r="C4" s="18"/>
      <c r="D4" s="18"/>
      <c r="E4" s="658"/>
      <c r="F4" s="658"/>
      <c r="G4" s="658"/>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6162</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6162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1047147</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1277471</v>
      </c>
      <c r="F14" s="146"/>
      <c r="G14" s="37"/>
      <c r="H14" s="37"/>
      <c r="I14" s="149"/>
      <c r="J14" s="37"/>
    </row>
    <row r="15" spans="1:10" ht="15.75">
      <c r="A15" s="145"/>
      <c r="B15" s="18" t="s">
        <v>99</v>
      </c>
      <c r="C15" s="18" t="str">
        <f>CONCATENATE("Personal Property ",J1-2,"")</f>
        <v>Personal Property 2011</v>
      </c>
      <c r="D15" s="145" t="s">
        <v>95</v>
      </c>
      <c r="E15" s="41">
        <f>inputOth!E11</f>
        <v>2203108</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666789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1713936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45321568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43607632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0.039303578786392256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242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6404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6404</v>
      </c>
    </row>
    <row r="35" spans="1:10" ht="16.5" thickTop="1">
      <c r="A35" s="18"/>
      <c r="B35" s="18"/>
      <c r="C35" s="18"/>
      <c r="D35" s="18"/>
      <c r="E35" s="18"/>
      <c r="F35" s="18"/>
      <c r="G35" s="18"/>
      <c r="H35" s="18"/>
      <c r="I35" s="18"/>
      <c r="J35" s="18"/>
    </row>
    <row r="36" spans="1:10" ht="15.7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75">
      <c r="A37" s="670" t="s">
        <v>120</v>
      </c>
      <c r="B37" s="670"/>
      <c r="C37" s="670"/>
      <c r="D37" s="670"/>
      <c r="E37" s="670"/>
      <c r="F37" s="670"/>
      <c r="G37" s="670"/>
      <c r="H37" s="670"/>
      <c r="I37" s="670"/>
      <c r="J37" s="67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3">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Maize Park Cemetery</v>
      </c>
      <c r="C1" s="18"/>
      <c r="D1" s="18"/>
      <c r="E1" s="18"/>
      <c r="F1" s="18"/>
      <c r="G1" s="18"/>
      <c r="H1" s="18"/>
      <c r="I1" s="155"/>
      <c r="J1" s="18"/>
    </row>
    <row r="2" spans="1:10" ht="15.75">
      <c r="A2" s="18"/>
      <c r="B2" s="18" t="str">
        <f>inputPrYr!D4</f>
        <v>Sedgwick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1" t="s">
        <v>724</v>
      </c>
      <c r="C6" s="671"/>
      <c r="D6" s="671"/>
      <c r="E6" s="671"/>
      <c r="F6" s="671"/>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60" t="str">
        <f>CONCATENATE("Allocation for Year ",G2,"")</f>
        <v>Allocation for Year 2013</v>
      </c>
      <c r="E9" s="675"/>
      <c r="F9" s="676"/>
      <c r="G9" s="18"/>
      <c r="H9" s="18"/>
      <c r="I9" s="18"/>
      <c r="J9" s="18"/>
    </row>
    <row r="10" spans="1:10" ht="15.75">
      <c r="A10" s="18"/>
      <c r="B10" s="673"/>
      <c r="C10" s="673"/>
      <c r="D10" s="114" t="s">
        <v>45</v>
      </c>
      <c r="E10" s="114" t="s">
        <v>46</v>
      </c>
      <c r="F10" s="111" t="s">
        <v>87</v>
      </c>
      <c r="G10" s="18"/>
      <c r="H10" s="18"/>
      <c r="I10" s="18"/>
      <c r="J10" s="18"/>
    </row>
    <row r="11" spans="1:10" ht="15.75">
      <c r="A11" s="18"/>
      <c r="B11" s="36" t="str">
        <f>inputPrYr!B19</f>
        <v>General</v>
      </c>
      <c r="C11" s="123">
        <f>inputPrYr!E19</f>
        <v>6162</v>
      </c>
      <c r="D11" s="123">
        <f>IF(E17=0,0,E17-D12-D13-D14)</f>
        <v>705</v>
      </c>
      <c r="E11" s="123">
        <f>IF(E19=0,0,E19-E12-E13-E14)</f>
        <v>7</v>
      </c>
      <c r="F11" s="123">
        <f>IF(E21=0,0,E21-F12-F13-F14)</f>
        <v>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6162</v>
      </c>
      <c r="D15" s="130">
        <f>SUM(D11:D14)</f>
        <v>705</v>
      </c>
      <c r="E15" s="130">
        <f>SUM(E11:E14)</f>
        <v>7</v>
      </c>
      <c r="F15" s="203">
        <f>SUM(F11:F14)</f>
        <v>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705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0.11441090555014606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0.0011359948068808828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0.0009737098344693282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Maize Park Cemetery</v>
      </c>
      <c r="B2" s="165"/>
      <c r="C2" s="18"/>
      <c r="D2" s="18"/>
      <c r="E2" s="155"/>
      <c r="F2" s="18"/>
    </row>
    <row r="3" spans="1:6" ht="15.75">
      <c r="A3" s="165" t="str">
        <f>inputPrYr!D4</f>
        <v>Sedgwick County</v>
      </c>
      <c r="B3" s="165"/>
      <c r="C3" s="18"/>
      <c r="D3" s="18"/>
      <c r="E3" s="155"/>
      <c r="F3" s="18"/>
    </row>
    <row r="4" spans="1:6" ht="15.75">
      <c r="A4" s="156"/>
      <c r="B4" s="18"/>
      <c r="C4" s="18"/>
      <c r="D4" s="18"/>
      <c r="E4" s="155"/>
      <c r="F4" s="18"/>
    </row>
    <row r="5" spans="1:6" ht="15" customHeight="1">
      <c r="A5" s="658" t="s">
        <v>145</v>
      </c>
      <c r="B5" s="658"/>
      <c r="C5" s="658"/>
      <c r="D5" s="658"/>
      <c r="E5" s="658"/>
      <c r="F5" s="658"/>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2012-07-12T15:52:04Z</cp:lastPrinted>
  <dcterms:created xsi:type="dcterms:W3CDTF">1999-08-06T13:59:57Z</dcterms:created>
  <dcterms:modified xsi:type="dcterms:W3CDTF">2012-08-24T17:06:19Z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