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gen" sheetId="10" r:id="rId10"/>
    <sheet name="debt" sheetId="11" r:id="rId11"/>
    <sheet name="Cap Improve" sheetId="12" r:id="rId12"/>
    <sheet name="summ" sheetId="13" r:id="rId13"/>
    <sheet name="DebtService" sheetId="14" r:id="rId14"/>
    <sheet name="levypage8"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3">'DebtService'!$B$1:$E$62</definedName>
    <definedName name="_xlnm.Print_Area" localSheetId="9">'gen'!$B$1:$F$74</definedName>
    <definedName name="_xlnm.Print_Area" localSheetId="1">'inputPrYr'!$A$1:$E$46</definedName>
    <definedName name="_xlnm.Print_Area" localSheetId="0">'instructions'!$A$1:$A$93</definedName>
    <definedName name="_xlnm.Print_Area" localSheetId="14">'levypage8'!$A$1:$E$91</definedName>
    <definedName name="_xlnm.Print_Area" localSheetId="12">'summ'!$A$1:$I$41</definedName>
  </definedNames>
  <calcPr fullCalcOnLoad="1"/>
</workbook>
</file>

<file path=xl/sharedStrings.xml><?xml version="1.0" encoding="utf-8"?>
<sst xmlns="http://schemas.openxmlformats.org/spreadsheetml/2006/main" count="1194" uniqueCount="818">
  <si>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</si>
  <si>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</si>
  <si>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</si>
  <si>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</si>
  <si>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</si>
  <si>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</si>
  <si>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</si>
  <si>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</si>
  <si>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</si>
  <si>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</si>
  <si>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</si>
  <si>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</si>
  <si>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</si>
  <si>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</si>
  <si>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</si>
  <si>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</si>
  <si>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</si>
  <si>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</si>
  <si>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</si>
  <si>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</si>
  <si>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</si>
  <si>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</si>
  <si>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</si>
  <si>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</si>
  <si>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</si>
  <si>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</si>
  <si>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</si>
  <si>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</si>
  <si>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</si>
  <si>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</si>
  <si>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</si>
  <si>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</si>
  <si>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</si>
  <si>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</si>
  <si>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</si>
  <si>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</si>
  <si>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</si>
  <si>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</si>
  <si>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</si>
  <si>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</si>
  <si>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</si>
  <si>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</si>
  <si>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</si>
  <si>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</si>
  <si>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</si>
  <si>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</si>
  <si>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</si>
  <si>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</si>
  <si>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</si>
  <si>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</si>
  <si>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</si>
  <si>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</si>
  <si>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</si>
  <si>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</si>
  <si>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</si>
  <si>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</si>
  <si>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</si>
  <si>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</si>
  <si>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</si>
  <si>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</si>
  <si>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</si>
  <si>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</si>
  <si>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</si>
  <si>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</si>
  <si>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</si>
  <si>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</si>
  <si>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</si>
  <si>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</si>
  <si>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</si>
  <si>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</si>
  <si>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</si>
  <si>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</si>
  <si>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</si>
  <si>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</si>
  <si>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</si>
  <si>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</si>
  <si>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</si>
  <si>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</si>
  <si>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</si>
  <si>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</si>
  <si>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</si>
  <si>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</si>
  <si>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</si>
  <si>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</si>
  <si>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</si>
  <si>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</si>
  <si>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</si>
  <si>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</si>
  <si>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</si>
  <si>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</si>
  <si>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</si>
  <si>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</si>
  <si>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</si>
  <si>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</si>
  <si>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</si>
  <si>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</si>
  <si>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</si>
  <si>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</si>
  <si>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</si>
  <si>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</si>
  <si>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</si>
  <si>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</si>
  <si>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</si>
  <si>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</si>
  <si>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</si>
  <si>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</si>
  <si>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</si>
  <si>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</si>
  <si>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</si>
  <si>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</si>
  <si>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</si>
  <si>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</si>
  <si>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</si>
  <si>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</si>
  <si>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</si>
  <si>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</si>
  <si>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</si>
  <si>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</si>
  <si>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</si>
  <si>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</si>
  <si>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</si>
  <si>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</si>
  <si>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</si>
  <si>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</si>
  <si>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</si>
  <si>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</si>
  <si>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</si>
  <si>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</si>
  <si>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</si>
  <si>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</si>
  <si>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</si>
  <si>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</si>
  <si>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</si>
  <si>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</si>
  <si>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</si>
  <si>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</si>
  <si>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</si>
  <si>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</si>
  <si>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</si>
  <si>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</si>
  <si>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</si>
  <si>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</si>
  <si>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</si>
  <si>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</si>
  <si>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</si>
  <si>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</si>
  <si>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</si>
  <si>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</si>
  <si>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</si>
  <si>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</si>
  <si>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</si>
  <si>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</si>
  <si>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</si>
  <si>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</si>
  <si>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</si>
  <si>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</si>
  <si>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</si>
  <si>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</si>
  <si>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</si>
  <si>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</si>
  <si>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</si>
  <si>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</si>
  <si>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</si>
  <si>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</si>
  <si>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</si>
  <si>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</si>
  <si>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</si>
  <si>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</si>
  <si>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</si>
  <si>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</si>
  <si>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</si>
  <si>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</si>
  <si>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</si>
  <si>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</si>
  <si>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</si>
  <si>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</si>
  <si>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</si>
  <si>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</si>
  <si>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</si>
  <si>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</si>
  <si>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</si>
  <si>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</si>
  <si>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</si>
  <si>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</si>
  <si>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</si>
  <si>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</si>
  <si>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</si>
  <si>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</si>
  <si>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</si>
  <si>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</si>
  <si>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</si>
  <si>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</si>
  <si>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</si>
  <si>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</si>
  <si>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</si>
  <si>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</si>
  <si>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</si>
  <si>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</si>
  <si>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</si>
  <si>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</si>
  <si>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</si>
  <si>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</si>
  <si>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</si>
  <si>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</si>
  <si>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</si>
  <si>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</si>
  <si>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</si>
  <si>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</si>
  <si>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</si>
  <si>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</si>
  <si>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</si>
  <si>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</si>
  <si>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</si>
  <si>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</si>
  <si>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</si>
  <si>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</si>
  <si>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</si>
  <si>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</si>
  <si>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</si>
  <si>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</si>
  <si>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</si>
  <si>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</si>
  <si>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</si>
  <si>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</si>
  <si>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</si>
  <si>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</si>
  <si>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</si>
  <si>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</si>
  <si>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</si>
  <si>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</si>
  <si>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</si>
  <si>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</si>
  <si>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</si>
  <si>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</si>
  <si>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</si>
  <si>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</si>
  <si>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</si>
  <si>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</si>
  <si>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</si>
  <si>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</si>
  <si>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</si>
  <si>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</si>
  <si>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</si>
  <si>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</si>
  <si>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</si>
  <si>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</si>
  <si>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</si>
  <si>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</si>
  <si>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</si>
  <si>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</si>
  <si>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</si>
  <si>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</si>
  <si>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</si>
  <si>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</si>
  <si>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</si>
  <si>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</si>
  <si>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</si>
  <si>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</si>
  <si>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</si>
  <si>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</si>
  <si>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</si>
  <si>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</si>
  <si>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</si>
  <si>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</si>
  <si>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</si>
  <si>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</si>
  <si>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</si>
  <si>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</si>
  <si>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</si>
  <si>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</si>
  <si>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</si>
  <si>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</si>
  <si>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</si>
  <si>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</si>
  <si>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</si>
  <si>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</si>
  <si>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</si>
  <si>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</si>
  <si>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</si>
  <si>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</si>
  <si>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</si>
  <si>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</si>
  <si>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</si>
  <si>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</si>
  <si>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</si>
  <si>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</si>
  <si>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</si>
  <si>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</si>
  <si>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</si>
  <si>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</si>
  <si>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</si>
  <si>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</si>
  <si>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</si>
  <si>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</si>
  <si>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</si>
  <si>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</si>
  <si>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</si>
  <si>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</si>
  <si>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</si>
  <si>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</si>
  <si>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</si>
  <si>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</si>
  <si>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</si>
  <si>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</si>
  <si>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</si>
  <si>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</si>
  <si>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</si>
  <si>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</si>
  <si>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</si>
  <si>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</si>
  <si>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</si>
  <si>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</si>
  <si>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</si>
  <si>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</si>
  <si>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</si>
  <si>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</si>
  <si>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</si>
  <si>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</si>
  <si>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</si>
  <si>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</si>
  <si>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</si>
  <si>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</si>
  <si>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</si>
  <si>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</si>
  <si>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</si>
  <si>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</si>
  <si>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</si>
  <si>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</si>
  <si>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</si>
  <si>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</si>
  <si>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</si>
  <si>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</si>
  <si>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</si>
  <si>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</si>
  <si>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</si>
  <si>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</si>
  <si>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</si>
  <si>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</si>
  <si>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</si>
  <si>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</si>
  <si>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</si>
  <si>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</si>
  <si>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</si>
  <si>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</si>
  <si>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</si>
  <si>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</si>
  <si>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</si>
  <si>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</si>
  <si>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</si>
  <si>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</si>
  <si>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</si>
  <si>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</si>
  <si>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</si>
  <si>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</si>
  <si>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</si>
  <si>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</si>
  <si>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</si>
  <si>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</si>
  <si>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</si>
  <si>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</si>
  <si>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</si>
  <si>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</si>
  <si>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</si>
  <si>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</si>
  <si>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</si>
  <si>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</si>
  <si>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</si>
  <si>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</si>
  <si>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</si>
  <si>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</si>
  <si>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</si>
  <si>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</si>
  <si>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</si>
  <si>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</si>
  <si>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</si>
  <si>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</si>
  <si>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</si>
  <si>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</si>
  <si>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</si>
  <si>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</si>
  <si>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</si>
  <si>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</si>
  <si>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</si>
  <si>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</si>
  <si>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</si>
  <si>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</si>
  <si>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</si>
  <si>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</si>
  <si>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</si>
  <si>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</si>
  <si>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</si>
  <si>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</si>
  <si>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</si>
  <si>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</si>
  <si>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</si>
  <si>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</si>
  <si>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</si>
  <si>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</si>
  <si>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</si>
  <si>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</si>
  <si>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</si>
  <si>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</si>
  <si>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</si>
  <si>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</si>
  <si>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</si>
  <si>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</si>
  <si>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</si>
  <si>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</si>
  <si>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</si>
  <si>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</si>
  <si>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</si>
  <si>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</si>
  <si>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</si>
  <si>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</si>
  <si>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</si>
  <si>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</si>
  <si>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</si>
  <si>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</si>
  <si>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</si>
  <si>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</si>
  <si>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</si>
  <si>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</si>
  <si>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</si>
  <si>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</si>
  <si>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</si>
  <si>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</si>
  <si>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</si>
  <si>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</si>
  <si>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</si>
  <si>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</si>
  <si>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</si>
  <si>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</si>
  <si>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</si>
  <si>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</si>
  <si>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</si>
  <si>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</si>
  <si>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</si>
  <si>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</si>
  <si>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</si>
  <si>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</si>
  <si>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</si>
  <si>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</si>
  <si>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</si>
  <si>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</si>
  <si>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</si>
  <si>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</si>
  <si>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</si>
  <si>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</si>
  <si>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</si>
  <si>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</si>
  <si>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</si>
  <si>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</si>
  <si>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</si>
  <si>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</si>
  <si>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</si>
  <si>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</si>
  <si>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</si>
  <si>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</si>
  <si>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</si>
  <si>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</si>
  <si>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</si>
  <si>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</si>
  <si>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</si>
  <si>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</si>
  <si>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</si>
  <si>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</si>
  <si>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</si>
  <si>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</si>
  <si>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</si>
  <si>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</si>
  <si>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</si>
  <si>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</si>
  <si>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</si>
  <si>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</si>
  <si>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</si>
  <si>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</si>
  <si>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</si>
  <si>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</si>
  <si>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</si>
  <si>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</si>
  <si>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</si>
  <si>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</si>
  <si>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</si>
  <si>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</si>
  <si>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</si>
  <si>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</si>
  <si>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</si>
  <si>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</si>
  <si>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</si>
  <si>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</si>
  <si>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</si>
  <si>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</si>
  <si>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</si>
  <si>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</si>
  <si>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</si>
  <si>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</si>
  <si>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</si>
  <si>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</si>
  <si>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</si>
  <si>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</si>
  <si>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</si>
  <si>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</si>
  <si>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</si>
  <si>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</si>
  <si>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</si>
  <si>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</si>
  <si>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</si>
  <si>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</si>
  <si>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</si>
  <si>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</si>
  <si>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</si>
  <si>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</si>
  <si>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</si>
  <si>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</si>
  <si>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</si>
  <si>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</si>
  <si>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</si>
  <si>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</si>
  <si>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</si>
  <si>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</si>
  <si>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</si>
  <si>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</si>
  <si>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</si>
  <si>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</si>
  <si>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</si>
  <si>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</si>
  <si>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</si>
  <si>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</si>
  <si>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</si>
  <si>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</si>
  <si>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</si>
  <si>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</si>
  <si>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</si>
  <si>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</si>
  <si>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</si>
  <si>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</si>
  <si>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</si>
  <si>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</si>
  <si>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</si>
  <si>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</si>
  <si>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</si>
  <si>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</si>
  <si>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</si>
  <si>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</si>
  <si>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</si>
  <si>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</si>
  <si>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</si>
  <si>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</si>
  <si>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</si>
  <si>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</si>
  <si>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</si>
  <si>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</si>
  <si>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</si>
  <si>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</si>
  <si>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</si>
  <si>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</si>
  <si>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</si>
  <si>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</si>
  <si>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</si>
  <si>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</si>
  <si>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</si>
  <si>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</si>
  <si>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</si>
  <si>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</si>
  <si>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</si>
  <si>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</si>
  <si>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</si>
  <si>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</si>
  <si>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</si>
  <si>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</si>
  <si>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</si>
  <si>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</si>
  <si>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</si>
  <si>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</si>
  <si>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</si>
  <si>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</si>
  <si>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</si>
  <si>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</si>
  <si>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</si>
  <si>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</si>
  <si>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</si>
  <si>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</si>
  <si>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</si>
  <si>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</si>
  <si>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</si>
  <si>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</si>
  <si>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</si>
  <si>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</si>
  <si>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</si>
  <si>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</si>
  <si>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</si>
  <si>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</si>
  <si>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</si>
  <si>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</si>
  <si>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</si>
  <si>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</si>
  <si>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</si>
  <si>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</si>
  <si>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</si>
  <si>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</si>
  <si>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</si>
  <si>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</si>
  <si>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</si>
  <si>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</si>
  <si>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</si>
  <si>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</si>
  <si>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</si>
  <si>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</si>
  <si>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</si>
  <si>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</si>
  <si>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</si>
  <si>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</si>
  <si>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</si>
  <si>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</si>
  <si>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</si>
  <si>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</si>
  <si>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</si>
  <si>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</si>
  <si>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</si>
  <si>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</si>
  <si>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</si>
  <si>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</si>
  <si>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</si>
  <si>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</si>
  <si>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</si>
  <si>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</si>
  <si>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</si>
  <si>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</si>
  <si>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</si>
  <si>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</si>
  <si>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</si>
  <si>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</si>
  <si>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</si>
  <si>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</si>
  <si>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</si>
  <si>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</si>
  <si>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</si>
  <si>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</si>
  <si>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</si>
  <si>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</si>
  <si>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</si>
  <si>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</si>
  <si>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</si>
  <si>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</si>
  <si>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</si>
  <si>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</si>
  <si>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</si>
  <si>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</si>
  <si>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</si>
  <si>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</si>
  <si>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</si>
  <si>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</si>
  <si>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</si>
  <si>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</si>
  <si>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</si>
  <si>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</si>
  <si>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</si>
  <si>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</si>
  <si>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</si>
  <si>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</si>
  <si>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</si>
  <si>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</si>
  <si>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</si>
  <si>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</si>
  <si>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</si>
  <si>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</si>
  <si>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</si>
  <si>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</si>
  <si>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</si>
  <si>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</si>
  <si>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</si>
  <si>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</si>
  <si>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</si>
  <si>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</si>
  <si>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</si>
  <si>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</si>
  <si>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</si>
  <si>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</si>
  <si>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</si>
  <si>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</si>
  <si>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</si>
  <si>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</si>
  <si>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</si>
  <si>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</si>
  <si>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</si>
  <si>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</si>
  <si>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</si>
  <si>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</si>
  <si>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</si>
  <si>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</si>
  <si>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</si>
  <si>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</si>
  <si>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</si>
  <si>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</si>
  <si>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</si>
  <si>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</si>
  <si>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</si>
  <si>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</si>
  <si>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</si>
  <si>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</si>
  <si>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</si>
  <si>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</si>
  <si>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</si>
  <si>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</si>
  <si>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</si>
  <si>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</si>
  <si>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</si>
  <si>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</si>
  <si>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</si>
  <si>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</si>
  <si>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</si>
  <si>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</si>
  <si>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</si>
  <si>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</si>
  <si>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</si>
  <si>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</si>
  <si>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</si>
  <si>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</si>
  <si>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</si>
  <si>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</si>
  <si>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</si>
  <si>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</si>
  <si>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</si>
  <si>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</si>
  <si>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</si>
  <si>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</si>
  <si>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</si>
  <si>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</si>
  <si>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</si>
  <si>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</si>
  <si>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</si>
  <si>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</si>
  <si>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</si>
  <si>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</si>
  <si>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</si>
  <si>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</si>
  <si>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</si>
  <si>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</si>
  <si>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</si>
  <si>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</si>
  <si>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</si>
  <si>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</si>
  <si>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</si>
  <si>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</si>
  <si>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</si>
  <si>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</si>
  <si>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</si>
  <si>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</si>
  <si>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</si>
  <si>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</si>
  <si>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</si>
  <si>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</si>
  <si>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</si>
  <si>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</si>
  <si>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</si>
  <si>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</si>
  <si>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</si>
  <si>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</si>
  <si>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</si>
  <si>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</si>
  <si>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</si>
  <si>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</si>
  <si>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</si>
  <si>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</si>
  <si>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</si>
  <si>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</si>
  <si>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</si>
  <si>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</si>
  <si>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</si>
  <si>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</si>
  <si>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</si>
  <si>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</si>
  <si>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</si>
  <si>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</si>
  <si>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</si>
  <si>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</si>
  <si>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</si>
  <si>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</si>
  <si>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</si>
  <si>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</si>
  <si>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</si>
  <si>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</si>
  <si>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</si>
  <si>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</si>
  <si>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</si>
  <si>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Andale Library</t>
  </si>
  <si>
    <t>Sedgwick County</t>
  </si>
  <si>
    <t xml:space="preserve">Books Sold </t>
  </si>
  <si>
    <t>Fines</t>
  </si>
  <si>
    <t>Garage Sale</t>
  </si>
  <si>
    <t>Grant in Aid</t>
  </si>
  <si>
    <t>Summer Programs</t>
  </si>
  <si>
    <t>Utilities</t>
  </si>
  <si>
    <t>Insurance</t>
  </si>
  <si>
    <t>Capital Outlay</t>
  </si>
  <si>
    <t>Administrative Expense</t>
  </si>
  <si>
    <t>Salaries</t>
  </si>
  <si>
    <t>Supplies &amp; Education</t>
  </si>
  <si>
    <t>Report/Maintenance</t>
  </si>
  <si>
    <t>Technology</t>
  </si>
  <si>
    <t>Patron Programs</t>
  </si>
  <si>
    <t>Levand Grant</t>
  </si>
  <si>
    <t>Copy Machine</t>
  </si>
  <si>
    <t>Summer Festival</t>
  </si>
  <si>
    <t>Books/Magazines/DVD</t>
  </si>
  <si>
    <t>Operating Expenses</t>
  </si>
  <si>
    <t>Employee Benefits</t>
  </si>
  <si>
    <t>Remodel</t>
  </si>
  <si>
    <t xml:space="preserve">Payroll </t>
  </si>
  <si>
    <t>Transfer from Capital Outlay</t>
  </si>
  <si>
    <t>Capital Improvement</t>
  </si>
  <si>
    <t>Transfer to GF</t>
  </si>
  <si>
    <t>James McFadden</t>
  </si>
  <si>
    <t>Chairman</t>
  </si>
  <si>
    <t>August 16th, 2012</t>
  </si>
  <si>
    <t>7:00 PM</t>
  </si>
  <si>
    <t>Andale District Library, 328 Main, Andale, KS</t>
  </si>
  <si>
    <t>Sedgwick 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</si>
</sst>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10" fontId="4" fillId="22" borderId="10" xfId="0" applyNumberFormat="1" applyFont="1" applyFill="1" applyBorder="1" applyAlignment="1" applyProtection="1">
      <alignmen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6" t="s">
        <v>745</v>
      </c>
    </row>
    <row r="39" ht="65.25" customHeight="1">
      <c r="A39" s="617" t="s">
        <v>741</v>
      </c>
    </row>
    <row r="40" ht="64.5" customHeight="1">
      <c r="A40" s="617"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7"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19"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4">
      <selection activeCell="E43" sqref="E43"/>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Andale Library</v>
      </c>
      <c r="C1" s="222"/>
      <c r="D1" s="18"/>
      <c r="E1" s="182"/>
    </row>
    <row r="2" spans="2:5" ht="15.75">
      <c r="B2" s="18" t="str">
        <f>inputPrYr!D4</f>
        <v>Sedgwick County</v>
      </c>
      <c r="C2" s="222"/>
      <c r="D2" s="18"/>
      <c r="E2" s="138"/>
    </row>
    <row r="3" spans="2:6" ht="15.75">
      <c r="B3" s="491" t="s">
        <v>81</v>
      </c>
      <c r="C3" s="222"/>
      <c r="D3" s="18"/>
      <c r="E3" s="182">
        <f>inputPrYr!$D$6</f>
        <v>2013</v>
      </c>
      <c r="F3" s="567"/>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8788</v>
      </c>
      <c r="D7" s="374">
        <f>C62</f>
        <v>7378</v>
      </c>
      <c r="E7" s="45">
        <f>D62</f>
        <v>952</v>
      </c>
    </row>
    <row r="8" spans="2:5" ht="15.75">
      <c r="B8" s="226" t="s">
        <v>127</v>
      </c>
      <c r="C8" s="227"/>
      <c r="D8" s="227"/>
      <c r="E8" s="123"/>
    </row>
    <row r="9" spans="2:5" ht="15.75">
      <c r="B9" s="119" t="s">
        <v>33</v>
      </c>
      <c r="C9" s="367">
        <v>27142</v>
      </c>
      <c r="D9" s="374">
        <f>IF(inputPrYr!H18&gt;0,inputPrYr!G19,inputPrYr!E19)</f>
        <v>28163</v>
      </c>
      <c r="E9" s="128" t="s">
        <v>28</v>
      </c>
    </row>
    <row r="10" spans="2:5" ht="15.75">
      <c r="B10" s="119" t="s">
        <v>34</v>
      </c>
      <c r="C10" s="367">
        <v>74</v>
      </c>
      <c r="D10" s="367">
        <v>50</v>
      </c>
      <c r="E10" s="198"/>
    </row>
    <row r="11" spans="2:5" ht="15.75">
      <c r="B11" s="119" t="s">
        <v>35</v>
      </c>
      <c r="C11" s="367">
        <v>4055</v>
      </c>
      <c r="D11" s="367">
        <v>4065</v>
      </c>
      <c r="E11" s="45">
        <f>mvalloc!D11</f>
        <v>4261</v>
      </c>
    </row>
    <row r="12" spans="2:5" ht="15.75">
      <c r="B12" s="119" t="s">
        <v>36</v>
      </c>
      <c r="C12" s="367">
        <v>60</v>
      </c>
      <c r="D12" s="367">
        <v>67</v>
      </c>
      <c r="E12" s="45">
        <f>mvalloc!E11</f>
        <v>64</v>
      </c>
    </row>
    <row r="13" spans="2:5" ht="15.75">
      <c r="B13" s="227" t="s">
        <v>109</v>
      </c>
      <c r="C13" s="367">
        <v>98</v>
      </c>
      <c r="D13" s="367">
        <v>106</v>
      </c>
      <c r="E13" s="45">
        <f>mvalloc!F11</f>
        <v>117</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t="s">
        <v>787</v>
      </c>
      <c r="C17" s="367">
        <v>13</v>
      </c>
      <c r="D17" s="367">
        <v>100</v>
      </c>
      <c r="E17" s="198">
        <v>25</v>
      </c>
    </row>
    <row r="18" spans="2:5" ht="15.75">
      <c r="B18" s="228" t="s">
        <v>788</v>
      </c>
      <c r="C18" s="367">
        <v>63</v>
      </c>
      <c r="D18" s="367">
        <v>75</v>
      </c>
      <c r="E18" s="198">
        <v>50</v>
      </c>
    </row>
    <row r="19" spans="2:5" ht="15.75">
      <c r="B19" s="228" t="s">
        <v>789</v>
      </c>
      <c r="C19" s="367">
        <v>198</v>
      </c>
      <c r="D19" s="367"/>
      <c r="E19" s="198"/>
    </row>
    <row r="20" spans="2:5" ht="15.75">
      <c r="B20" s="228" t="s">
        <v>790</v>
      </c>
      <c r="C20" s="367">
        <v>6038</v>
      </c>
      <c r="D20" s="367">
        <v>5400</v>
      </c>
      <c r="E20" s="198">
        <v>3200</v>
      </c>
    </row>
    <row r="21" spans="2:5" ht="15.75">
      <c r="B21" s="228" t="s">
        <v>801</v>
      </c>
      <c r="C21" s="367"/>
      <c r="D21" s="367">
        <v>1300</v>
      </c>
      <c r="E21" s="198"/>
    </row>
    <row r="22" spans="2:5" ht="15.75">
      <c r="B22" s="228" t="s">
        <v>791</v>
      </c>
      <c r="C22" s="367">
        <v>100</v>
      </c>
      <c r="D22" s="367">
        <v>1300</v>
      </c>
      <c r="E22" s="198"/>
    </row>
    <row r="23" spans="2:5" ht="15.75">
      <c r="B23" s="228" t="s">
        <v>802</v>
      </c>
      <c r="C23" s="367">
        <v>136</v>
      </c>
      <c r="D23" s="367">
        <v>200</v>
      </c>
      <c r="E23" s="198">
        <v>125</v>
      </c>
    </row>
    <row r="24" spans="2:5" ht="15.75">
      <c r="B24" s="228" t="s">
        <v>803</v>
      </c>
      <c r="C24" s="367">
        <v>690</v>
      </c>
      <c r="D24" s="367"/>
      <c r="E24" s="198"/>
    </row>
    <row r="25" spans="2:5" ht="15.75">
      <c r="B25" s="228"/>
      <c r="C25" s="367"/>
      <c r="D25" s="367"/>
      <c r="E25" s="198"/>
    </row>
    <row r="26" spans="2:5" ht="15.75">
      <c r="B26" s="228" t="s">
        <v>809</v>
      </c>
      <c r="C26" s="367"/>
      <c r="D26" s="367"/>
      <c r="E26" s="198">
        <v>10000</v>
      </c>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v>12</v>
      </c>
      <c r="D30" s="367">
        <v>8</v>
      </c>
      <c r="E30" s="198">
        <v>6</v>
      </c>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38679</v>
      </c>
      <c r="D33" s="369">
        <f>SUM(D9:D31)</f>
        <v>40834</v>
      </c>
      <c r="E33" s="234">
        <f>SUM(E9:E31)</f>
        <v>17848</v>
      </c>
    </row>
    <row r="34" spans="2:5" ht="15.75">
      <c r="B34" s="233" t="s">
        <v>40</v>
      </c>
      <c r="C34" s="369">
        <f>C7+C33</f>
        <v>47467</v>
      </c>
      <c r="D34" s="369">
        <f>D7+D33</f>
        <v>48212</v>
      </c>
      <c r="E34" s="234">
        <f>E7+E33</f>
        <v>18800</v>
      </c>
    </row>
    <row r="35" spans="2:5" ht="15.75">
      <c r="B35" s="119" t="s">
        <v>41</v>
      </c>
      <c r="C35" s="121"/>
      <c r="D35" s="121"/>
      <c r="E35" s="36"/>
    </row>
    <row r="36" spans="2:5" ht="15.75">
      <c r="B36" s="228"/>
      <c r="C36" s="367"/>
      <c r="D36" s="367"/>
      <c r="E36" s="198"/>
    </row>
    <row r="37" spans="2:5" ht="15.75">
      <c r="B37" s="228" t="s">
        <v>792</v>
      </c>
      <c r="C37" s="367">
        <v>3475</v>
      </c>
      <c r="D37" s="367">
        <v>4100</v>
      </c>
      <c r="E37" s="198">
        <v>3700</v>
      </c>
    </row>
    <row r="38" spans="2:5" ht="15.75">
      <c r="B38" s="228" t="s">
        <v>793</v>
      </c>
      <c r="C38" s="367">
        <v>1622</v>
      </c>
      <c r="D38" s="367">
        <v>1600</v>
      </c>
      <c r="E38" s="198">
        <v>1800</v>
      </c>
    </row>
    <row r="39" spans="2:5" ht="15.75">
      <c r="B39" s="228" t="s">
        <v>794</v>
      </c>
      <c r="C39" s="367"/>
      <c r="D39" s="367">
        <v>5000</v>
      </c>
      <c r="E39" s="198"/>
    </row>
    <row r="40" spans="2:5" ht="15.75">
      <c r="B40" s="228" t="s">
        <v>795</v>
      </c>
      <c r="C40" s="367">
        <v>2067</v>
      </c>
      <c r="D40" s="367">
        <v>2500</v>
      </c>
      <c r="E40" s="198">
        <v>3500</v>
      </c>
    </row>
    <row r="41" spans="2:5" ht="15.75">
      <c r="B41" s="228" t="s">
        <v>796</v>
      </c>
      <c r="C41" s="367"/>
      <c r="D41" s="367">
        <v>8400</v>
      </c>
      <c r="E41" s="198"/>
    </row>
    <row r="42" spans="2:5" ht="15.75">
      <c r="B42" s="228" t="s">
        <v>808</v>
      </c>
      <c r="C42" s="367">
        <f>180+9097</f>
        <v>9277</v>
      </c>
      <c r="D42" s="367">
        <v>1850</v>
      </c>
      <c r="E42" s="198">
        <v>12850</v>
      </c>
    </row>
    <row r="43" spans="2:5" ht="15.75">
      <c r="B43" s="228" t="s">
        <v>797</v>
      </c>
      <c r="C43" s="367">
        <v>437</v>
      </c>
      <c r="D43" s="367">
        <v>950</v>
      </c>
      <c r="E43" s="198">
        <v>900</v>
      </c>
    </row>
    <row r="44" spans="2:5" ht="15.75">
      <c r="B44" s="228" t="s">
        <v>798</v>
      </c>
      <c r="C44" s="367"/>
      <c r="D44" s="367">
        <v>3500</v>
      </c>
      <c r="E44" s="198"/>
    </row>
    <row r="45" spans="2:5" ht="15.75">
      <c r="B45" s="228" t="s">
        <v>804</v>
      </c>
      <c r="C45" s="367">
        <f>3953+388</f>
        <v>4341</v>
      </c>
      <c r="D45" s="367">
        <v>8000</v>
      </c>
      <c r="E45" s="198">
        <f>5500+300</f>
        <v>5800</v>
      </c>
    </row>
    <row r="46" spans="2:5" ht="15.75">
      <c r="B46" s="228" t="s">
        <v>799</v>
      </c>
      <c r="C46" s="367"/>
      <c r="D46" s="367">
        <v>7160</v>
      </c>
      <c r="E46" s="198"/>
    </row>
    <row r="47" spans="2:5" ht="15.75">
      <c r="B47" s="228" t="s">
        <v>800</v>
      </c>
      <c r="C47" s="367"/>
      <c r="D47" s="367">
        <v>4000</v>
      </c>
      <c r="E47" s="198">
        <v>4000</v>
      </c>
    </row>
    <row r="48" spans="2:5" ht="15.75">
      <c r="B48" s="228" t="s">
        <v>805</v>
      </c>
      <c r="C48" s="367">
        <f>166+246+3086+3547+4</f>
        <v>7049</v>
      </c>
      <c r="D48" s="367"/>
      <c r="E48" s="198">
        <f>175+400+3000</f>
        <v>3575</v>
      </c>
    </row>
    <row r="49" spans="2:5" ht="15.75">
      <c r="B49" s="228" t="s">
        <v>806</v>
      </c>
      <c r="C49" s="367">
        <f>1366+19+18</f>
        <v>1403</v>
      </c>
      <c r="D49" s="367"/>
      <c r="E49" s="198">
        <f>1500+75+5200</f>
        <v>6775</v>
      </c>
    </row>
    <row r="50" spans="2:5" ht="15.75">
      <c r="B50" s="228" t="s">
        <v>807</v>
      </c>
      <c r="C50" s="367">
        <v>10292</v>
      </c>
      <c r="D50" s="367"/>
      <c r="E50" s="198">
        <v>4155</v>
      </c>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79">
        <f>IF(J54=0,"",ROUND((J54+E68-G67)/inputOth!E7*1000,3)-G72)</f>
      </c>
      <c r="K55" s="16"/>
    </row>
    <row r="56" spans="2:11" ht="15.75">
      <c r="B56" s="228"/>
      <c r="C56" s="367"/>
      <c r="D56" s="367"/>
      <c r="E56" s="198"/>
      <c r="F56" s="16"/>
      <c r="G56" s="580" t="str">
        <f>CONCATENATE("",E3," Tot Exp/Non-Appr Must Be:")</f>
        <v>2013 Tot Exp/Non-Appr Must Be:</v>
      </c>
      <c r="H56" s="569"/>
      <c r="I56" s="568"/>
      <c r="J56" s="581">
        <f>IF(J54&gt;0,IF(E65&lt;E34,IF(J54=G67,E65,((J54-G67)*(1-D67))+E34),E65+(J54-G67)),0)</f>
        <v>0</v>
      </c>
      <c r="K56" s="16"/>
    </row>
    <row r="57" spans="2:11" ht="15.75">
      <c r="B57" s="228"/>
      <c r="C57" s="367"/>
      <c r="D57" s="367"/>
      <c r="E57" s="198"/>
      <c r="F57" s="16"/>
      <c r="G57" s="582" t="s">
        <v>732</v>
      </c>
      <c r="H57" s="583"/>
      <c r="I57" s="583"/>
      <c r="J57" s="584">
        <f>IF(J54&gt;0,J56-E65,0)</f>
        <v>0</v>
      </c>
      <c r="K57" s="16"/>
    </row>
    <row r="58" spans="2:11" ht="15.75">
      <c r="B58" s="121" t="s">
        <v>220</v>
      </c>
      <c r="C58" s="367"/>
      <c r="D58" s="367"/>
      <c r="E58" s="203">
        <f>Nhood!E7</f>
      </c>
      <c r="F58" s="16"/>
      <c r="G58" s="16"/>
      <c r="H58" s="16"/>
      <c r="I58" s="16"/>
      <c r="J58" s="16"/>
      <c r="K58" s="16"/>
    </row>
    <row r="59" spans="2:11" ht="15.75">
      <c r="B59" s="121" t="s">
        <v>219</v>
      </c>
      <c r="C59" s="367">
        <v>126</v>
      </c>
      <c r="D59" s="367">
        <v>200</v>
      </c>
      <c r="E59" s="35">
        <v>500</v>
      </c>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40089</v>
      </c>
      <c r="D61" s="369">
        <f>SUM(D36:D59)</f>
        <v>47260</v>
      </c>
      <c r="E61" s="234">
        <f>SUM(E36:E59)</f>
        <v>47555</v>
      </c>
      <c r="F61" s="16"/>
      <c r="G61" s="490">
        <f>D62</f>
        <v>952</v>
      </c>
      <c r="H61" s="489" t="str">
        <f>CONCATENATE("",E3-1," Ending Cash Balance (est.)")</f>
        <v>2012 Ending Cash Balance (est.)</v>
      </c>
      <c r="I61" s="585"/>
      <c r="J61" s="484"/>
      <c r="K61" s="16"/>
    </row>
    <row r="62" spans="2:11" ht="15.75">
      <c r="B62" s="119" t="s">
        <v>126</v>
      </c>
      <c r="C62" s="370">
        <f>C34-C61</f>
        <v>7378</v>
      </c>
      <c r="D62" s="370">
        <f>D34-D61</f>
        <v>952</v>
      </c>
      <c r="E62" s="128" t="s">
        <v>28</v>
      </c>
      <c r="F62" s="16"/>
      <c r="G62" s="490">
        <f>E33</f>
        <v>17848</v>
      </c>
      <c r="H62" s="483" t="str">
        <f>CONCATENATE("",E3," Non-AV Receipts (est.)")</f>
        <v>2013 Non-AV Receipts (est.)</v>
      </c>
      <c r="I62" s="585"/>
      <c r="J62" s="484"/>
      <c r="K62" s="16"/>
    </row>
    <row r="63" spans="2:11" ht="15.75">
      <c r="B63" s="138" t="str">
        <f>CONCATENATE("",E3-2,"/",E3-1," Budget Authority Amount:")</f>
        <v>2011/2012 Budget Authority Amount:</v>
      </c>
      <c r="C63" s="120">
        <f>inputOth!B41</f>
        <v>44173</v>
      </c>
      <c r="D63" s="388">
        <f>inputPrYr!D19</f>
        <v>49260</v>
      </c>
      <c r="E63" s="128" t="s">
        <v>28</v>
      </c>
      <c r="F63" s="251"/>
      <c r="G63" s="482">
        <f>IF(E67&gt;0,E66,E68)</f>
        <v>28755</v>
      </c>
      <c r="H63" s="483" t="str">
        <f>CONCATENATE("",E3," Ad Valorem Tax (est.)")</f>
        <v>2013 Ad Valorem Tax (est.)</v>
      </c>
      <c r="I63" s="483"/>
      <c r="J63" s="484"/>
      <c r="K63" s="586">
        <f>IF(G63=E68,"","Note: Does not include Delinquent Taxes")</f>
      </c>
    </row>
    <row r="64" spans="2:11" ht="15.75">
      <c r="B64" s="138"/>
      <c r="C64" s="682" t="s">
        <v>659</v>
      </c>
      <c r="D64" s="683"/>
      <c r="E64" s="35"/>
      <c r="F64" s="587">
        <f>IF(E61/0.95-E61&lt;E64,"Exceeds 5%","")</f>
      </c>
      <c r="G64" s="490">
        <f>SUM(G61:G63)</f>
        <v>47555</v>
      </c>
      <c r="H64" s="483" t="str">
        <f>CONCATENATE("Total ",E3," Resources Available")</f>
        <v>Total 2013 Resources Available</v>
      </c>
      <c r="I64" s="585"/>
      <c r="J64" s="484"/>
      <c r="K64" s="16"/>
    </row>
    <row r="65" spans="2:11" ht="15.75">
      <c r="B65" s="386" t="str">
        <f>CONCATENATE(C81,"     ",D81)</f>
        <v>     </v>
      </c>
      <c r="C65" s="684" t="s">
        <v>660</v>
      </c>
      <c r="D65" s="685"/>
      <c r="E65" s="45">
        <f>E61+E64</f>
        <v>47555</v>
      </c>
      <c r="F65" s="16"/>
      <c r="G65" s="481"/>
      <c r="H65" s="483"/>
      <c r="I65" s="483"/>
      <c r="J65" s="484"/>
      <c r="K65" s="16"/>
    </row>
    <row r="66" spans="2:11" ht="15.75">
      <c r="B66" s="386" t="str">
        <f>CONCATENATE(C82,"     ",D82)</f>
        <v>     </v>
      </c>
      <c r="C66" s="494"/>
      <c r="D66" s="493" t="s">
        <v>661</v>
      </c>
      <c r="E66" s="42">
        <f>IF(E65-E34&gt;0,E65-E34,0)</f>
        <v>28755</v>
      </c>
      <c r="F66" s="16"/>
      <c r="G66" s="482">
        <f>ROUND(C61*0.05+C61,0)</f>
        <v>42093</v>
      </c>
      <c r="H66" s="483" t="str">
        <f>CONCATENATE("Less ",E3-2," Expenditures + 5%")</f>
        <v>Less 2011 Expenditures + 5%</v>
      </c>
      <c r="I66" s="585"/>
      <c r="J66" s="484"/>
      <c r="K66" s="16"/>
    </row>
    <row r="67" spans="2:11" ht="15.75">
      <c r="B67" s="155"/>
      <c r="C67" s="492" t="s">
        <v>662</v>
      </c>
      <c r="D67" s="597">
        <f>inputOth!$E$35</f>
        <v>0</v>
      </c>
      <c r="E67" s="45">
        <f>ROUND(IF(D67&gt;0,(E66*D67),0),0)</f>
        <v>0</v>
      </c>
      <c r="F67" s="16"/>
      <c r="G67" s="480">
        <f>G64-G66</f>
        <v>5462</v>
      </c>
      <c r="H67" s="479" t="str">
        <f>CONCATENATE("Projected ",E3+1," Carryover (est.)")</f>
        <v>Projected 2014 Carryover (est.)</v>
      </c>
      <c r="I67" s="588"/>
      <c r="J67" s="478"/>
      <c r="K67" s="16"/>
    </row>
    <row r="68" spans="2:11" ht="15.75">
      <c r="B68" s="18"/>
      <c r="C68" s="680" t="str">
        <f>CONCATENATE("Amount of  ",$E$3-1," Ad Valorem Tax")</f>
        <v>Amount of  2012 Ad Valorem Tax</v>
      </c>
      <c r="D68" s="681"/>
      <c r="E68" s="42">
        <f>E66+E67</f>
        <v>28755</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89"/>
      <c r="H70" s="489"/>
      <c r="I70" s="570"/>
      <c r="J70" s="590"/>
      <c r="K70" s="16"/>
    </row>
    <row r="71" spans="2:11" ht="15.75">
      <c r="B71" s="18"/>
      <c r="C71" s="18"/>
      <c r="D71" s="18"/>
      <c r="E71" s="18"/>
      <c r="F71" s="16"/>
      <c r="G71" s="591">
        <f>summ!H16</f>
        <v>1.976</v>
      </c>
      <c r="H71" s="489" t="str">
        <f>CONCATENATE("",E3," Fund Mill Rate")</f>
        <v>2013 Fund Mill Rate</v>
      </c>
      <c r="I71" s="570"/>
      <c r="J71" s="590"/>
      <c r="K71" s="16"/>
    </row>
    <row r="72" spans="2:11" ht="15.75">
      <c r="B72" s="18"/>
      <c r="C72" s="18"/>
      <c r="D72" s="18"/>
      <c r="E72" s="18"/>
      <c r="F72" s="592"/>
      <c r="G72" s="593">
        <f>summ!E16</f>
        <v>1.975</v>
      </c>
      <c r="H72" s="489" t="str">
        <f>CONCATENATE("",E3-1," Fund Mill Rate")</f>
        <v>2012 Fund Mill Rate</v>
      </c>
      <c r="I72" s="570"/>
      <c r="J72" s="590"/>
      <c r="K72" s="16"/>
    </row>
    <row r="73" spans="2:11" ht="15.75">
      <c r="B73" s="18"/>
      <c r="C73" s="222"/>
      <c r="D73" s="222"/>
      <c r="E73" s="222"/>
      <c r="F73" s="576"/>
      <c r="G73" s="594">
        <f>summ!H23</f>
        <v>1.976</v>
      </c>
      <c r="H73" s="489" t="str">
        <f>CONCATENATE("Total ",E3," Mill Rate")</f>
        <v>Total 2013 Mill Rate</v>
      </c>
      <c r="I73" s="570"/>
      <c r="J73" s="590"/>
      <c r="K73" s="16"/>
    </row>
    <row r="74" spans="2:11" ht="15.75">
      <c r="B74" s="138"/>
      <c r="C74" s="18" t="s">
        <v>228</v>
      </c>
      <c r="D74" s="18"/>
      <c r="E74" s="18"/>
      <c r="F74" s="576"/>
      <c r="G74" s="593">
        <f>summ!E23</f>
        <v>1.975</v>
      </c>
      <c r="H74" s="595" t="str">
        <f>CONCATENATE("Total ",E3-1," Mill Rate")</f>
        <v>Total 2012 Mill Rate</v>
      </c>
      <c r="I74" s="596"/>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Andale Library</v>
      </c>
      <c r="C1" s="18"/>
      <c r="D1" s="18"/>
      <c r="E1" s="18"/>
      <c r="F1" s="18"/>
      <c r="G1" s="18"/>
      <c r="H1" s="18"/>
      <c r="I1" s="18"/>
      <c r="J1" s="18"/>
      <c r="K1" s="18"/>
      <c r="L1" s="182">
        <f>inputPrYr!D6</f>
        <v>2013</v>
      </c>
    </row>
    <row r="2" spans="2:12" ht="15.75">
      <c r="B2" s="18" t="str">
        <f>inputPrYr!$D$4</f>
        <v>Sedgwick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E70"/>
  <sheetViews>
    <sheetView tabSelected="1" zoomScalePageLayoutView="0" workbookViewId="0" topLeftCell="A1">
      <selection activeCell="E11" sqref="E11"/>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Andale Library</v>
      </c>
      <c r="C1" s="222"/>
      <c r="D1" s="18"/>
      <c r="E1" s="182"/>
    </row>
    <row r="2" spans="2:5" ht="15.75">
      <c r="B2" s="18" t="str">
        <f>inputPrYr!D4</f>
        <v>Sedgwick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t="str">
        <f>inputPrYr!B26</f>
        <v>Capital Improvement</v>
      </c>
      <c r="C6" s="224" t="str">
        <f>CONCATENATE("Actual for ",E3-2,"")</f>
        <v>Actual for 2011</v>
      </c>
      <c r="D6" s="224" t="str">
        <f>CONCATENATE("Estimate for ",E3-1,"")</f>
        <v>Estimate for 2012</v>
      </c>
      <c r="E6" s="224" t="str">
        <f>CONCATENATE("Year for ",E3,"")</f>
        <v>Year for 2013</v>
      </c>
    </row>
    <row r="7" spans="2:5" ht="15.75">
      <c r="B7" s="119" t="s">
        <v>125</v>
      </c>
      <c r="C7" s="35">
        <v>22100</v>
      </c>
      <c r="D7" s="45">
        <f>C32</f>
        <v>22100</v>
      </c>
      <c r="E7" s="45">
        <f>D32</f>
        <v>22100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22100</v>
      </c>
      <c r="D20" s="234">
        <f>D19+D7</f>
        <v>22100</v>
      </c>
      <c r="E20" s="234">
        <f>E19+E7</f>
        <v>22100</v>
      </c>
    </row>
    <row r="21" spans="2:5" ht="15.75">
      <c r="B21" s="119" t="s">
        <v>41</v>
      </c>
      <c r="C21" s="36"/>
      <c r="D21" s="36"/>
      <c r="E21" s="36"/>
    </row>
    <row r="22" spans="2:5" ht="15.75">
      <c r="B22" s="228"/>
      <c r="C22" s="198"/>
      <c r="D22" s="198"/>
      <c r="E22" s="198"/>
    </row>
    <row r="23" spans="2:5" ht="15.75">
      <c r="B23" s="228" t="s">
        <v>811</v>
      </c>
      <c r="C23" s="198"/>
      <c r="D23" s="198"/>
      <c r="E23" s="198">
        <v>10000</v>
      </c>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10000</v>
      </c>
    </row>
    <row r="32" spans="2:5" ht="15.75">
      <c r="B32" s="119" t="s">
        <v>126</v>
      </c>
      <c r="C32" s="42">
        <f>C20-C31</f>
        <v>22100</v>
      </c>
      <c r="D32" s="42">
        <f>D20-D31</f>
        <v>22100</v>
      </c>
      <c r="E32" s="42">
        <f>E20-E31</f>
        <v>12100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6"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699"/>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Andale Library</v>
      </c>
      <c r="B4" s="638"/>
      <c r="C4" s="638"/>
      <c r="D4" s="638"/>
      <c r="E4" s="638"/>
      <c r="F4" s="638"/>
      <c r="G4" s="638"/>
      <c r="H4" s="638"/>
    </row>
    <row r="5" spans="1:8" ht="15.75">
      <c r="A5" s="702" t="str">
        <f>inputPrYr!D4</f>
        <v>Sedgwick County</v>
      </c>
      <c r="B5" s="702"/>
      <c r="C5" s="702"/>
      <c r="D5" s="702"/>
      <c r="E5" s="702"/>
      <c r="F5" s="702"/>
      <c r="G5" s="702"/>
      <c r="H5" s="702"/>
    </row>
    <row r="6" spans="1:8" ht="15.75">
      <c r="A6" s="656" t="str">
        <f>CONCATENATE("will meet on ",inputBudSum!B7," at ",inputBudSum!B9," at ",inputBudSum!B11," for the purpose of hearing and")</f>
        <v>will meet on August 16th, 2012 at 7:00 PM at Andale District Library, 328 Main, Andale, KS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Sedgwick County Clerk's Office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1" t="str">
        <f>CONCATENATE("Estimated Value Of One Mill For ",I3,"")</f>
        <v>Estimated Value Of One Mill For 2013</v>
      </c>
      <c r="K12" s="692"/>
      <c r="L12" s="692"/>
      <c r="M12" s="693"/>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0" t="str">
        <f>CONCATENATE("Amount of ",I3-1," Ad Valorem Tax")</f>
        <v>Amount of 2012 Ad Valorem Tax</v>
      </c>
      <c r="H14" s="293" t="s">
        <v>566</v>
      </c>
      <c r="J14" s="501" t="s">
        <v>667</v>
      </c>
      <c r="K14" s="502"/>
      <c r="L14" s="502"/>
      <c r="M14" s="503">
        <f>ROUND(F27/1000,0)</f>
        <v>14554</v>
      </c>
    </row>
    <row r="15" spans="1:13" ht="15.75">
      <c r="A15" s="169" t="s">
        <v>52</v>
      </c>
      <c r="B15" s="114" t="s">
        <v>53</v>
      </c>
      <c r="C15" s="294" t="s">
        <v>198</v>
      </c>
      <c r="D15" s="114" t="s">
        <v>53</v>
      </c>
      <c r="E15" s="294" t="s">
        <v>198</v>
      </c>
      <c r="F15" s="114" t="s">
        <v>561</v>
      </c>
      <c r="G15" s="701"/>
      <c r="H15" s="294" t="s">
        <v>198</v>
      </c>
      <c r="J15" s="16"/>
      <c r="K15" s="16"/>
      <c r="L15" s="16"/>
      <c r="M15" s="16"/>
    </row>
    <row r="16" spans="1:13" ht="15.75">
      <c r="A16" s="36" t="str">
        <f>inputPrYr!B19</f>
        <v>General</v>
      </c>
      <c r="B16" s="123">
        <f>IF(gen!$C$61&lt;&gt;0,gen!$C$61,"  ")</f>
        <v>40089</v>
      </c>
      <c r="C16" s="623">
        <f>IF(inputPrYr!D38&gt;0,inputPrYr!D38,"  ")</f>
        <v>1.936</v>
      </c>
      <c r="D16" s="560">
        <f>IF(gen!$D$61&lt;&gt;0,gen!$D$61,"  ")</f>
        <v>47260</v>
      </c>
      <c r="E16" s="626">
        <f>IF(inputOth!D16&gt;0,inputOth!D16,"  ")</f>
        <v>1.975</v>
      </c>
      <c r="F16" s="560">
        <f>IF(gen!$E$61&lt;&gt;0,gen!$E$61,"  ")</f>
        <v>47555</v>
      </c>
      <c r="G16" s="243">
        <f>IF(gen!$E$68&lt;&gt;0,gen!$E$68,"  ")</f>
        <v>28755</v>
      </c>
      <c r="H16" s="623">
        <f>IF(gen!E68&gt;0,ROUND(G16/$F$27*1000,3)," ")</f>
        <v>1.976</v>
      </c>
      <c r="J16" s="691" t="str">
        <f>CONCATENATE("Want The Mill Rate The Same As For ",I3-1,"?")</f>
        <v>Want The Mill Rate The Same As For 2012?</v>
      </c>
      <c r="K16" s="694"/>
      <c r="L16" s="694"/>
      <c r="M16" s="695"/>
    </row>
    <row r="17" spans="1:13" ht="15.75">
      <c r="A17" s="36" t="s">
        <v>272</v>
      </c>
      <c r="B17" s="123" t="str">
        <f>IF(DebtService!$C$53&lt;&gt;0,DebtService!$C$53,"  ")</f>
        <v>  </v>
      </c>
      <c r="C17" s="623" t="str">
        <f>IF(inputPrYr!D39&gt;0,inputPrYr!D39,"  ")</f>
        <v>  </v>
      </c>
      <c r="D17" s="560" t="str">
        <f>IF(DebtService!$D$53&lt;&gt;0,DebtService!$D$53,"  ")</f>
        <v>  </v>
      </c>
      <c r="E17" s="626" t="str">
        <f>IF(inputOth!D17&gt;0,inputOth!D17,"  ")</f>
        <v>  </v>
      </c>
      <c r="F17" s="560" t="str">
        <f>IF(DebtService!$E$53&lt;&gt;0,DebtService!$E$53,"  ")</f>
        <v>  </v>
      </c>
      <c r="G17" s="243" t="str">
        <f>IF(DebtService!$E$60&lt;&gt;0,DebtService!$E$60,"  ")</f>
        <v>  </v>
      </c>
      <c r="H17" s="623" t="str">
        <f>IF(DebtService!E60&gt;0,ROUND(G17/$F$27*1000,3)," ")</f>
        <v> </v>
      </c>
      <c r="J17" s="504"/>
      <c r="K17" s="499"/>
      <c r="L17" s="499"/>
      <c r="M17" s="505"/>
    </row>
    <row r="18" spans="1:13" ht="15.75">
      <c r="A18" s="36" t="str">
        <f>IF(inputPrYr!$B22&gt;"  ",inputPrYr!$B22,"  ")</f>
        <v>  </v>
      </c>
      <c r="B18" s="123" t="str">
        <f>IF(levypage8!$C$33&lt;&gt;0,levypage8!$C$33,"  ")</f>
        <v>  </v>
      </c>
      <c r="C18" s="623" t="str">
        <f>IF(inputPrYr!D40&gt;0,inputPrYr!D40,"  ")</f>
        <v>  </v>
      </c>
      <c r="D18" s="560" t="str">
        <f>IF(levypage8!$D$33&lt;&gt;0,levypage8!$D$33,"  ")</f>
        <v>  </v>
      </c>
      <c r="E18" s="626" t="str">
        <f>IF(inputOth!D18&gt;0,inputOth!D18,"  ")</f>
        <v>  </v>
      </c>
      <c r="F18" s="560" t="str">
        <f>IF(levypage8!$E$33&lt;&gt;0,levypage8!$E$33,"  ")</f>
        <v>  </v>
      </c>
      <c r="G18" s="243" t="str">
        <f>IF(levypage8!$E$40&lt;&gt;0,levypage8!$E$40,"  ")</f>
        <v>  </v>
      </c>
      <c r="H18" s="623" t="str">
        <f>IF(levypage8!E40&gt;0,ROUND(G18/$F$27*1000,3)," ")</f>
        <v> </v>
      </c>
      <c r="J18" s="504" t="str">
        <f>CONCATENATE("",I3-1," Mill Rate Was:")</f>
        <v>2012 Mill Rate Was:</v>
      </c>
      <c r="K18" s="499"/>
      <c r="L18" s="499"/>
      <c r="M18" s="506">
        <f>E23</f>
        <v>1.975</v>
      </c>
    </row>
    <row r="19" spans="1:13" ht="15.75">
      <c r="A19" s="36" t="str">
        <f>IF(inputPrYr!$B23&gt;"  ",inputPrYr!$B23,"  ")</f>
        <v>  </v>
      </c>
      <c r="B19" s="123" t="str">
        <f>IF(levypage8!$C$71&lt;&gt;0,levypage8!$C$71,"  ")</f>
        <v>  </v>
      </c>
      <c r="C19" s="623" t="str">
        <f>IF(inputPrYr!D41&gt;0,inputPrYr!D41,"  ")</f>
        <v>  </v>
      </c>
      <c r="D19" s="560" t="str">
        <f>IF(levypage8!$D$71&lt;&gt;0,levypage8!$D$71,"  ")</f>
        <v>  </v>
      </c>
      <c r="E19" s="626" t="str">
        <f>IF(inputOth!D19&gt;0,inputOth!D19,"  ")</f>
        <v>  </v>
      </c>
      <c r="F19" s="560" t="str">
        <f>IF(levypage8!$E$71&lt;&gt;0,levypage8!$E$71,"  ")</f>
        <v>  </v>
      </c>
      <c r="G19" s="243" t="str">
        <f>IF(levypage8!$E$78&lt;&gt;0,levypage8!$E$78,"  ")</f>
        <v>  </v>
      </c>
      <c r="H19" s="623" t="str">
        <f>IF(levypage8!E78&gt;0,ROUND(G19/$F$27*1000,3)," ")</f>
        <v> </v>
      </c>
      <c r="J19" s="507" t="str">
        <f>CONCATENATE("",I3," Tax Levy Fund Expenditures Must Be")</f>
        <v>2013 Tax Levy Fund Expenditures Must Be</v>
      </c>
      <c r="K19" s="508"/>
      <c r="L19" s="508"/>
      <c r="M19" s="505"/>
    </row>
    <row r="20" spans="1:13" ht="15.75">
      <c r="A20" s="36" t="str">
        <f>IF(inputPrYr!$B26&gt;"  ",inputPrYr!$B26,"  ")</f>
        <v>Capital Improvement</v>
      </c>
      <c r="B20" s="123" t="str">
        <f>IF('Cap Improve'!$C$31&lt;&gt;0,'Cap Improve'!$C$31,"  ")</f>
        <v>  </v>
      </c>
      <c r="C20" s="623"/>
      <c r="D20" s="560" t="str">
        <f>IF('Cap Improve'!$D$31&lt;&gt;0,'Cap Improve'!$D$31,"  ")</f>
        <v>  </v>
      </c>
      <c r="E20" s="626"/>
      <c r="F20" s="560">
        <f>IF('Cap Improve'!$E$31&lt;&gt;0,'Cap Improve'!$E$31,"  ")</f>
        <v>10000</v>
      </c>
      <c r="G20" s="243"/>
      <c r="H20" s="623"/>
      <c r="J20" s="507">
        <f>IF(M20&gt;0,"Increased By:","")</f>
      </c>
      <c r="K20" s="508"/>
      <c r="L20" s="508"/>
      <c r="M20" s="509">
        <f>IF(M27&lt;0,M27*-1,0)</f>
        <v>0</v>
      </c>
    </row>
    <row r="21" spans="1:13" ht="15.75">
      <c r="A21" s="36" t="str">
        <f>IF(inputPrYr!$B27&gt;"  ",inputPrYr!$B27,"  ")</f>
        <v>  </v>
      </c>
      <c r="B21" s="123" t="str">
        <f>IF('Cap Improve'!$C$64&lt;&gt;0,'Cap Improve'!$C$64,"  ")</f>
        <v>  </v>
      </c>
      <c r="C21" s="623"/>
      <c r="D21" s="560" t="str">
        <f>IF('Cap Improve'!$D$64&lt;&gt;0,'Cap Improve'!$D$64,"  ")</f>
        <v>  </v>
      </c>
      <c r="E21" s="626"/>
      <c r="F21" s="560" t="str">
        <f>IF('Cap Improve'!$E$64&lt;&gt;0,'Cap Improve'!$E$64,"  ")</f>
        <v>  </v>
      </c>
      <c r="G21" s="243"/>
      <c r="H21" s="623"/>
      <c r="J21" s="510" t="str">
        <f>IF(M21&lt;0,"Reduced By:","")</f>
        <v>Reduced By:</v>
      </c>
      <c r="K21" s="472"/>
      <c r="L21" s="472"/>
      <c r="M21" s="511">
        <f>IF(M27&gt;0,M27*-1,0)</f>
        <v>-10</v>
      </c>
    </row>
    <row r="22" spans="1:13" ht="16.5" thickBot="1">
      <c r="A22" s="124">
        <f>IF((inputPrYr!$B$30&gt;" "),(NonBud!$A$3),"")</f>
      </c>
      <c r="B22" s="486">
        <f>IF(NonBud!K28&gt;0,NonBud!K28,"")</f>
      </c>
      <c r="C22" s="624"/>
      <c r="D22" s="622"/>
      <c r="E22" s="627"/>
      <c r="F22" s="622"/>
      <c r="G22" s="629"/>
      <c r="H22" s="624"/>
      <c r="J22" s="512"/>
      <c r="K22" s="512"/>
      <c r="L22" s="512"/>
      <c r="M22" s="512"/>
    </row>
    <row r="23" spans="1:13" ht="15.75">
      <c r="A23" s="33" t="s">
        <v>134</v>
      </c>
      <c r="B23" s="620">
        <f>SUM(B16:B22)</f>
        <v>40089</v>
      </c>
      <c r="C23" s="625">
        <f aca="true" t="shared" si="0" ref="C23:H23">SUM(C16:C21)</f>
        <v>1.936</v>
      </c>
      <c r="D23" s="620">
        <f t="shared" si="0"/>
        <v>47260</v>
      </c>
      <c r="E23" s="628">
        <f t="shared" si="0"/>
        <v>1.975</v>
      </c>
      <c r="F23" s="620">
        <f t="shared" si="0"/>
        <v>57555</v>
      </c>
      <c r="G23" s="620">
        <f t="shared" si="0"/>
        <v>28755</v>
      </c>
      <c r="H23" s="628">
        <f t="shared" si="0"/>
        <v>1.976</v>
      </c>
      <c r="J23" s="691" t="str">
        <f>CONCATENATE("Impact On Keeping The Same Mill Rate As For ",I3-1,"")</f>
        <v>Impact On Keeping The Same Mill Rate As For 2012</v>
      </c>
      <c r="K23" s="696"/>
      <c r="L23" s="696"/>
      <c r="M23" s="697"/>
    </row>
    <row r="24" spans="1:13" ht="15.75">
      <c r="A24" s="33" t="s">
        <v>168</v>
      </c>
      <c r="B24" s="42">
        <f>transfers!C26</f>
        <v>0</v>
      </c>
      <c r="C24" s="126"/>
      <c r="D24" s="42">
        <f>transfers!D26</f>
        <v>0</v>
      </c>
      <c r="E24" s="126"/>
      <c r="F24" s="621">
        <f>transfers!E26</f>
        <v>0</v>
      </c>
      <c r="G24" s="238"/>
      <c r="H24" s="295"/>
      <c r="J24" s="504"/>
      <c r="K24" s="499"/>
      <c r="L24" s="499"/>
      <c r="M24" s="505"/>
    </row>
    <row r="25" spans="1:13" ht="16.5" thickBot="1">
      <c r="A25" s="33" t="s">
        <v>169</v>
      </c>
      <c r="B25" s="129">
        <f>SUM(B23-B24)</f>
        <v>40089</v>
      </c>
      <c r="C25" s="296"/>
      <c r="D25" s="129">
        <f>SUM(D23-D24)</f>
        <v>47260</v>
      </c>
      <c r="E25" s="296"/>
      <c r="F25" s="485">
        <f>SUM(F23-F24)</f>
        <v>57555</v>
      </c>
      <c r="G25" s="238"/>
      <c r="H25" s="295"/>
      <c r="J25" s="504" t="str">
        <f>CONCATENATE("",I3," Ad Valorem Tax Revenue:")</f>
        <v>2013 Ad Valorem Tax Revenue:</v>
      </c>
      <c r="K25" s="499"/>
      <c r="L25" s="499"/>
      <c r="M25" s="500">
        <f>G23</f>
        <v>28755</v>
      </c>
    </row>
    <row r="26" spans="1:13" ht="16.5" thickTop="1">
      <c r="A26" s="33" t="s">
        <v>54</v>
      </c>
      <c r="B26" s="620">
        <f>inputPrYr!E44</f>
        <v>27266</v>
      </c>
      <c r="C26" s="215"/>
      <c r="D26" s="620">
        <f>inputPrYr!E24</f>
        <v>28163</v>
      </c>
      <c r="E26" s="215"/>
      <c r="F26" s="83" t="s">
        <v>174</v>
      </c>
      <c r="G26" s="18"/>
      <c r="H26" s="18"/>
      <c r="J26" s="504" t="str">
        <f>CONCATENATE("",I3-1," Ad Valorem Tax Revenue:")</f>
        <v>2012 Ad Valorem Tax Revenue:</v>
      </c>
      <c r="K26" s="499"/>
      <c r="L26" s="499"/>
      <c r="M26" s="513">
        <f>ROUND(F27*M18/1000,0)</f>
        <v>28745</v>
      </c>
    </row>
    <row r="27" spans="1:13" ht="15.75">
      <c r="A27" s="33" t="s">
        <v>170</v>
      </c>
      <c r="B27" s="42">
        <f>inputPrYr!E45</f>
        <v>14082961</v>
      </c>
      <c r="C27" s="215"/>
      <c r="D27" s="42">
        <f>inputOth!E24</f>
        <v>14257207</v>
      </c>
      <c r="E27" s="215"/>
      <c r="F27" s="42">
        <f>inputOth!E7</f>
        <v>14554289</v>
      </c>
      <c r="G27" s="18"/>
      <c r="H27" s="18"/>
      <c r="J27" s="514" t="s">
        <v>668</v>
      </c>
      <c r="K27" s="515"/>
      <c r="L27" s="515"/>
      <c r="M27" s="503">
        <f>M25-M26</f>
        <v>10</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1" t="s">
        <v>669</v>
      </c>
      <c r="K29" s="694"/>
      <c r="L29" s="694"/>
      <c r="M29" s="695"/>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1.976</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98" t="str">
        <f>inputBudSum!B3</f>
        <v>James McFadden</v>
      </c>
      <c r="B40" s="664"/>
      <c r="C40" s="99"/>
      <c r="D40" s="18"/>
      <c r="E40" s="18"/>
      <c r="F40" s="18"/>
      <c r="G40" s="18"/>
      <c r="H40" s="52"/>
    </row>
    <row r="41" spans="1:8" ht="15.75">
      <c r="A41" s="689" t="str">
        <f>inputBudSum!B5</f>
        <v>Chairman</v>
      </c>
      <c r="B41" s="690"/>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Andale Library</v>
      </c>
      <c r="C1" s="18"/>
      <c r="D1" s="18"/>
      <c r="E1" s="236">
        <f>inputPrYr!$D$6</f>
        <v>2013</v>
      </c>
    </row>
    <row r="2" spans="2:5" ht="15.75">
      <c r="B2" s="18"/>
      <c r="C2" s="18"/>
      <c r="D2" s="18"/>
      <c r="E2" s="155"/>
    </row>
    <row r="3" spans="2:6" ht="15.75">
      <c r="B3" s="491" t="s">
        <v>81</v>
      </c>
      <c r="C3" s="222"/>
      <c r="D3" s="222"/>
      <c r="E3" s="237"/>
      <c r="F3" s="567"/>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8"/>
      <c r="G44" s="686" t="str">
        <f>CONCATENATE("Desired Carryover Into ",E1+1,"")</f>
        <v>Desired Carryover Into 2014</v>
      </c>
      <c r="H44" s="687"/>
      <c r="I44" s="687"/>
      <c r="J44" s="688"/>
      <c r="K44" s="598"/>
    </row>
    <row r="45" spans="2:11" ht="15.75">
      <c r="B45" s="250"/>
      <c r="C45" s="367"/>
      <c r="D45" s="367"/>
      <c r="E45" s="242"/>
      <c r="F45" s="598"/>
      <c r="G45" s="476"/>
      <c r="H45" s="69"/>
      <c r="I45" s="483"/>
      <c r="J45" s="475"/>
      <c r="K45" s="598"/>
    </row>
    <row r="46" spans="2:11" ht="15.75">
      <c r="B46" s="250"/>
      <c r="C46" s="367"/>
      <c r="D46" s="367"/>
      <c r="E46" s="242"/>
      <c r="F46" s="598"/>
      <c r="G46" s="474" t="s">
        <v>665</v>
      </c>
      <c r="H46" s="483"/>
      <c r="I46" s="483"/>
      <c r="J46" s="473">
        <v>0</v>
      </c>
      <c r="K46" s="598"/>
    </row>
    <row r="47" spans="2:11" ht="15.75">
      <c r="B47" s="250"/>
      <c r="C47" s="367"/>
      <c r="D47" s="367"/>
      <c r="E47" s="242"/>
      <c r="F47" s="598"/>
      <c r="G47" s="476" t="s">
        <v>666</v>
      </c>
      <c r="H47" s="69"/>
      <c r="I47" s="69"/>
      <c r="J47" s="599">
        <f>IF(J46=0,"",ROUND((J46+E60-G59)/inputOth!E7*1000,3)-G64)</f>
      </c>
      <c r="K47" s="598"/>
    </row>
    <row r="48" spans="2:11" ht="15.75">
      <c r="B48" s="250"/>
      <c r="C48" s="367"/>
      <c r="D48" s="367"/>
      <c r="E48" s="242"/>
      <c r="F48" s="598"/>
      <c r="G48" s="580" t="str">
        <f>CONCATENATE("",E1," Tot Exp/Non-Appr Must Be:")</f>
        <v>2013 Tot Exp/Non-Appr Must Be:</v>
      </c>
      <c r="H48" s="569"/>
      <c r="I48" s="568"/>
      <c r="J48" s="581">
        <f>IF(J46&gt;0,IF(E57&lt;E30,IF(J46=G59,E57,((J46-G59)*(1-D59))+E30),E57+(J46-G59)),0)</f>
        <v>0</v>
      </c>
      <c r="K48" s="598"/>
    </row>
    <row r="49" spans="2:11" ht="15.75">
      <c r="B49" s="250"/>
      <c r="C49" s="367"/>
      <c r="D49" s="367"/>
      <c r="E49" s="242"/>
      <c r="F49" s="598"/>
      <c r="G49" s="582" t="s">
        <v>732</v>
      </c>
      <c r="H49" s="583"/>
      <c r="I49" s="583"/>
      <c r="J49" s="584">
        <f>IF(J46&gt;0,J48-E57,0)</f>
        <v>0</v>
      </c>
      <c r="K49" s="598"/>
    </row>
    <row r="50" spans="2:11" ht="15.75">
      <c r="B50" s="121" t="s">
        <v>220</v>
      </c>
      <c r="C50" s="376"/>
      <c r="D50" s="376"/>
      <c r="E50" s="176">
        <f>Nhood!E8</f>
      </c>
      <c r="F50" s="598"/>
      <c r="G50" s="598"/>
      <c r="H50" s="598"/>
      <c r="I50" s="598"/>
      <c r="J50" s="598"/>
      <c r="K50" s="598"/>
    </row>
    <row r="51" spans="2:11" ht="15.75">
      <c r="B51" s="121" t="s">
        <v>219</v>
      </c>
      <c r="C51" s="376"/>
      <c r="D51" s="376"/>
      <c r="E51" s="242"/>
      <c r="F51" s="598"/>
      <c r="G51" s="686" t="str">
        <f>CONCATENATE("Projected Carryover Into ",E1+1,"")</f>
        <v>Projected Carryover Into 2014</v>
      </c>
      <c r="H51" s="703"/>
      <c r="I51" s="703"/>
      <c r="J51" s="704"/>
      <c r="K51" s="598"/>
    </row>
    <row r="52" spans="2:11" ht="15.75">
      <c r="B52" s="121" t="s">
        <v>562</v>
      </c>
      <c r="C52" s="368">
        <f>IF(C53*0.1&lt;C51,"Exceed 10% Rule","")</f>
      </c>
      <c r="D52" s="368">
        <f>IF(D53*0.1&lt;D51,"Exceed 10% Rule","")</f>
      </c>
      <c r="E52" s="387">
        <f>IF(E53*0.1&lt;E51,"Exceed 10% Rule","")</f>
      </c>
      <c r="F52" s="598"/>
      <c r="G52" s="476"/>
      <c r="H52" s="483"/>
      <c r="I52" s="483"/>
      <c r="J52" s="600"/>
      <c r="K52" s="598"/>
    </row>
    <row r="53" spans="2:11" ht="15.75">
      <c r="B53" s="233" t="s">
        <v>42</v>
      </c>
      <c r="C53" s="377">
        <f>SUM(C32:C51)</f>
        <v>0</v>
      </c>
      <c r="D53" s="377">
        <f>SUM(D32:D51)</f>
        <v>0</v>
      </c>
      <c r="E53" s="248">
        <f>SUM(E32:E51)</f>
        <v>0</v>
      </c>
      <c r="F53" s="598"/>
      <c r="G53" s="490">
        <f>D54</f>
        <v>0</v>
      </c>
      <c r="H53" s="489" t="str">
        <f>CONCATENATE("",E1-1," Ending Cash Balance (est.)")</f>
        <v>2012 Ending Cash Balance (est.)</v>
      </c>
      <c r="I53" s="585"/>
      <c r="J53" s="600"/>
      <c r="K53" s="598"/>
    </row>
    <row r="54" spans="2:11" ht="15.75">
      <c r="B54" s="113" t="s">
        <v>126</v>
      </c>
      <c r="C54" s="375">
        <f>C30-C53</f>
        <v>0</v>
      </c>
      <c r="D54" s="375">
        <f>D30-D53</f>
        <v>0</v>
      </c>
      <c r="E54" s="241" t="s">
        <v>28</v>
      </c>
      <c r="F54"/>
      <c r="G54" s="490">
        <f>E29</f>
        <v>0</v>
      </c>
      <c r="H54" s="483" t="str">
        <f>CONCATENATE("",E1," Non-AV Receipts (est.)")</f>
        <v>2013 Non-AV Receipts (est.)</v>
      </c>
      <c r="I54" s="585"/>
      <c r="J54" s="600"/>
      <c r="K54" s="598"/>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5"/>
      <c r="J55" s="600"/>
      <c r="K55" s="586">
        <f>IF(G55=E60,"","Note: Does not include Delinquent Taxes")</f>
      </c>
    </row>
    <row r="56" spans="2:11" ht="15.75">
      <c r="B56" s="138"/>
      <c r="C56" s="682" t="s">
        <v>659</v>
      </c>
      <c r="D56" s="683"/>
      <c r="E56" s="35"/>
      <c r="F56" s="601">
        <f>IF(E53/0.95-E53&lt;E56,"Exceeds 5%","")</f>
      </c>
      <c r="G56" s="490">
        <f>SUM(G53:G55)</f>
        <v>0</v>
      </c>
      <c r="H56" s="483" t="str">
        <f>CONCATENATE("Total ",E1," Resources Available")</f>
        <v>Total 2013 Resources Available</v>
      </c>
      <c r="I56" s="585"/>
      <c r="J56" s="600"/>
      <c r="K56" s="598"/>
    </row>
    <row r="57" spans="2:11" ht="15.75">
      <c r="B57" s="386" t="str">
        <f>CONCATENATE(C68,"     ",D68)</f>
        <v>     </v>
      </c>
      <c r="C57" s="684" t="s">
        <v>660</v>
      </c>
      <c r="D57" s="685"/>
      <c r="E57" s="45">
        <f>E53+E56</f>
        <v>0</v>
      </c>
      <c r="F57"/>
      <c r="G57" s="481"/>
      <c r="H57" s="483"/>
      <c r="I57" s="483"/>
      <c r="J57" s="600"/>
      <c r="K57" s="598"/>
    </row>
    <row r="58" spans="2:11" ht="15.75">
      <c r="B58" s="386" t="str">
        <f>CONCATENATE(C69,"     ",D69)</f>
        <v>     </v>
      </c>
      <c r="C58" s="494"/>
      <c r="D58" s="493" t="s">
        <v>661</v>
      </c>
      <c r="E58" s="42">
        <f>IF(E57-E30&gt;0,E57-E30,0)</f>
        <v>0</v>
      </c>
      <c r="F58"/>
      <c r="G58" s="482">
        <f>C53</f>
        <v>0</v>
      </c>
      <c r="H58" s="483" t="str">
        <f>CONCATENATE("Less ",E1-2," Expenditures")</f>
        <v>Less 2011 Expenditures</v>
      </c>
      <c r="I58" s="483"/>
      <c r="J58" s="600"/>
      <c r="K58" s="598"/>
    </row>
    <row r="59" spans="2:11" ht="15.75">
      <c r="B59" s="155"/>
      <c r="C59" s="492" t="s">
        <v>662</v>
      </c>
      <c r="D59" s="597">
        <f>inputOth!$E$35</f>
        <v>0</v>
      </c>
      <c r="E59" s="45">
        <f>ROUND(IF(D59&gt;0,(E58*D59),0),0)</f>
        <v>0</v>
      </c>
      <c r="F59"/>
      <c r="G59" s="518">
        <f>G56-G58</f>
        <v>0</v>
      </c>
      <c r="H59" s="471" t="str">
        <f>CONCATENATE("Projected ",E1+1," carryover (est.)")</f>
        <v>Projected 2014 carryover (est.)</v>
      </c>
      <c r="I59" s="588"/>
      <c r="J59" s="602"/>
      <c r="K59" s="598"/>
    </row>
    <row r="60" spans="2:11" ht="15.75">
      <c r="B60" s="18"/>
      <c r="C60" s="680" t="str">
        <f>CONCATENATE("Amount of  ",$E$1-1," Ad Valorem Tax")</f>
        <v>Amount of  2012 Ad Valorem Tax</v>
      </c>
      <c r="D60" s="681"/>
      <c r="E60" s="42">
        <f>E58+E59</f>
        <v>0</v>
      </c>
      <c r="F60"/>
      <c r="G60" s="598"/>
      <c r="H60" s="598"/>
      <c r="I60" s="598"/>
      <c r="J60" s="598"/>
      <c r="K60" s="598"/>
    </row>
    <row r="61" spans="2:11" ht="15.75">
      <c r="B61" s="155"/>
      <c r="C61" s="18"/>
      <c r="D61" s="18"/>
      <c r="E61" s="18"/>
      <c r="F61"/>
      <c r="G61" s="677" t="s">
        <v>733</v>
      </c>
      <c r="H61" s="678"/>
      <c r="I61" s="678"/>
      <c r="J61" s="679"/>
      <c r="K61" s="598"/>
    </row>
    <row r="62" spans="2:11" ht="15.75">
      <c r="B62" s="138" t="s">
        <v>44</v>
      </c>
      <c r="C62" s="252"/>
      <c r="D62" s="18"/>
      <c r="E62" s="18"/>
      <c r="F62"/>
      <c r="G62" s="589"/>
      <c r="H62" s="489"/>
      <c r="I62" s="570"/>
      <c r="J62" s="590"/>
      <c r="K62" s="598"/>
    </row>
    <row r="63" spans="6:11" ht="15.75">
      <c r="F63"/>
      <c r="G63" s="591" t="str">
        <f>summ!H17</f>
        <v> </v>
      </c>
      <c r="H63" s="489" t="str">
        <f>CONCATENATE("",E1," Fund Mill Rate")</f>
        <v>2013 Fund Mill Rate</v>
      </c>
      <c r="I63" s="570"/>
      <c r="J63" s="590"/>
      <c r="K63" s="598"/>
    </row>
    <row r="64" spans="6:11" ht="15.75">
      <c r="F64"/>
      <c r="G64" s="593" t="str">
        <f>summ!E17</f>
        <v>  </v>
      </c>
      <c r="H64" s="489" t="str">
        <f>CONCATENATE("",E1-1," Fund Mill Rate")</f>
        <v>2012 Fund Mill Rate</v>
      </c>
      <c r="I64" s="570"/>
      <c r="J64" s="590"/>
      <c r="K64" s="598"/>
    </row>
    <row r="65" spans="6:11" ht="15.75">
      <c r="F65"/>
      <c r="G65" s="594">
        <f>summ!H23</f>
        <v>1.976</v>
      </c>
      <c r="H65" s="489" t="str">
        <f>CONCATENATE("Total ",E1," Mill Rate")</f>
        <v>Total 2013 Mill Rate</v>
      </c>
      <c r="I65" s="570"/>
      <c r="J65" s="590"/>
      <c r="K65" s="598"/>
    </row>
    <row r="66" spans="6:11" ht="15.75">
      <c r="F66"/>
      <c r="G66" s="593">
        <f>summ!E23</f>
        <v>1.975</v>
      </c>
      <c r="H66" s="595" t="str">
        <f>CONCATENATE("Total ",E1-1," Mill Rate")</f>
        <v>Total 2012 Mill Rate</v>
      </c>
      <c r="I66" s="596"/>
      <c r="J66" s="78"/>
      <c r="K66" s="598"/>
    </row>
    <row r="67" spans="7:10" ht="15.75">
      <c r="G67" s="573"/>
      <c r="H67" s="477"/>
      <c r="I67" s="573"/>
      <c r="J67" s="571"/>
    </row>
    <row r="68" spans="3:10" ht="15.75" customHeight="1" hidden="1">
      <c r="C68" s="16">
        <f>IF(C53&gt;C55,"See Tab A","")</f>
      </c>
      <c r="D68" s="16">
        <f>IF(D53&gt;D55,"See Tab C","")</f>
      </c>
      <c r="G68" s="572"/>
      <c r="H68" s="573"/>
      <c r="I68" s="573"/>
      <c r="J68" s="577"/>
    </row>
    <row r="69" spans="3:10" ht="15.75" customHeight="1" hidden="1">
      <c r="C69" s="16">
        <f>IF(C54&lt;0,"See Tab B","")</f>
      </c>
      <c r="D69" s="16">
        <f>IF(D54&lt;0,"See Tab D","")</f>
      </c>
      <c r="G69" s="573"/>
      <c r="H69" s="477"/>
      <c r="I69" s="477"/>
      <c r="J69" s="578"/>
    </row>
    <row r="70" spans="7:10" ht="15.75">
      <c r="G70" s="575"/>
      <c r="H70" s="477"/>
      <c r="I70" s="573"/>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Andale Library</v>
      </c>
      <c r="C1" s="18"/>
      <c r="D1" s="18"/>
      <c r="E1" s="182"/>
    </row>
    <row r="2" spans="2:5" ht="15.75">
      <c r="B2" s="18" t="str">
        <f>inputPrYr!D4</f>
        <v>Sedgwick County</v>
      </c>
      <c r="C2" s="18"/>
      <c r="D2" s="18"/>
      <c r="E2" s="138"/>
    </row>
    <row r="3" spans="2:6" ht="15.75">
      <c r="B3" s="25" t="s">
        <v>81</v>
      </c>
      <c r="C3" s="222"/>
      <c r="D3" s="222"/>
      <c r="E3" s="18">
        <f>inputPrYr!D6</f>
        <v>2013</v>
      </c>
      <c r="F3" s="567"/>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599">
        <f>IF(J27=0,"",ROUND((J27+E40-G40)/inputOth!E7*1000,3)-G45)</f>
      </c>
      <c r="K28" s="16"/>
    </row>
    <row r="29" spans="2:11" ht="15.75">
      <c r="B29" s="228"/>
      <c r="C29" s="367"/>
      <c r="D29" s="367"/>
      <c r="E29" s="198"/>
      <c r="F29" s="16"/>
      <c r="G29" s="580" t="str">
        <f>CONCATENATE("",E3," Tot Exp/Non-Appr Must Be:")</f>
        <v>2013 Tot Exp/Non-Appr Must Be:</v>
      </c>
      <c r="H29" s="569"/>
      <c r="I29" s="568"/>
      <c r="J29" s="581">
        <f>IF(J27&gt;0,IF(E37&lt;E22,IF(J27=G40,E37,((J27-G40)*(1-D39))+E22),E37+(J27-G40)),0)</f>
        <v>0</v>
      </c>
      <c r="K29" s="16"/>
    </row>
    <row r="30" spans="2:11" ht="15.75">
      <c r="B30" s="121" t="s">
        <v>220</v>
      </c>
      <c r="C30" s="367"/>
      <c r="D30" s="367"/>
      <c r="E30" s="203">
        <f>Nhood!E9</f>
      </c>
      <c r="F30" s="16"/>
      <c r="G30" s="582" t="s">
        <v>732</v>
      </c>
      <c r="H30" s="583"/>
      <c r="I30" s="583"/>
      <c r="J30" s="584">
        <f>IF(J27&gt;0,J29-E37,0)</f>
        <v>0</v>
      </c>
      <c r="K30" s="16"/>
    </row>
    <row r="31" spans="2:11" ht="15.75">
      <c r="B31" s="121" t="s">
        <v>219</v>
      </c>
      <c r="C31" s="228"/>
      <c r="D31" s="228"/>
      <c r="E31" s="198"/>
      <c r="F31" s="16"/>
      <c r="G31" s="16"/>
      <c r="H31" s="16"/>
      <c r="I31" s="16"/>
      <c r="J31" s="598"/>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703"/>
      <c r="I32" s="703"/>
      <c r="J32" s="704"/>
      <c r="K32" s="16"/>
    </row>
    <row r="33" spans="2:11" ht="15.75">
      <c r="B33" s="233" t="s">
        <v>42</v>
      </c>
      <c r="C33" s="369">
        <f>SUM(C24:C31)</f>
        <v>0</v>
      </c>
      <c r="D33" s="369">
        <f>SUM(D24:D31)</f>
        <v>0</v>
      </c>
      <c r="E33" s="234">
        <f>SUM(E24:E31)</f>
        <v>0</v>
      </c>
      <c r="F33" s="16"/>
      <c r="G33" s="476"/>
      <c r="H33" s="483"/>
      <c r="I33" s="483"/>
      <c r="J33" s="603"/>
      <c r="K33" s="16"/>
    </row>
    <row r="34" spans="2:11" ht="15.75">
      <c r="B34" s="119" t="s">
        <v>126</v>
      </c>
      <c r="C34" s="370">
        <f>C22-C33</f>
        <v>0</v>
      </c>
      <c r="D34" s="370">
        <f>D22-D33</f>
        <v>0</v>
      </c>
      <c r="E34" s="128" t="s">
        <v>28</v>
      </c>
      <c r="F34" s="16"/>
      <c r="G34" s="490">
        <f>D34</f>
        <v>0</v>
      </c>
      <c r="H34" s="489" t="str">
        <f>CONCATENATE("",E3-1," Ending Cash Balance (est.)")</f>
        <v>2012 Ending Cash Balance (est.)</v>
      </c>
      <c r="I34" s="585"/>
      <c r="J34" s="603"/>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5"/>
      <c r="J35" s="603"/>
      <c r="K35" s="16"/>
    </row>
    <row r="36" spans="2:11" ht="15.75">
      <c r="B36" s="138"/>
      <c r="C36" s="682" t="s">
        <v>659</v>
      </c>
      <c r="D36" s="683"/>
      <c r="E36" s="35"/>
      <c r="F36" s="611">
        <f>IF(E33/0.95-E33&lt;E36,"Exceeds 5%","")</f>
      </c>
      <c r="G36" s="482">
        <f>IF(E39&gt;0,E38,E40)</f>
        <v>0</v>
      </c>
      <c r="H36" s="483" t="str">
        <f>CONCATENATE("",E3," Ad Valorem Tax (est.)")</f>
        <v>2013 Ad Valorem Tax (est.)</v>
      </c>
      <c r="I36" s="585"/>
      <c r="J36" s="604"/>
      <c r="K36" s="586">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5"/>
      <c r="J37" s="603"/>
      <c r="K37" s="16"/>
    </row>
    <row r="38" spans="2:11" ht="15.75">
      <c r="B38" s="386" t="str">
        <f>CONCATENATE(C88,"     ",D88)</f>
        <v>     </v>
      </c>
      <c r="C38" s="494"/>
      <c r="D38" s="493" t="s">
        <v>661</v>
      </c>
      <c r="E38" s="42">
        <f>IF(E37-E22&gt;0,E37-E22,0)</f>
        <v>0</v>
      </c>
      <c r="F38" s="16"/>
      <c r="G38" s="481"/>
      <c r="H38" s="483"/>
      <c r="I38" s="483"/>
      <c r="J38" s="603"/>
      <c r="K38" s="16"/>
    </row>
    <row r="39" spans="2:11" ht="15.75">
      <c r="B39" s="155"/>
      <c r="C39" s="492" t="s">
        <v>662</v>
      </c>
      <c r="D39" s="597">
        <f>inputOth!$E$35</f>
        <v>0</v>
      </c>
      <c r="E39" s="45">
        <f>ROUND(IF(D39&gt;0,(E38*D39),0),0)</f>
        <v>0</v>
      </c>
      <c r="F39" s="16"/>
      <c r="G39" s="482">
        <f>ROUND(C33*0.05+C33,0)</f>
        <v>0</v>
      </c>
      <c r="H39" s="483" t="str">
        <f>CONCATENATE("Less ",E3-2," Expenditures + 5%")</f>
        <v>Less 2011 Expenditures + 5%</v>
      </c>
      <c r="I39" s="585"/>
      <c r="J39" s="603"/>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8"/>
      <c r="J40" s="605"/>
      <c r="K40" s="16"/>
    </row>
    <row r="41" spans="2:11" ht="15.75">
      <c r="B41" s="18"/>
      <c r="C41" s="18"/>
      <c r="D41" s="18"/>
      <c r="E41" s="18"/>
      <c r="F41" s="16"/>
      <c r="G41" s="598"/>
      <c r="H41" s="598"/>
      <c r="I41" s="598"/>
      <c r="J41" s="598"/>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89"/>
      <c r="H43" s="489"/>
      <c r="I43" s="570"/>
      <c r="J43" s="590"/>
      <c r="K43" s="16"/>
    </row>
    <row r="44" spans="2:11" ht="15.75" customHeight="1">
      <c r="B44" s="389">
        <f>inputPrYr!B23</f>
        <v>0</v>
      </c>
      <c r="C44" s="373" t="str">
        <f>C6</f>
        <v>Actual for 2011</v>
      </c>
      <c r="D44" s="373" t="str">
        <f>D6</f>
        <v>Estimate for 2012</v>
      </c>
      <c r="E44" s="224" t="str">
        <f>E6</f>
        <v>Year for 2013</v>
      </c>
      <c r="F44" s="16"/>
      <c r="G44" s="591" t="str">
        <f>summ!H18</f>
        <v> </v>
      </c>
      <c r="H44" s="489" t="str">
        <f>CONCATENATE("",E3," Fund Mill Rate")</f>
        <v>2013 Fund Mill Rate</v>
      </c>
      <c r="I44" s="570"/>
      <c r="J44" s="590"/>
      <c r="K44" s="16"/>
    </row>
    <row r="45" spans="2:11" ht="15.75">
      <c r="B45" s="119" t="s">
        <v>125</v>
      </c>
      <c r="C45" s="367"/>
      <c r="D45" s="374">
        <f>C72</f>
        <v>0</v>
      </c>
      <c r="E45" s="45">
        <f>D72</f>
        <v>0</v>
      </c>
      <c r="F45" s="16"/>
      <c r="G45" s="593" t="str">
        <f>summ!E18</f>
        <v>  </v>
      </c>
      <c r="H45" s="489" t="str">
        <f>CONCATENATE("",E3-1," Fund Mill Rate")</f>
        <v>2012 Fund Mill Rate</v>
      </c>
      <c r="I45" s="570"/>
      <c r="J45" s="590"/>
      <c r="K45" s="16"/>
    </row>
    <row r="46" spans="2:11" ht="15.75">
      <c r="B46" s="226" t="s">
        <v>127</v>
      </c>
      <c r="C46" s="227"/>
      <c r="D46" s="227"/>
      <c r="E46" s="123"/>
      <c r="F46" s="16"/>
      <c r="G46" s="594">
        <f>summ!H23</f>
        <v>1.976</v>
      </c>
      <c r="H46" s="489" t="str">
        <f>CONCATENATE("Total ",E3," Mill Rate")</f>
        <v>Total 2013 Mill Rate</v>
      </c>
      <c r="I46" s="570"/>
      <c r="J46" s="590"/>
      <c r="K46" s="16"/>
    </row>
    <row r="47" spans="2:11" ht="15.75">
      <c r="B47" s="119" t="s">
        <v>33</v>
      </c>
      <c r="C47" s="367"/>
      <c r="D47" s="374">
        <f>IF(inputPrYr!H18&gt;0,inputPrYr!G23,inputPrYr!E23)</f>
        <v>0</v>
      </c>
      <c r="E47" s="128" t="s">
        <v>28</v>
      </c>
      <c r="F47" s="16"/>
      <c r="G47" s="593">
        <f>summ!E23</f>
        <v>1.975</v>
      </c>
      <c r="H47" s="595" t="str">
        <f>CONCATENATE("Total ",E3-1," Mill Rate")</f>
        <v>Total 2012 Mill Rate</v>
      </c>
      <c r="I47" s="596"/>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599">
        <f>IF(J67=0,"",ROUND((J67+E81-G80)/inputOth!E7*1000,3)-G85)</f>
      </c>
      <c r="K68" s="16"/>
    </row>
    <row r="69" spans="2:11" ht="15.75">
      <c r="B69" s="121" t="s">
        <v>219</v>
      </c>
      <c r="C69" s="228"/>
      <c r="D69" s="228"/>
      <c r="E69" s="198"/>
      <c r="F69" s="16"/>
      <c r="G69" s="580" t="str">
        <f>CONCATENATE("",E3," Tot Exp/Non-Appr Must Be:")</f>
        <v>2013 Tot Exp/Non-Appr Must Be:</v>
      </c>
      <c r="H69" s="569"/>
      <c r="I69" s="568"/>
      <c r="J69" s="581">
        <f>IF(J67&gt;0,IF(E75&lt;E60,IF(J67=G80,E75,((J67-G80)*(1-D77))+E60),E75+(J67-G80)),0)</f>
        <v>0</v>
      </c>
      <c r="K69" s="16"/>
    </row>
    <row r="70" spans="2:11" ht="15.75">
      <c r="B70" s="121" t="s">
        <v>562</v>
      </c>
      <c r="C70" s="368">
        <f>IF(C71*0.1&lt;C69,"Exceed 10% Rule","")</f>
      </c>
      <c r="D70" s="368">
        <f>IF(D71*0.1&lt;D69,"Exceed 10% Rule","")</f>
      </c>
      <c r="E70" s="387">
        <f>IF(E71*0.1&lt;E69,"Exceed 10% Rule","")</f>
      </c>
      <c r="F70" s="16"/>
      <c r="G70" s="582" t="s">
        <v>732</v>
      </c>
      <c r="H70" s="583"/>
      <c r="I70" s="583"/>
      <c r="J70" s="584">
        <f>IF(J67&gt;0,J69-E75,0)</f>
        <v>0</v>
      </c>
      <c r="K70" s="16"/>
    </row>
    <row r="71" spans="2:11" ht="15.75">
      <c r="B71" s="233" t="s">
        <v>42</v>
      </c>
      <c r="C71" s="369">
        <f>SUM(C62:C69)</f>
        <v>0</v>
      </c>
      <c r="D71" s="369">
        <f>SUM(D62:D69)</f>
        <v>0</v>
      </c>
      <c r="E71" s="234">
        <f>SUM(E62:E69)</f>
        <v>0</v>
      </c>
      <c r="F71" s="16"/>
      <c r="G71" s="16"/>
      <c r="H71" s="16"/>
      <c r="I71" s="16"/>
      <c r="J71" s="598"/>
      <c r="K71" s="16"/>
    </row>
    <row r="72" spans="2:11" ht="15.75">
      <c r="B72" s="119" t="s">
        <v>126</v>
      </c>
      <c r="C72" s="370">
        <f>C60-C71</f>
        <v>0</v>
      </c>
      <c r="D72" s="370">
        <f>D60-D71</f>
        <v>0</v>
      </c>
      <c r="E72" s="128" t="s">
        <v>28</v>
      </c>
      <c r="F72" s="16"/>
      <c r="G72" s="686" t="str">
        <f>CONCATENATE("Projected Carryover Into ",E3+1,"")</f>
        <v>Projected Carryover Into 2014</v>
      </c>
      <c r="H72" s="705"/>
      <c r="I72" s="705"/>
      <c r="J72" s="704"/>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2">
        <f>IF(E71/0.95-E71&lt;E74,"Exceeds 5%","")</f>
      </c>
      <c r="G74" s="490">
        <f>D72</f>
        <v>0</v>
      </c>
      <c r="H74" s="489" t="str">
        <f>CONCATENATE("",E3-1," Ending Cash Balance (est.)")</f>
        <v>2012 Ending Cash Balance (est.)</v>
      </c>
      <c r="I74" s="585"/>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5"/>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5"/>
      <c r="J76" s="484"/>
      <c r="K76" s="586">
        <f>IF(G76=E78,"","Note: Does not include Delinquent Taxes")</f>
      </c>
    </row>
    <row r="77" spans="2:11" ht="15.75">
      <c r="B77" s="155"/>
      <c r="C77" s="492" t="s">
        <v>662</v>
      </c>
      <c r="D77" s="597">
        <f>inputOth!$E$35</f>
        <v>0</v>
      </c>
      <c r="E77" s="45">
        <f>ROUND(IF(D77&gt;0,(E76*D77),0),0)</f>
        <v>0</v>
      </c>
      <c r="G77" s="606">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7"/>
      <c r="H78" s="496"/>
      <c r="I78" s="69"/>
      <c r="J78" s="484"/>
      <c r="K78" s="16"/>
    </row>
    <row r="79" spans="2:11" ht="15.75">
      <c r="B79" s="18"/>
      <c r="C79" s="156"/>
      <c r="D79" s="156"/>
      <c r="E79" s="156"/>
      <c r="F79" s="16"/>
      <c r="G79" s="608">
        <f>ROUND(C71*0.05+C71,0)</f>
        <v>0</v>
      </c>
      <c r="H79" s="496" t="str">
        <f>CONCATENATE("Less ",E3-2," Expenditures + 5%")</f>
        <v>Less 2011 Expenditures + 5%</v>
      </c>
      <c r="I79" s="484"/>
      <c r="J79" s="484"/>
      <c r="K79" s="16"/>
    </row>
    <row r="80" spans="2:11" ht="15.75">
      <c r="B80" s="138" t="s">
        <v>44</v>
      </c>
      <c r="C80" s="252"/>
      <c r="D80" s="18"/>
      <c r="E80" s="18"/>
      <c r="F80" s="16"/>
      <c r="G80" s="609">
        <f>G77-G79</f>
        <v>0</v>
      </c>
      <c r="H80" s="497" t="str">
        <f>CONCATENATE("Projected ",E3+1," carryover (est.)")</f>
        <v>Projected 2014 carryover (est.)</v>
      </c>
      <c r="I80" s="478"/>
      <c r="J80" s="605"/>
      <c r="K80" s="16"/>
    </row>
    <row r="81" spans="6:11" ht="15.75">
      <c r="F81" s="16"/>
      <c r="G81" s="598"/>
      <c r="H81" s="598"/>
      <c r="I81" s="598"/>
      <c r="J81" s="16"/>
      <c r="K81" s="16"/>
    </row>
    <row r="82" spans="6:11" ht="15.75">
      <c r="F82" s="16"/>
      <c r="G82" s="677" t="s">
        <v>733</v>
      </c>
      <c r="H82" s="678"/>
      <c r="I82" s="678"/>
      <c r="J82" s="679"/>
      <c r="K82" s="16"/>
    </row>
    <row r="83" spans="6:11" ht="15.75">
      <c r="F83" s="16"/>
      <c r="G83" s="589"/>
      <c r="H83" s="489"/>
      <c r="I83" s="570"/>
      <c r="J83" s="590"/>
      <c r="K83" s="16"/>
    </row>
    <row r="84" spans="6:11" ht="15.75">
      <c r="F84" s="16"/>
      <c r="G84" s="591" t="str">
        <f>summ!H19</f>
        <v> </v>
      </c>
      <c r="H84" s="489" t="str">
        <f>CONCATENATE("",E3," Fund Mill Rate")</f>
        <v>2013 Fund Mill Rate</v>
      </c>
      <c r="I84" s="570"/>
      <c r="J84" s="590"/>
      <c r="K84" s="16"/>
    </row>
    <row r="85" spans="6:11" ht="15.75">
      <c r="F85" s="16"/>
      <c r="G85" s="593" t="str">
        <f>summ!E19</f>
        <v>  </v>
      </c>
      <c r="H85" s="489" t="str">
        <f>CONCATENATE("",E3-1," Fund Mill Rate")</f>
        <v>2012 Fund Mill Rate</v>
      </c>
      <c r="I85" s="570"/>
      <c r="J85" s="590"/>
      <c r="K85" s="16"/>
    </row>
    <row r="86" spans="6:11" ht="15.75" customHeight="1">
      <c r="F86" s="16"/>
      <c r="G86" s="594">
        <f>summ!H23</f>
        <v>1.976</v>
      </c>
      <c r="H86" s="489" t="str">
        <f>CONCATENATE("Total ",E3," Mill Rate")</f>
        <v>Total 2013 Mill Rate</v>
      </c>
      <c r="I86" s="570"/>
      <c r="J86" s="590"/>
      <c r="K86" s="16"/>
    </row>
    <row r="87" spans="3:11" ht="19.5" customHeight="1">
      <c r="C87" s="95">
        <f>IF(C33&gt;C35,"See Tab A","")</f>
      </c>
      <c r="D87" s="95">
        <f>IF(D33&gt;D35,"See Tab C","")</f>
      </c>
      <c r="F87" s="16"/>
      <c r="G87" s="593">
        <f>summ!E23</f>
        <v>1.975</v>
      </c>
      <c r="H87" s="595" t="str">
        <f>CONCATENATE("Total ",E2-1," Mill Rate")</f>
        <v>Total -1 Mill Rate</v>
      </c>
      <c r="I87" s="596"/>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3"/>
      <c r="H91" s="572"/>
      <c r="I91" s="618"/>
      <c r="J91" s="614"/>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Andale Library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706">
        <f>inputPrYr!B30</f>
        <v>0</v>
      </c>
      <c r="B5" s="707"/>
      <c r="C5" s="706">
        <f>inputPrYr!B31</f>
        <v>0</v>
      </c>
      <c r="D5" s="707"/>
      <c r="E5" s="706">
        <f>inputPrYr!B32</f>
        <v>0</v>
      </c>
      <c r="F5" s="707"/>
      <c r="G5" s="706">
        <f>inputPrYr!B33</f>
        <v>0</v>
      </c>
      <c r="H5" s="707"/>
      <c r="I5" s="706">
        <f>inputPrYr!B34</f>
        <v>0</v>
      </c>
      <c r="J5" s="707"/>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Andale Library</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2013 Neighborhood Revitalization Rebate</v>
      </c>
      <c r="C4" s="710"/>
      <c r="D4" s="710"/>
      <c r="E4" s="699"/>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14554289</v>
      </c>
      <c r="E16" s="18"/>
      <c r="F16" s="52"/>
    </row>
    <row r="17" spans="1:6" ht="15.75">
      <c r="A17" s="18"/>
      <c r="B17" s="18"/>
      <c r="C17" s="18"/>
      <c r="D17" s="18"/>
      <c r="E17" s="18"/>
      <c r="F17" s="52"/>
    </row>
    <row r="18" spans="1:6" ht="15.75">
      <c r="A18" s="18"/>
      <c r="B18" s="711" t="s">
        <v>319</v>
      </c>
      <c r="C18" s="711"/>
      <c r="D18" s="309">
        <f>IF(D16&gt;0,(D16*0.001),"")</f>
        <v>14554.289</v>
      </c>
      <c r="E18" s="18"/>
      <c r="F18" s="52"/>
    </row>
    <row r="19" spans="1:6" ht="15.75">
      <c r="A19" s="18"/>
      <c r="B19" s="138"/>
      <c r="C19" s="138"/>
      <c r="D19" s="310"/>
      <c r="E19" s="18"/>
      <c r="F19" s="52"/>
    </row>
    <row r="20" spans="1:6" ht="15.75">
      <c r="A20" s="708" t="s">
        <v>317</v>
      </c>
      <c r="B20" s="699"/>
      <c r="C20" s="699"/>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5.75">
      <c r="B2" s="6"/>
      <c r="C2"/>
      <c r="D2"/>
      <c r="E2"/>
      <c r="F2"/>
      <c r="G2"/>
      <c r="H2"/>
    </row>
    <row r="3" spans="2:8" ht="15.75">
      <c r="B3" s="721" t="s">
        <v>137</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Andale Library District with respect to financing the 2013 annual budget for Andale Library , Sedgwick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Andale Library district budget exceed the amount levied to finance the</v>
      </c>
      <c r="C9"/>
      <c r="D9"/>
      <c r="E9"/>
      <c r="F9"/>
      <c r="G9"/>
      <c r="H9"/>
    </row>
    <row r="10" spans="2:8" ht="15.75">
      <c r="B10" s="12" t="str">
        <f>CONCATENATE("",inputPrYr!D6-1," ",inputPrYr!D3," except with regard to revenue produced and attributable to the")</f>
        <v>2012 Andale Library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Andale Library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Andale Library that is our desire to notify the public of the possibility of increased property taxes to finance the 2013 Andale Library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2012 by the Andale Library District Board, Sedgwick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Andale Library District Board</v>
      </c>
      <c r="C31"/>
      <c r="D31"/>
      <c r="E31"/>
      <c r="F31"/>
      <c r="G31"/>
      <c r="H31"/>
    </row>
    <row r="32" spans="2:8" ht="15.75">
      <c r="B32" s="8"/>
      <c r="C32"/>
      <c r="D32"/>
      <c r="E32"/>
      <c r="F32"/>
      <c r="G32"/>
      <c r="H32"/>
    </row>
    <row r="33" spans="2:8" ht="15.75">
      <c r="B33"/>
      <c r="C33"/>
      <c r="D33"/>
      <c r="E33" s="719" t="s">
        <v>138</v>
      </c>
      <c r="F33" s="719"/>
      <c r="G33" s="719"/>
      <c r="H33" s="719"/>
    </row>
    <row r="34" spans="2:8" ht="15.75">
      <c r="B34"/>
      <c r="C34"/>
      <c r="D34"/>
      <c r="E34" s="719" t="s">
        <v>141</v>
      </c>
      <c r="F34" s="719"/>
      <c r="G34" s="719"/>
      <c r="H34" s="719"/>
    </row>
    <row r="35" spans="2:8" ht="15.75">
      <c r="B35" s="8"/>
      <c r="C35"/>
      <c r="D35"/>
      <c r="E35" s="719"/>
      <c r="F35" s="719"/>
      <c r="G35" s="719"/>
      <c r="H35" s="719"/>
    </row>
    <row r="36" spans="2:8" ht="15.75">
      <c r="B36"/>
      <c r="C36"/>
      <c r="D36"/>
      <c r="E36" s="719" t="s">
        <v>138</v>
      </c>
      <c r="F36" s="719"/>
      <c r="G36" s="719"/>
      <c r="H36" s="719"/>
    </row>
    <row r="37" spans="2:8" ht="15.75">
      <c r="B37"/>
      <c r="C37"/>
      <c r="D37"/>
      <c r="E37" s="719" t="s">
        <v>142</v>
      </c>
      <c r="F37" s="719"/>
      <c r="G37" s="719"/>
      <c r="H37" s="719"/>
    </row>
    <row r="38" spans="2:8" ht="15.75">
      <c r="B38" s="8"/>
      <c r="C38"/>
      <c r="D38"/>
      <c r="E38" s="719"/>
      <c r="F38" s="719"/>
      <c r="G38" s="719"/>
      <c r="H38" s="719"/>
    </row>
    <row r="39" spans="2:8" ht="15.75">
      <c r="B39"/>
      <c r="C39"/>
      <c r="D39"/>
      <c r="E39" s="719" t="s">
        <v>138</v>
      </c>
      <c r="F39" s="719"/>
      <c r="G39" s="719"/>
      <c r="H39" s="719"/>
    </row>
    <row r="40" spans="2:8" ht="15.75">
      <c r="B40"/>
      <c r="C40"/>
      <c r="D40"/>
      <c r="E40" s="719" t="s">
        <v>143</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B27" sqref="B27"/>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0"/>
      <c r="D19" s="35">
        <v>49260</v>
      </c>
      <c r="E19" s="35">
        <v>28163</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28163</v>
      </c>
    </row>
    <row r="25" spans="1:5" ht="15.75">
      <c r="A25" s="43" t="s">
        <v>12</v>
      </c>
      <c r="B25" s="18"/>
      <c r="C25" s="18"/>
      <c r="D25" s="18"/>
      <c r="E25" s="18"/>
    </row>
    <row r="26" spans="1:5" ht="15.75">
      <c r="A26" s="18"/>
      <c r="B26" s="34" t="s">
        <v>810</v>
      </c>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49260</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1.936</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1.936</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27266</v>
      </c>
    </row>
    <row r="45" spans="1:5" ht="15.75">
      <c r="A45" s="49" t="str">
        <f>CONCATENATE("Assessed Valuation (",D6-2," budget column)")</f>
        <v>Assessed Valuation (2011 budget column)</v>
      </c>
      <c r="B45" s="27"/>
      <c r="C45" s="18"/>
      <c r="D45" s="18"/>
      <c r="E45" s="51">
        <v>14082961</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5" t="s">
        <v>736</v>
      </c>
    </row>
    <row r="3" ht="15.75">
      <c r="A3" s="615"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Andale Library</v>
      </c>
      <c r="B1" s="60"/>
      <c r="C1" s="60"/>
      <c r="D1" s="60"/>
      <c r="E1" s="60">
        <f>inputPrYr!D6</f>
        <v>2013</v>
      </c>
    </row>
    <row r="2" spans="1:5" ht="15.75">
      <c r="A2" s="60" t="str">
        <f>inputPrYr!D4</f>
        <v>Sedgwick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14554289</v>
      </c>
    </row>
    <row r="8" spans="1:5" ht="15.75">
      <c r="A8" s="66" t="str">
        <f>CONCATENATE("New Improvements for ",inputPrYr!D6-1,"")</f>
        <v>New Improvements for 2012</v>
      </c>
      <c r="B8" s="67"/>
      <c r="C8" s="67"/>
      <c r="D8" s="67"/>
      <c r="E8" s="68">
        <v>461739</v>
      </c>
    </row>
    <row r="9" spans="1:5" ht="15.75">
      <c r="A9" s="66" t="str">
        <f>CONCATENATE("Personal Property excluding oil, gas, and mobile homes- ",inputPrYr!D6-1,"")</f>
        <v>Personal Property excluding oil, gas, and mobile homes- 2012</v>
      </c>
      <c r="B9" s="67"/>
      <c r="C9" s="67"/>
      <c r="D9" s="67"/>
      <c r="E9" s="68">
        <v>545396</v>
      </c>
    </row>
    <row r="10" spans="1:5" ht="15.75">
      <c r="A10" s="66" t="str">
        <f>CONCATENATE("Property that has changed in use for ",inputPrYr!D6-1,"")</f>
        <v>Property that has changed in use for 2012</v>
      </c>
      <c r="B10" s="67"/>
      <c r="C10" s="67"/>
      <c r="D10" s="67"/>
      <c r="E10" s="68">
        <v>152892</v>
      </c>
    </row>
    <row r="11" spans="1:5" ht="15.75">
      <c r="A11" s="65" t="str">
        <f>CONCATENATE("Personal Property excluding oil, gas, and mobile homes- ",inputPrYr!D6-2,"")</f>
        <v>Personal Property excluding oil, gas, and mobile homes- 2011</v>
      </c>
      <c r="B11" s="40"/>
      <c r="C11" s="40"/>
      <c r="D11" s="40"/>
      <c r="E11" s="68">
        <v>644224</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1.975</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1.975</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14257207</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4261</v>
      </c>
    </row>
    <row r="28" spans="1:5" ht="15.75">
      <c r="A28" s="66" t="s">
        <v>15</v>
      </c>
      <c r="B28" s="67"/>
      <c r="C28" s="67"/>
      <c r="D28" s="84"/>
      <c r="E28" s="35">
        <v>64</v>
      </c>
    </row>
    <row r="29" spans="1:5" ht="15.75">
      <c r="A29" s="66" t="s">
        <v>171</v>
      </c>
      <c r="B29" s="67"/>
      <c r="C29" s="67"/>
      <c r="D29" s="84"/>
      <c r="E29" s="35">
        <v>117</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630">
        <v>0.0049</v>
      </c>
    </row>
    <row r="35" spans="1:5" ht="15.75">
      <c r="A35" s="66" t="s">
        <v>708</v>
      </c>
      <c r="B35" s="86"/>
      <c r="C35" s="69"/>
      <c r="D35" s="69"/>
      <c r="E35" s="536">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44173</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t="str">
        <f>inputPrYr!B26</f>
        <v>Capital Improvement</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39" t="s">
        <v>712</v>
      </c>
    </row>
    <row r="2" spans="1:10" ht="54" customHeight="1">
      <c r="A2" s="651" t="s">
        <v>320</v>
      </c>
      <c r="B2" s="652"/>
      <c r="C2" s="652"/>
      <c r="D2" s="652"/>
      <c r="E2" s="652"/>
      <c r="F2" s="652"/>
      <c r="J2" s="539" t="s">
        <v>713</v>
      </c>
    </row>
    <row r="3" spans="1:10" ht="15.75">
      <c r="A3" s="537" t="s">
        <v>710</v>
      </c>
      <c r="B3" s="538" t="s">
        <v>812</v>
      </c>
      <c r="C3" s="538"/>
      <c r="J3" s="539" t="s">
        <v>714</v>
      </c>
    </row>
    <row r="4" spans="1:10" ht="15.75">
      <c r="A4" s="340"/>
      <c r="B4" s="340"/>
      <c r="C4" s="340"/>
      <c r="D4" s="341"/>
      <c r="E4" s="340"/>
      <c r="F4" s="340"/>
      <c r="J4" s="539" t="s">
        <v>715</v>
      </c>
    </row>
    <row r="5" spans="1:10" ht="15.75">
      <c r="A5" s="537" t="s">
        <v>711</v>
      </c>
      <c r="B5" s="538" t="s">
        <v>813</v>
      </c>
      <c r="C5" s="340"/>
      <c r="D5" s="341"/>
      <c r="E5" s="340"/>
      <c r="F5" s="340"/>
      <c r="J5" s="539" t="s">
        <v>716</v>
      </c>
    </row>
    <row r="6" spans="1:10" ht="15.75">
      <c r="A6" s="340"/>
      <c r="B6" s="340"/>
      <c r="C6" s="340"/>
      <c r="D6" s="341"/>
      <c r="E6" s="340"/>
      <c r="F6" s="340"/>
      <c r="J6" s="539" t="s">
        <v>717</v>
      </c>
    </row>
    <row r="7" spans="1:10" ht="15.75">
      <c r="A7" s="342" t="s">
        <v>321</v>
      </c>
      <c r="B7" s="343" t="s">
        <v>814</v>
      </c>
      <c r="C7" s="344"/>
      <c r="D7" s="342" t="s">
        <v>709</v>
      </c>
      <c r="E7" s="340"/>
      <c r="F7" s="340"/>
      <c r="J7" s="539" t="s">
        <v>718</v>
      </c>
    </row>
    <row r="8" spans="1:10" ht="15.75">
      <c r="A8" s="342"/>
      <c r="B8" s="345"/>
      <c r="C8" s="346"/>
      <c r="D8" s="540" t="e">
        <f>IF(B7="","",CONCATENATE("Latest date for notice to be published in your newspaper: ",G18," ",G22,", ",G23))</f>
        <v>#VALUE!</v>
      </c>
      <c r="E8" s="340"/>
      <c r="F8" s="340"/>
      <c r="J8" s="539" t="s">
        <v>719</v>
      </c>
    </row>
    <row r="9" spans="1:10" ht="15.75">
      <c r="A9" s="342" t="s">
        <v>322</v>
      </c>
      <c r="B9" s="343" t="s">
        <v>815</v>
      </c>
      <c r="C9" s="347"/>
      <c r="D9" s="342"/>
      <c r="E9" s="340"/>
      <c r="F9" s="340"/>
      <c r="J9" s="539" t="s">
        <v>720</v>
      </c>
    </row>
    <row r="10" spans="1:10" ht="15.75">
      <c r="A10" s="342"/>
      <c r="B10" s="342"/>
      <c r="C10" s="342"/>
      <c r="D10" s="342"/>
      <c r="E10" s="340"/>
      <c r="F10" s="340"/>
      <c r="J10" s="539" t="s">
        <v>721</v>
      </c>
    </row>
    <row r="11" spans="1:10" ht="15.75">
      <c r="A11" s="342" t="s">
        <v>323</v>
      </c>
      <c r="B11" s="348" t="s">
        <v>816</v>
      </c>
      <c r="C11" s="348"/>
      <c r="D11" s="348"/>
      <c r="E11" s="349"/>
      <c r="F11" s="340"/>
      <c r="J11" s="539" t="s">
        <v>722</v>
      </c>
    </row>
    <row r="12" spans="1:10" ht="15.75">
      <c r="A12" s="342"/>
      <c r="B12" s="342"/>
      <c r="C12" s="342"/>
      <c r="D12" s="342"/>
      <c r="E12" s="340"/>
      <c r="F12" s="340"/>
      <c r="J12" s="539" t="s">
        <v>723</v>
      </c>
    </row>
    <row r="13" spans="1:6" ht="15.75">
      <c r="A13" s="342"/>
      <c r="B13" s="342"/>
      <c r="C13" s="342"/>
      <c r="D13" s="342"/>
      <c r="E13" s="340"/>
      <c r="F13" s="340"/>
    </row>
    <row r="14" spans="1:6" ht="15.75">
      <c r="A14" s="342" t="s">
        <v>324</v>
      </c>
      <c r="B14" s="348" t="s">
        <v>817</v>
      </c>
      <c r="C14" s="348"/>
      <c r="D14" s="348"/>
      <c r="E14" s="349"/>
      <c r="F14" s="340"/>
    </row>
    <row r="17" spans="1:6" ht="15.75">
      <c r="A17" s="653" t="s">
        <v>325</v>
      </c>
      <c r="B17" s="653"/>
      <c r="C17" s="342"/>
      <c r="D17" s="342"/>
      <c r="E17" s="342"/>
      <c r="F17" s="340"/>
    </row>
    <row r="18" spans="1:7" ht="15.75">
      <c r="A18" s="342"/>
      <c r="B18" s="342"/>
      <c r="C18" s="342"/>
      <c r="D18" s="342"/>
      <c r="E18" s="342"/>
      <c r="F18" s="340"/>
      <c r="G18" s="539" t="e">
        <f ca="1">IF(B7="","",INDIRECT(G19))</f>
        <v>#VALUE!</v>
      </c>
    </row>
    <row r="19" spans="1:7" ht="15.75">
      <c r="A19" s="342" t="s">
        <v>321</v>
      </c>
      <c r="B19" s="345" t="s">
        <v>326</v>
      </c>
      <c r="C19" s="342"/>
      <c r="D19" s="342"/>
      <c r="E19" s="342"/>
      <c r="G19" s="541" t="e">
        <f>IF(B7="","",CONCATENATE("J",G21))</f>
        <v>#VALUE!</v>
      </c>
    </row>
    <row r="20" spans="1:7" ht="15.75">
      <c r="A20" s="342"/>
      <c r="B20" s="342"/>
      <c r="C20" s="342"/>
      <c r="D20" s="342"/>
      <c r="E20" s="342"/>
      <c r="G20" s="542" t="e">
        <f>B7-10</f>
        <v>#VALUE!</v>
      </c>
    </row>
    <row r="21" spans="1:7" ht="15.75">
      <c r="A21" s="342" t="s">
        <v>322</v>
      </c>
      <c r="B21" s="342" t="s">
        <v>327</v>
      </c>
      <c r="C21" s="342"/>
      <c r="D21" s="342"/>
      <c r="E21" s="342"/>
      <c r="G21" s="543" t="e">
        <f>IF(B7="","",MONTH(G20))</f>
        <v>#VALUE!</v>
      </c>
    </row>
    <row r="22" spans="1:7" ht="15.75">
      <c r="A22" s="342"/>
      <c r="B22" s="342"/>
      <c r="C22" s="342"/>
      <c r="D22" s="342"/>
      <c r="E22" s="342"/>
      <c r="G22" s="544" t="e">
        <f>IF(B7="","",DAY(G20))</f>
        <v>#VALUE!</v>
      </c>
    </row>
    <row r="23" spans="1:7" ht="15.75">
      <c r="A23" s="342" t="s">
        <v>323</v>
      </c>
      <c r="B23" s="342" t="s">
        <v>329</v>
      </c>
      <c r="C23" s="342"/>
      <c r="D23" s="342"/>
      <c r="E23" s="342"/>
      <c r="G23" s="545" t="e">
        <f>IF(B7="","",YEAR(G20))</f>
        <v>#VALUE!</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2013</v>
      </c>
    </row>
    <row r="4" spans="1:7" ht="15.75">
      <c r="A4" s="656" t="str">
        <f>CONCATENATE("To the Clerk of ",inputPrYr!D4,", State of Kansas")</f>
        <v>To the Clerk of Sedgwick County, State of Kansas</v>
      </c>
      <c r="B4" s="656"/>
      <c r="C4" s="656"/>
      <c r="D4" s="656"/>
      <c r="E4" s="656"/>
      <c r="F4" s="656"/>
      <c r="G4" s="656"/>
    </row>
    <row r="5" spans="1:7" ht="15.75">
      <c r="A5" s="97" t="s">
        <v>156</v>
      </c>
      <c r="B5" s="24"/>
      <c r="C5" s="24"/>
      <c r="D5" s="24"/>
      <c r="E5" s="24"/>
      <c r="F5" s="24"/>
      <c r="G5" s="24"/>
    </row>
    <row r="6" spans="1:7" ht="15.75">
      <c r="A6" s="638" t="str">
        <f>inputPrYr!D3</f>
        <v>Andale Library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2013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2012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47555</v>
      </c>
      <c r="F23" s="558">
        <f>IF(gen!$E$68&lt;&gt;0,gen!$E$68,"  ")</f>
        <v>28755</v>
      </c>
      <c r="G23" s="559"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Capital Improvement</v>
      </c>
      <c r="B27" s="67"/>
      <c r="C27" s="122"/>
      <c r="D27" s="120" t="str">
        <f>IF('Cap Improve'!C70&gt;0,'Cap Improve'!C70," ")</f>
        <v> </v>
      </c>
      <c r="E27" s="243">
        <f>IF('Cap Improve'!$E$31&lt;&gt;0,'Cap Improve'!$E$31,"  ")</f>
        <v>10000</v>
      </c>
      <c r="F27" s="560"/>
      <c r="G27" s="559"/>
    </row>
    <row r="28" spans="1:7" ht="15.75">
      <c r="A28" s="124" t="str">
        <f>IF(inputPrYr!$B$27&gt;"  ",inputPrYr!$B$27,"  ")</f>
        <v>  </v>
      </c>
      <c r="B28" s="125"/>
      <c r="C28" s="122"/>
      <c r="D28" s="120" t="str">
        <f>IF('Cap Improve'!C70&gt;0,'Cap Improve'!C70," ")</f>
        <v> </v>
      </c>
      <c r="E28" s="243" t="str">
        <f>IF('Cap Improve'!$E$64&lt;&gt;0,'Cap Improve'!$E$64,"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57555</v>
      </c>
      <c r="F30" s="565">
        <f>SUM(F23:F28)</f>
        <v>28755</v>
      </c>
      <c r="G30" s="566">
        <f>IF(SUM(G23:G28)=0,"",SUM(G23:G28))</f>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1" t="str">
        <f>CONCATENATE("Nov. 1, ",G3," Total Assessed Valuation")</f>
        <v>Nov. 1, 2013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3"/>
      <c r="F38" s="69"/>
      <c r="G38" s="69"/>
    </row>
    <row r="39" spans="1:7" ht="15.75">
      <c r="A39" s="521"/>
      <c r="B39" s="521"/>
      <c r="C39" s="69"/>
      <c r="D39" s="69" t="s">
        <v>730</v>
      </c>
      <c r="E39" s="554"/>
      <c r="F39" s="554"/>
      <c r="G39" s="69"/>
    </row>
    <row r="40" spans="1:7" ht="15.75">
      <c r="A40" s="522"/>
      <c r="B40" s="522"/>
      <c r="C40" s="52"/>
      <c r="D40" s="69"/>
      <c r="E40" s="554"/>
      <c r="F40" s="554"/>
      <c r="G40" s="69"/>
    </row>
    <row r="41" spans="1:7" ht="15.75">
      <c r="A41" s="20" t="s">
        <v>729</v>
      </c>
      <c r="B41" s="69"/>
      <c r="C41" s="18"/>
      <c r="D41" s="69" t="s">
        <v>730</v>
      </c>
      <c r="E41" s="555"/>
      <c r="F41" s="69"/>
      <c r="G41" s="69"/>
    </row>
    <row r="42" spans="1:7" ht="15.75">
      <c r="A42" s="522"/>
      <c r="B42" s="522"/>
      <c r="C42" s="17"/>
      <c r="D42" s="21"/>
      <c r="E42" s="141"/>
      <c r="F42" s="69"/>
      <c r="G42" s="69"/>
    </row>
    <row r="43" spans="1:7" ht="15.75">
      <c r="A43" s="20"/>
      <c r="B43" s="69"/>
      <c r="C43" s="69"/>
      <c r="D43" s="69" t="s">
        <v>730</v>
      </c>
      <c r="E43" s="141"/>
      <c r="F43" s="556"/>
      <c r="G43" s="556"/>
    </row>
    <row r="44" spans="1:7" ht="15.75">
      <c r="A44" s="20"/>
      <c r="B44" s="100"/>
      <c r="C44" s="69"/>
      <c r="D44" s="141"/>
      <c r="E44" s="141"/>
      <c r="F44" s="141"/>
      <c r="G44" s="141"/>
    </row>
    <row r="45" spans="1:7" ht="15.75">
      <c r="A45" s="20"/>
      <c r="B45" s="69"/>
      <c r="C45" s="69"/>
      <c r="D45" s="69" t="s">
        <v>730</v>
      </c>
      <c r="E45" s="141"/>
      <c r="F45" s="556"/>
      <c r="G45" s="556"/>
    </row>
    <row r="46" spans="1:7" ht="15.75">
      <c r="A46" s="69"/>
      <c r="B46" s="69"/>
      <c r="C46" s="69"/>
      <c r="D46" s="141"/>
      <c r="E46" s="141"/>
      <c r="F46" s="141"/>
      <c r="G46" s="141"/>
    </row>
    <row r="47" spans="1:7" ht="15.75">
      <c r="A47" s="17" t="s">
        <v>197</v>
      </c>
      <c r="B47" s="18"/>
      <c r="C47" s="17">
        <f>G3-1</f>
        <v>2012</v>
      </c>
      <c r="D47" s="69" t="s">
        <v>730</v>
      </c>
      <c r="E47" s="69"/>
      <c r="F47" s="556"/>
      <c r="G47" s="556"/>
    </row>
    <row r="48" spans="1:7" ht="15.75">
      <c r="A48" s="141"/>
      <c r="B48" s="69"/>
      <c r="C48" s="17"/>
      <c r="D48" s="69"/>
      <c r="E48" s="69"/>
      <c r="F48" s="557"/>
      <c r="G48" s="557"/>
    </row>
    <row r="49" spans="1:7" ht="15.75">
      <c r="A49" s="663"/>
      <c r="B49" s="664"/>
      <c r="C49" s="18"/>
      <c r="D49" s="69" t="s">
        <v>730</v>
      </c>
      <c r="E49" s="69"/>
      <c r="F49" s="69"/>
      <c r="G49" s="69"/>
    </row>
    <row r="50" spans="1:7" ht="15.7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Andale Library</v>
      </c>
      <c r="D1" s="18"/>
      <c r="E1" s="18"/>
      <c r="F1" s="18"/>
      <c r="G1" s="18"/>
      <c r="H1" s="18"/>
      <c r="I1" s="18"/>
      <c r="J1" s="18">
        <f>inputPrYr!D6</f>
        <v>2013</v>
      </c>
    </row>
    <row r="2" spans="1:10" ht="15.75" customHeight="1">
      <c r="A2" s="18"/>
      <c r="B2" s="18"/>
      <c r="C2" s="18" t="str">
        <f>inputPrYr!D4</f>
        <v>Sedgwick County</v>
      </c>
      <c r="D2" s="18"/>
      <c r="E2" s="18"/>
      <c r="F2" s="18"/>
      <c r="G2" s="18"/>
      <c r="H2" s="18"/>
      <c r="I2" s="18"/>
      <c r="J2" s="18"/>
    </row>
    <row r="3" spans="1:10" ht="15.75">
      <c r="A3" s="640" t="str">
        <f>CONCATENATE("Computation to Determine Limit for ",J1,"")</f>
        <v>Computation to Determine Limit for 2013</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28163</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28163</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461739</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545396</v>
      </c>
      <c r="F14" s="146"/>
      <c r="G14" s="37"/>
      <c r="H14" s="37"/>
      <c r="I14" s="149"/>
      <c r="J14" s="37"/>
    </row>
    <row r="15" spans="1:10" ht="15.75">
      <c r="A15" s="145"/>
      <c r="B15" s="18" t="s">
        <v>99</v>
      </c>
      <c r="C15" s="18" t="str">
        <f>CONCATENATE("Personal Property ",J1-2,"")</f>
        <v>Personal Property 2011</v>
      </c>
      <c r="D15" s="145" t="s">
        <v>95</v>
      </c>
      <c r="E15" s="41">
        <f>inputOth!E11</f>
        <v>644224</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152892</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614631</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14554289</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13939658</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0.044092258217525854</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1242</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29405</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29405</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Andale Library</v>
      </c>
      <c r="C1" s="18"/>
      <c r="D1" s="18"/>
      <c r="E1" s="18"/>
      <c r="F1" s="18"/>
      <c r="G1" s="18"/>
      <c r="H1" s="18"/>
      <c r="I1" s="155"/>
      <c r="J1" s="18"/>
    </row>
    <row r="2" spans="1:10" ht="15.75">
      <c r="A2" s="18"/>
      <c r="B2" s="18" t="str">
        <f>inputPrYr!D4</f>
        <v>Sedgwick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28163</v>
      </c>
      <c r="D11" s="123">
        <f>IF(E17=0,0,E17-D12-D13-D14)</f>
        <v>4261</v>
      </c>
      <c r="E11" s="123">
        <f>IF(E19=0,0,E19-E12-E13-E14)</f>
        <v>64</v>
      </c>
      <c r="F11" s="123">
        <f>IF(E21=0,0,E21-F12-F13-F14)</f>
        <v>117</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28163</v>
      </c>
      <c r="D15" s="130">
        <f>SUM(D11:D14)</f>
        <v>4261</v>
      </c>
      <c r="E15" s="130">
        <f>SUM(E11:E14)</f>
        <v>64</v>
      </c>
      <c r="F15" s="203">
        <f>SUM(F11:F14)</f>
        <v>117</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4261</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64</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117</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0.15129780208074423</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0.0022724851755849874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0.004154386961616305</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Andale Library</v>
      </c>
      <c r="B2" s="165"/>
      <c r="C2" s="18"/>
      <c r="D2" s="18"/>
      <c r="E2" s="155"/>
      <c r="F2" s="18"/>
    </row>
    <row r="3" spans="1:6" ht="15.75">
      <c r="A3" s="165" t="str">
        <f>inputPrYr!D4</f>
        <v>Sedgwick County</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lleggett</cp:lastModifiedBy>
  <cp:lastPrinted>2012-07-24T17:00:46Z</cp:lastPrinted>
  <dcterms:created xsi:type="dcterms:W3CDTF">1999-08-06T13:59:57Z</dcterms:created>
  <dcterms:modified xsi:type="dcterms:W3CDTF">2012-07-24T17:06:00Z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