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<sst xmlns="http://schemas.openxmlformats.org/spreadsheetml/2006/main" count="1173" uniqueCount="793">
  <si>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</si>
  <si>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</si>
  <si>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</si>
  <si>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</si>
  <si>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</si>
  <si>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</si>
  <si>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</si>
  <si>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</si>
  <si>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</si>
  <si>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</si>
  <si>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</si>
  <si>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</si>
  <si>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</si>
  <si>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</si>
  <si>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</si>
  <si>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</si>
  <si>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</si>
  <si>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</si>
  <si>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</si>
  <si>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</si>
  <si>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</si>
  <si>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</si>
  <si>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</si>
  <si>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</si>
  <si>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</si>
  <si>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</si>
  <si>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</si>
  <si>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</si>
  <si>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</si>
  <si>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</si>
  <si>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</si>
  <si>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</si>
  <si>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</si>
  <si>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</si>
  <si>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</si>
  <si>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</si>
  <si>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</si>
  <si>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</si>
  <si>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</si>
  <si>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</si>
  <si>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</si>
  <si>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</si>
  <si>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</si>
  <si>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</si>
  <si>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</si>
  <si>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</si>
  <si>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</si>
  <si>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</si>
  <si>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</si>
  <si>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</si>
  <si>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</si>
  <si>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</si>
  <si>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</si>
  <si>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</si>
  <si>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</si>
  <si>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</si>
  <si>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</si>
  <si>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</si>
  <si>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</si>
  <si>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</si>
  <si>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</si>
  <si>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</si>
  <si>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</si>
  <si>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</si>
  <si>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</si>
  <si>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</si>
  <si>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</si>
  <si>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</si>
  <si>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</si>
  <si>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</si>
  <si>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</si>
  <si>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</si>
  <si>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</si>
  <si>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</si>
  <si>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</si>
  <si>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</si>
  <si>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</si>
  <si>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</si>
  <si>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</si>
  <si>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</si>
  <si>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</si>
  <si>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</si>
  <si>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</si>
  <si>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</si>
  <si>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</si>
  <si>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</si>
  <si>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</si>
  <si>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</si>
  <si>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</si>
  <si>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</si>
  <si>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</si>
  <si>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</si>
  <si>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</si>
  <si>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</si>
  <si>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</si>
  <si>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</si>
  <si>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</si>
  <si>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</si>
  <si>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</si>
  <si>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</si>
  <si>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</si>
  <si>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</si>
  <si>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</si>
  <si>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</si>
  <si>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</si>
  <si>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</si>
  <si>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</si>
  <si>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</si>
  <si>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</si>
  <si>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</si>
  <si>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</si>
  <si>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</si>
  <si>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</si>
  <si>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</si>
  <si>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</si>
  <si>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</si>
  <si>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</si>
  <si>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</si>
  <si>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</si>
  <si>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</si>
  <si>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</si>
  <si>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</si>
  <si>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</si>
  <si>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</si>
  <si>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</si>
  <si>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</si>
  <si>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</si>
  <si>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</si>
  <si>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</si>
  <si>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</si>
  <si>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</si>
  <si>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</si>
  <si>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</si>
  <si>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</si>
  <si>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</si>
  <si>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</si>
  <si>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</si>
  <si>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</si>
  <si>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</si>
  <si>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</si>
  <si>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</si>
  <si>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</si>
  <si>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</si>
  <si>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</si>
  <si>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</si>
  <si>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</si>
  <si>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</si>
  <si>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</si>
  <si>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</si>
  <si>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</si>
  <si>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</si>
  <si>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</si>
  <si>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</si>
  <si>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</si>
  <si>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</si>
  <si>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</si>
  <si>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</si>
  <si>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</si>
  <si>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</si>
  <si>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</si>
  <si>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</si>
  <si>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</si>
  <si>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</si>
  <si>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</si>
  <si>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</si>
  <si>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</si>
  <si>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</si>
  <si>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</si>
  <si>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</si>
  <si>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</si>
  <si>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</si>
  <si>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</si>
  <si>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</si>
  <si>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</si>
  <si>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</si>
  <si>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</si>
  <si>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</si>
  <si>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</si>
  <si>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</si>
  <si>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</si>
  <si>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</si>
  <si>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</si>
  <si>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</si>
  <si>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</si>
  <si>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</si>
  <si>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</si>
  <si>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</si>
  <si>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</si>
  <si>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</si>
  <si>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</si>
  <si>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</si>
  <si>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</si>
  <si>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</si>
  <si>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</si>
  <si>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</si>
  <si>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</si>
  <si>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</si>
  <si>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</si>
  <si>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</si>
  <si>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</si>
  <si>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</si>
  <si>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</si>
  <si>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</si>
  <si>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</si>
  <si>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</si>
  <si>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</si>
  <si>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</si>
  <si>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</si>
  <si>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</si>
  <si>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</si>
  <si>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</si>
  <si>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</si>
  <si>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</si>
  <si>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</si>
  <si>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</si>
  <si>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</si>
  <si>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</si>
  <si>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</si>
  <si>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</si>
  <si>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</si>
  <si>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</si>
  <si>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</si>
  <si>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</si>
  <si>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</si>
  <si>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</si>
  <si>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</si>
  <si>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</si>
  <si>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</si>
  <si>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</si>
  <si>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</si>
  <si>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</si>
  <si>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</si>
  <si>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</si>
  <si>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</si>
  <si>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</si>
  <si>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</si>
  <si>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</si>
  <si>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</si>
  <si>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</si>
  <si>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</si>
  <si>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</si>
  <si>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</si>
  <si>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</si>
  <si>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</si>
  <si>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</si>
  <si>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</si>
  <si>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</si>
  <si>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</si>
  <si>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</si>
  <si>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</si>
  <si>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</si>
  <si>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</si>
  <si>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</si>
  <si>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</si>
  <si>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</si>
  <si>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</si>
  <si>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</si>
  <si>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</si>
  <si>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</si>
  <si>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</si>
  <si>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</si>
  <si>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</si>
  <si>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</si>
  <si>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</si>
  <si>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</si>
  <si>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</si>
  <si>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</si>
  <si>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</si>
  <si>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</si>
  <si>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</si>
  <si>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</si>
  <si>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</si>
  <si>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</si>
  <si>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</si>
  <si>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</si>
  <si>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</si>
  <si>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</si>
  <si>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</si>
  <si>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</si>
  <si>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</si>
  <si>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</si>
  <si>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</si>
  <si>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</si>
  <si>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</si>
  <si>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</si>
  <si>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</si>
  <si>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</si>
  <si>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</si>
  <si>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</si>
  <si>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</si>
  <si>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</si>
  <si>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</si>
  <si>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</si>
  <si>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</si>
  <si>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</si>
  <si>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</si>
  <si>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</si>
  <si>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</si>
  <si>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</si>
  <si>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</si>
  <si>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</si>
  <si>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</si>
  <si>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</si>
  <si>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</si>
  <si>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</si>
  <si>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</si>
  <si>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</si>
  <si>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</si>
  <si>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</si>
  <si>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</si>
  <si>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</si>
  <si>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</si>
  <si>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</si>
  <si>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</si>
  <si>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</si>
  <si>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</si>
  <si>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</si>
  <si>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</si>
  <si>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</si>
  <si>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</si>
  <si>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</si>
  <si>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</si>
  <si>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</si>
  <si>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</si>
  <si>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</si>
  <si>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</si>
  <si>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</si>
  <si>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</si>
  <si>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</si>
  <si>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</si>
  <si>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</si>
  <si>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</si>
  <si>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</si>
  <si>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</si>
  <si>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</si>
  <si>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</si>
  <si>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</si>
  <si>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</si>
  <si>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</si>
  <si>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</si>
  <si>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</si>
  <si>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</si>
  <si>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</si>
  <si>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</si>
  <si>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</si>
  <si>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</si>
  <si>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</si>
  <si>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</si>
  <si>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</si>
  <si>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</si>
  <si>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</si>
  <si>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</si>
  <si>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</si>
  <si>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</si>
  <si>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</si>
  <si>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</si>
  <si>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</si>
  <si>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</si>
  <si>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</si>
  <si>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</si>
  <si>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</si>
  <si>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</si>
  <si>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</si>
  <si>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</si>
  <si>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</si>
  <si>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</si>
  <si>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</si>
  <si>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</si>
  <si>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</si>
  <si>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</si>
  <si>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</si>
  <si>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</si>
  <si>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</si>
  <si>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</si>
  <si>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</si>
  <si>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</si>
  <si>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</si>
  <si>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</si>
  <si>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</si>
  <si>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</si>
  <si>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</si>
  <si>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</si>
  <si>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</si>
  <si>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</si>
  <si>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</si>
  <si>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</si>
  <si>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</si>
  <si>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</si>
  <si>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</si>
  <si>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</si>
  <si>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</si>
  <si>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</si>
  <si>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</si>
  <si>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</si>
  <si>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</si>
  <si>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</si>
  <si>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</si>
  <si>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</si>
  <si>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</si>
  <si>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</si>
  <si>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</si>
  <si>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</si>
  <si>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</si>
  <si>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</si>
  <si>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</si>
  <si>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</si>
  <si>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</si>
  <si>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</si>
  <si>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</si>
  <si>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</si>
  <si>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</si>
  <si>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</si>
  <si>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</si>
  <si>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</si>
  <si>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</si>
  <si>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</si>
  <si>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</si>
  <si>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</si>
  <si>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</si>
  <si>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</si>
  <si>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</si>
  <si>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</si>
  <si>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</si>
  <si>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</si>
  <si>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</si>
  <si>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</si>
  <si>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</si>
  <si>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</si>
  <si>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</si>
  <si>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</si>
  <si>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</si>
  <si>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</si>
  <si>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</si>
  <si>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</si>
  <si>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</si>
  <si>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</si>
  <si>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</si>
  <si>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</si>
  <si>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</si>
  <si>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</si>
  <si>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</si>
  <si>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</si>
  <si>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</si>
  <si>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</si>
  <si>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</si>
  <si>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</si>
  <si>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</si>
  <si>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</si>
  <si>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</si>
  <si>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</si>
  <si>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</si>
  <si>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</si>
  <si>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</si>
  <si>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</si>
  <si>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</si>
  <si>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</si>
  <si>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</si>
  <si>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</si>
  <si>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</si>
  <si>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</si>
  <si>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</si>
  <si>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</si>
  <si>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</si>
  <si>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</si>
  <si>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</si>
  <si>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</si>
  <si>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</si>
  <si>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</si>
  <si>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</si>
  <si>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</si>
  <si>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</si>
  <si>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</si>
  <si>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</si>
  <si>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</si>
  <si>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</si>
  <si>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</si>
  <si>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</si>
  <si>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</si>
  <si>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</si>
  <si>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</si>
  <si>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</si>
  <si>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</si>
  <si>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</si>
  <si>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</si>
  <si>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</si>
  <si>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</si>
  <si>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</si>
  <si>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</si>
  <si>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</si>
  <si>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</si>
  <si>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</si>
  <si>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</si>
  <si>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</si>
  <si>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</si>
  <si>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</si>
  <si>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</si>
  <si>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</si>
  <si>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</si>
  <si>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</si>
  <si>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</si>
  <si>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</si>
  <si>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</si>
  <si>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</si>
  <si>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</si>
  <si>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</si>
  <si>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</si>
  <si>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</si>
  <si>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</si>
  <si>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</si>
  <si>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</si>
  <si>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</si>
  <si>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</si>
  <si>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</si>
  <si>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</si>
  <si>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</si>
  <si>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</si>
  <si>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</si>
  <si>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</si>
  <si>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</si>
  <si>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</si>
  <si>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</si>
  <si>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</si>
  <si>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</si>
  <si>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</si>
  <si>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</si>
  <si>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</si>
  <si>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</si>
  <si>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</si>
  <si>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</si>
  <si>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</si>
  <si>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</si>
  <si>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</si>
  <si>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</si>
  <si>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</si>
  <si>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</si>
  <si>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</si>
  <si>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</si>
  <si>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</si>
  <si>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</si>
  <si>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</si>
  <si>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</si>
  <si>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</si>
  <si>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</si>
  <si>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</si>
  <si>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</si>
  <si>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</si>
  <si>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</si>
  <si>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</si>
  <si>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</si>
  <si>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</si>
  <si>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</si>
  <si>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</si>
  <si>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</si>
  <si>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</si>
  <si>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</si>
  <si>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</si>
  <si>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</si>
  <si>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</si>
  <si>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</si>
  <si>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</si>
  <si>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</si>
  <si>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</si>
  <si>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</si>
  <si>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</si>
  <si>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</si>
  <si>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</si>
  <si>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</si>
  <si>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</si>
  <si>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</si>
  <si>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</si>
  <si>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</si>
  <si>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</si>
  <si>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</si>
  <si>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</si>
  <si>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</si>
  <si>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</si>
  <si>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</si>
  <si>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</si>
  <si>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</si>
  <si>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</si>
  <si>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</si>
  <si>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</si>
  <si>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</si>
  <si>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</si>
  <si>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</si>
  <si>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</si>
  <si>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</si>
  <si>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</si>
  <si>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</si>
  <si>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</si>
  <si>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</si>
  <si>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</si>
  <si>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</si>
  <si>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</si>
  <si>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</si>
  <si>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</si>
  <si>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</si>
  <si>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</si>
  <si>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</si>
  <si>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</si>
  <si>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</si>
  <si>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</si>
  <si>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</si>
  <si>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</si>
  <si>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</si>
  <si>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</si>
  <si>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</si>
  <si>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</si>
  <si>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</si>
  <si>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</si>
  <si>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</si>
  <si>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</si>
  <si>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</si>
  <si>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</si>
  <si>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</si>
  <si>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</si>
  <si>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</si>
  <si>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</si>
  <si>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</si>
  <si>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</si>
  <si>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</si>
  <si>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</si>
  <si>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</si>
  <si>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</si>
  <si>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</si>
  <si>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</si>
  <si>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</si>
  <si>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</si>
  <si>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</si>
  <si>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</si>
  <si>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</si>
  <si>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</si>
  <si>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</si>
  <si>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</si>
  <si>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</si>
  <si>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</si>
  <si>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</si>
  <si>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</si>
  <si>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</si>
  <si>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</si>
  <si>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</si>
  <si>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</si>
  <si>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</si>
  <si>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</si>
  <si>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</si>
  <si>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</si>
  <si>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</si>
  <si>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</si>
  <si>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</si>
  <si>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</si>
  <si>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</si>
  <si>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</si>
  <si>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</si>
  <si>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</si>
  <si>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</si>
  <si>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</si>
  <si>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</si>
  <si>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</si>
  <si>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</si>
  <si>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</si>
  <si>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</si>
  <si>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</si>
  <si>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</si>
  <si>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</si>
  <si>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</si>
  <si>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</si>
  <si>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</si>
  <si>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</si>
  <si>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</si>
  <si>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</si>
  <si>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</si>
  <si>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</si>
  <si>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</si>
  <si>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</si>
  <si>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</si>
  <si>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</si>
  <si>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</si>
  <si>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</si>
  <si>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</si>
  <si>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</si>
  <si>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</si>
  <si>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</si>
  <si>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</si>
  <si>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</si>
  <si>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</si>
  <si>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</si>
  <si>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</si>
  <si>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</si>
  <si>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</si>
  <si>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</si>
  <si>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</si>
  <si>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</si>
  <si>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</si>
  <si>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</si>
  <si>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</si>
  <si>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</si>
  <si>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</si>
  <si>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</si>
  <si>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</si>
  <si>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</si>
  <si>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</si>
  <si>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</si>
  <si>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</si>
  <si>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</si>
  <si>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</si>
  <si>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</si>
  <si>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</si>
  <si>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</si>
  <si>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</si>
  <si>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</si>
  <si>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</si>
  <si>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</si>
  <si>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</si>
  <si>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</si>
  <si>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</si>
  <si>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</si>
  <si>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</si>
  <si>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</si>
  <si>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</si>
  <si>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</si>
  <si>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</si>
  <si>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</si>
  <si>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</si>
  <si>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</si>
  <si>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</si>
  <si>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</si>
  <si>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</si>
  <si>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</si>
  <si>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</si>
  <si>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</si>
  <si>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</si>
  <si>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</si>
  <si>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</si>
  <si>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</si>
  <si>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</si>
  <si>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</si>
  <si>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</si>
  <si>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</si>
  <si>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</si>
  <si>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</si>
  <si>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</si>
  <si>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</si>
  <si>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</si>
  <si>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</si>
  <si>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</si>
  <si>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</si>
  <si>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</si>
  <si>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</si>
  <si>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</si>
  <si>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</si>
  <si>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</si>
  <si>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</si>
  <si>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</si>
  <si>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</si>
  <si>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</si>
  <si>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</si>
  <si>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</si>
  <si>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</si>
  <si>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</si>
  <si>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</si>
  <si>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</si>
  <si>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</si>
  <si>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</si>
  <si>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</si>
  <si>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</si>
  <si>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</si>
  <si>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</si>
  <si>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</si>
  <si>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</si>
  <si>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</si>
  <si>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</si>
  <si>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</si>
  <si>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</si>
  <si>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</si>
  <si>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</si>
  <si>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</si>
  <si>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</si>
  <si>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</si>
  <si>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</si>
  <si>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</si>
  <si>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</si>
  <si>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</si>
  <si>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</si>
  <si>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</si>
  <si>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</si>
  <si>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Rice County</t>
  </si>
  <si>
    <t>Geneseo Comm. Cemetery</t>
  </si>
  <si>
    <t>None</t>
  </si>
  <si>
    <t>Tax from Other Co.</t>
  </si>
  <si>
    <t>Lot Sales</t>
  </si>
  <si>
    <t>Operations</t>
  </si>
  <si>
    <t>Mowing</t>
  </si>
  <si>
    <t>Bank Charges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</si>
</sst>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1" sqref="B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Geneseo Comm. Cemetery</v>
      </c>
      <c r="C1" s="18"/>
      <c r="D1" s="18"/>
      <c r="E1" s="18"/>
      <c r="F1" s="18"/>
      <c r="G1" s="18"/>
      <c r="H1" s="18"/>
      <c r="I1" s="18"/>
      <c r="J1" s="18"/>
      <c r="K1" s="18"/>
      <c r="L1" s="182">
        <f>inputPrYr!D6</f>
        <v>2013</v>
      </c>
    </row>
    <row r="2" spans="2:12" ht="15.75">
      <c r="B2" s="18" t="str">
        <f>inputPrYr!$D$4</f>
        <v>Rice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t="s">
        <v>787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t="s">
        <v>787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t="s">
        <v>787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t="s">
        <v>787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B1" sqref="B1"/>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Geneseo Comm. Cemetery</v>
      </c>
      <c r="C1" s="222"/>
      <c r="D1" s="18"/>
      <c r="E1" s="182"/>
    </row>
    <row r="2" spans="2:5" ht="15.75">
      <c r="B2" s="18" t="str">
        <f>inputPrYr!D4</f>
        <v>Rice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12117</v>
      </c>
      <c r="D7" s="374">
        <f>C62</f>
        <v>20063</v>
      </c>
      <c r="E7" s="45">
        <f>D62</f>
        <v>10037</v>
      </c>
    </row>
    <row r="8" spans="2:5" ht="15.75">
      <c r="B8" s="226" t="s">
        <v>127</v>
      </c>
      <c r="C8" s="227"/>
      <c r="D8" s="227"/>
      <c r="E8" s="123"/>
    </row>
    <row r="9" spans="2:5" ht="15.75">
      <c r="B9" s="119" t="s">
        <v>33</v>
      </c>
      <c r="C9" s="367">
        <v>9232</v>
      </c>
      <c r="D9" s="374">
        <f>IF(inputPrYr!H18&gt;0,inputPrYr!G19,inputPrYr!E19)</f>
        <v>2919</v>
      </c>
      <c r="E9" s="128" t="s">
        <v>28</v>
      </c>
    </row>
    <row r="10" spans="2:5" ht="15.75">
      <c r="B10" s="119" t="s">
        <v>34</v>
      </c>
      <c r="C10" s="367">
        <v>228</v>
      </c>
      <c r="D10" s="367"/>
      <c r="E10" s="198"/>
    </row>
    <row r="11" spans="2:5" ht="15.75">
      <c r="B11" s="119" t="s">
        <v>35</v>
      </c>
      <c r="C11" s="367">
        <v>277</v>
      </c>
      <c r="D11" s="367">
        <v>542</v>
      </c>
      <c r="E11" s="45">
        <f>mvalloc!D11</f>
        <v>127</v>
      </c>
    </row>
    <row r="12" spans="2:5" ht="15.75">
      <c r="B12" s="119" t="s">
        <v>36</v>
      </c>
      <c r="C12" s="367">
        <v>0</v>
      </c>
      <c r="D12" s="367">
        <v>11</v>
      </c>
      <c r="E12" s="45">
        <f>mvalloc!E11</f>
        <v>3</v>
      </c>
    </row>
    <row r="13" spans="2:5" ht="15.75">
      <c r="B13" s="227" t="s">
        <v>109</v>
      </c>
      <c r="C13" s="367">
        <v>24</v>
      </c>
      <c r="D13" s="367">
        <v>2</v>
      </c>
      <c r="E13" s="45">
        <f>mvalloc!F11</f>
        <v>50</v>
      </c>
    </row>
    <row r="14" spans="2:5" ht="15.75">
      <c r="B14" s="227" t="s">
        <v>159</v>
      </c>
      <c r="C14" s="367"/>
      <c r="D14" s="367"/>
      <c r="E14" s="45">
        <f>inputOth!E30</f>
        <v>0</v>
      </c>
    </row>
    <row r="15" spans="2:5" ht="15.75">
      <c r="B15" s="228" t="s">
        <v>37</v>
      </c>
      <c r="C15" s="367"/>
      <c r="D15" s="367"/>
      <c r="E15" s="198"/>
    </row>
    <row r="16" spans="2:5" ht="15.75">
      <c r="B16" s="228" t="s">
        <v>788</v>
      </c>
      <c r="C16" s="367">
        <v>2038</v>
      </c>
      <c r="D16" s="367">
        <v>0</v>
      </c>
      <c r="E16" s="198">
        <v>0</v>
      </c>
    </row>
    <row r="17" spans="2:5" ht="15.75">
      <c r="B17" s="228" t="s">
        <v>789</v>
      </c>
      <c r="C17" s="367">
        <v>190</v>
      </c>
      <c r="D17" s="367">
        <v>0</v>
      </c>
      <c r="E17" s="198">
        <v>0</v>
      </c>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50</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12039</v>
      </c>
      <c r="D33" s="369">
        <f>SUM(D9:D31)</f>
        <v>3474</v>
      </c>
      <c r="E33" s="234">
        <f>SUM(E9:E31)</f>
        <v>180</v>
      </c>
    </row>
    <row r="34" spans="2:5" ht="15.75">
      <c r="B34" s="233" t="s">
        <v>40</v>
      </c>
      <c r="C34" s="369">
        <f>C7+C33</f>
        <v>24156</v>
      </c>
      <c r="D34" s="369">
        <f>D7+D33</f>
        <v>23537</v>
      </c>
      <c r="E34" s="234">
        <f>E7+E33</f>
        <v>10217</v>
      </c>
    </row>
    <row r="35" spans="2:5" ht="15.75">
      <c r="B35" s="119" t="s">
        <v>41</v>
      </c>
      <c r="C35" s="121"/>
      <c r="D35" s="121"/>
      <c r="E35" s="36"/>
    </row>
    <row r="36" spans="2:5" ht="15.75">
      <c r="B36" s="228" t="s">
        <v>790</v>
      </c>
      <c r="C36" s="367">
        <v>328</v>
      </c>
      <c r="D36" s="367">
        <v>500</v>
      </c>
      <c r="E36" s="198">
        <v>500</v>
      </c>
    </row>
    <row r="37" spans="2:5" ht="15.75">
      <c r="B37" s="228" t="s">
        <v>791</v>
      </c>
      <c r="C37" s="367">
        <v>3650</v>
      </c>
      <c r="D37" s="367">
        <v>5000</v>
      </c>
      <c r="E37" s="198">
        <v>5000</v>
      </c>
    </row>
    <row r="38" spans="2:5" ht="15.75">
      <c r="B38" s="228" t="s">
        <v>792</v>
      </c>
      <c r="C38" s="367">
        <v>115</v>
      </c>
      <c r="D38" s="367">
        <v>8000</v>
      </c>
      <c r="E38" s="198">
        <v>5000</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6.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4093</v>
      </c>
      <c r="D61" s="369">
        <f>SUM(D36:D59)</f>
        <v>13500</v>
      </c>
      <c r="E61" s="234">
        <f>SUM(E36:E59)</f>
        <v>10500</v>
      </c>
      <c r="F61" s="16"/>
      <c r="G61" s="490">
        <f>D62</f>
        <v>10037</v>
      </c>
      <c r="H61" s="489" t="str">
        <f>CONCATENATE("",E3-1," Ending Cash Balance (est.)")</f>
        <v>2012 Ending Cash Balance (est.)</v>
      </c>
      <c r="I61" s="586"/>
      <c r="J61" s="484"/>
      <c r="K61" s="16"/>
    </row>
    <row r="62" spans="2:11" ht="15.75">
      <c r="B62" s="119" t="s">
        <v>126</v>
      </c>
      <c r="C62" s="370">
        <f>C34-C61</f>
        <v>20063</v>
      </c>
      <c r="D62" s="370">
        <f>D34-D61</f>
        <v>10037</v>
      </c>
      <c r="E62" s="128" t="s">
        <v>28</v>
      </c>
      <c r="F62" s="16"/>
      <c r="G62" s="490">
        <f>E33</f>
        <v>180</v>
      </c>
      <c r="H62" s="483" t="str">
        <f>CONCATENATE("",E3," Non-AV Receipts (est.)")</f>
        <v>2013 Non-AV Receipts (est.)</v>
      </c>
      <c r="I62" s="586"/>
      <c r="J62" s="484"/>
      <c r="K62" s="16"/>
    </row>
    <row r="63" spans="2:11" ht="15.75">
      <c r="B63" s="138" t="str">
        <f>CONCATENATE("",E3-2,"/",E3-1," Budget Authority Amount:")</f>
        <v>2011/2012 Budget Authority Amount:</v>
      </c>
      <c r="C63" s="120">
        <f>inputOth!B41</f>
        <v>13500</v>
      </c>
      <c r="D63" s="388">
        <f>inputPrYr!D19</f>
        <v>13500</v>
      </c>
      <c r="E63" s="128" t="s">
        <v>28</v>
      </c>
      <c r="F63" s="251"/>
      <c r="G63" s="482">
        <f>IF(E67&gt;0,E66,E68)</f>
        <v>283</v>
      </c>
      <c r="H63" s="483" t="str">
        <f>CONCATENATE("",E3," Ad Valorem Tax (est.)")</f>
        <v>2013 Ad Valorem Tax (est.)</v>
      </c>
      <c r="I63" s="483"/>
      <c r="J63" s="484"/>
      <c r="K63" s="587" t="str">
        <f>IF(G63=E68,"","Note: Does not include Delinquent Taxes")</f>
        <v>Note: Does not include Delinquent Taxes</v>
      </c>
    </row>
    <row r="64" spans="2:11" ht="16.5">
      <c r="B64" s="138"/>
      <c r="C64" s="682" t="s">
        <v>659</v>
      </c>
      <c r="D64" s="683"/>
      <c r="E64" s="35"/>
      <c r="F64" s="588">
        <f>IF(E61/0.95-E61&lt;E64,"Exceeds 5%","")</f>
      </c>
      <c r="G64" s="490">
        <f>SUM(G61:G63)</f>
        <v>10500</v>
      </c>
      <c r="H64" s="483" t="str">
        <f>CONCATENATE("Total ",E3," Resources Available")</f>
        <v>Total 2013 Resources Available</v>
      </c>
      <c r="I64" s="586"/>
      <c r="J64" s="484"/>
      <c r="K64" s="16"/>
    </row>
    <row r="65" spans="2:11" ht="15.75">
      <c r="B65" s="386" t="str">
        <f>CONCATENATE(C81,"     ",D81)</f>
        <v>     </v>
      </c>
      <c r="C65" s="684" t="s">
        <v>660</v>
      </c>
      <c r="D65" s="685"/>
      <c r="E65" s="45">
        <f>E61+E64</f>
        <v>10500</v>
      </c>
      <c r="F65" s="16"/>
      <c r="G65" s="481"/>
      <c r="H65" s="483"/>
      <c r="I65" s="483"/>
      <c r="J65" s="484"/>
      <c r="K65" s="16"/>
    </row>
    <row r="66" spans="2:11" ht="15.75">
      <c r="B66" s="386" t="str">
        <f>CONCATENATE(C82,"     ",D82)</f>
        <v>     </v>
      </c>
      <c r="C66" s="494"/>
      <c r="D66" s="493" t="s">
        <v>661</v>
      </c>
      <c r="E66" s="42">
        <f>IF(E65-E34&gt;0,E65-E34,0)</f>
        <v>283</v>
      </c>
      <c r="F66" s="16"/>
      <c r="G66" s="482">
        <f>ROUND(C61*0.05+C61,0)</f>
        <v>4298</v>
      </c>
      <c r="H66" s="483" t="str">
        <f>CONCATENATE("Less ",E3-2," Expenditures + 5%")</f>
        <v>Less 2011 Expenditures + 5%</v>
      </c>
      <c r="I66" s="586"/>
      <c r="J66" s="484"/>
      <c r="K66" s="16"/>
    </row>
    <row r="67" spans="2:11" ht="15.75">
      <c r="B67" s="155"/>
      <c r="C67" s="492" t="s">
        <v>662</v>
      </c>
      <c r="D67" s="598">
        <f>inputOth!$E$35</f>
        <v>0.023</v>
      </c>
      <c r="E67" s="45">
        <f>ROUND(IF(D67&gt;0,(E66*D67),0),0)</f>
        <v>7</v>
      </c>
      <c r="F67" s="16"/>
      <c r="G67" s="480">
        <f>G64-G66</f>
        <v>6202</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290</v>
      </c>
      <c r="F68" s="16"/>
      <c r="G68" s="16"/>
      <c r="H68" s="16"/>
      <c r="I68" s="16"/>
      <c r="J68" s="16"/>
      <c r="K68" s="16"/>
    </row>
    <row r="69" spans="2:11" ht="16.5">
      <c r="B69" s="18"/>
      <c r="C69" s="18"/>
      <c r="D69" s="18"/>
      <c r="E69" s="18"/>
      <c r="F69" s="16"/>
      <c r="G69" s="677" t="s">
        <v>733</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0.048</v>
      </c>
      <c r="H71" s="489" t="str">
        <f>CONCATENATE("",E3," Fund Mill Rate")</f>
        <v>2013 Fund Mill Rate</v>
      </c>
      <c r="I71" s="571"/>
      <c r="J71" s="591"/>
      <c r="K71" s="16"/>
    </row>
    <row r="72" spans="2:11" ht="16.5">
      <c r="B72" s="18"/>
      <c r="C72" s="18"/>
      <c r="D72" s="18"/>
      <c r="E72" s="18"/>
      <c r="F72" s="593"/>
      <c r="G72" s="594">
        <f>summ!E16</f>
        <v>0.362</v>
      </c>
      <c r="H72" s="489" t="str">
        <f>CONCATENATE("",E3-1," Fund Mill Rate")</f>
        <v>2012 Fund Mill Rate</v>
      </c>
      <c r="I72" s="571"/>
      <c r="J72" s="591"/>
      <c r="K72" s="16"/>
    </row>
    <row r="73" spans="2:11" ht="16.5">
      <c r="B73" s="18"/>
      <c r="C73" s="222"/>
      <c r="D73" s="222"/>
      <c r="E73" s="222"/>
      <c r="F73" s="577"/>
      <c r="G73" s="595">
        <f>summ!H23</f>
        <v>0.048</v>
      </c>
      <c r="H73" s="489" t="str">
        <f>CONCATENATE("Total ",E3," Mill Rate")</f>
        <v>Total 2013 Mill Rate</v>
      </c>
      <c r="I73" s="571"/>
      <c r="J73" s="591"/>
      <c r="K73" s="16"/>
    </row>
    <row r="74" spans="2:11" ht="16.5">
      <c r="B74" s="138"/>
      <c r="C74" s="18" t="s">
        <v>228</v>
      </c>
      <c r="D74" s="18"/>
      <c r="E74" s="18"/>
      <c r="F74" s="577"/>
      <c r="G74" s="594">
        <f>summ!E23</f>
        <v>0.362</v>
      </c>
      <c r="H74" s="596" t="str">
        <f>CONCATENATE("Total ",E3-1," Mill Rate")</f>
        <v>Total 2012 Mill Rate</v>
      </c>
      <c r="I74" s="597"/>
      <c r="J74" s="78"/>
      <c r="K74" s="16"/>
    </row>
    <row r="76" ht="16.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Geneseo Comm.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6.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660</v>
      </c>
      <c r="D57" s="685"/>
      <c r="E57" s="45">
        <f>E53+E56</f>
        <v>0</v>
      </c>
      <c r="F57"/>
      <c r="G57" s="481"/>
      <c r="H57" s="483"/>
      <c r="I57" s="483"/>
      <c r="J57" s="601"/>
      <c r="K57" s="599"/>
    </row>
    <row r="58" spans="2:11" ht="16.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6.5">
      <c r="B59" s="155"/>
      <c r="C59" s="492" t="s">
        <v>662</v>
      </c>
      <c r="D59" s="598">
        <f>inputOth!$E$35</f>
        <v>0.023</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733</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0.048</v>
      </c>
      <c r="H65" s="489" t="str">
        <f>CONCATENATE("Total ",E1," Mill Rate")</f>
        <v>Total 2013 Mill Rate</v>
      </c>
      <c r="I65" s="571"/>
      <c r="J65" s="591"/>
      <c r="K65" s="599"/>
    </row>
    <row r="66" spans="6:11" ht="16.5">
      <c r="F66"/>
      <c r="G66" s="594">
        <f>summ!E23</f>
        <v>0.362</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Geneseo Comm. Cemetery</v>
      </c>
      <c r="C1" s="18"/>
      <c r="D1" s="18"/>
      <c r="E1" s="182"/>
    </row>
    <row r="2" spans="2:5" ht="15.75">
      <c r="B2" s="18" t="str">
        <f>inputPrYr!D4</f>
        <v>Rice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6.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0.023</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0.048</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0.362</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0.023</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733</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0.048</v>
      </c>
      <c r="H86" s="489" t="str">
        <f>CONCATENATE("Total ",E3," Mill Rate")</f>
        <v>Total 2013 Mill Rate</v>
      </c>
      <c r="I86" s="571"/>
      <c r="J86" s="591"/>
      <c r="K86" s="16"/>
    </row>
    <row r="87" spans="3:11" ht="19.5" customHeight="1">
      <c r="C87" s="95">
        <f>IF(C33&gt;C35,"See Tab A","")</f>
      </c>
      <c r="D87" s="95">
        <f>IF(D33&gt;D35,"See Tab C","")</f>
      </c>
      <c r="F87" s="16"/>
      <c r="G87" s="594">
        <f>summ!E23</f>
        <v>0.362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6"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Geneseo Comm. Cemetery</v>
      </c>
      <c r="C1" s="222"/>
      <c r="D1" s="18"/>
      <c r="E1" s="182"/>
    </row>
    <row r="2" spans="2:5" ht="15.75">
      <c r="B2" s="18" t="str">
        <f>inputPrYr!D4</f>
        <v>Rice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Geneseo Comm.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288</v>
      </c>
    </row>
    <row r="2" ht="16.5">
      <c r="A2" s="95"/>
    </row>
    <row r="3" ht="16.5">
      <c r="A3" s="95"/>
    </row>
    <row r="4" ht="56.25" customHeight="1">
      <c r="A4" s="317" t="s">
        <v>289</v>
      </c>
    </row>
    <row r="5" ht="16.5">
      <c r="A5" s="318"/>
    </row>
    <row r="6" ht="16.5">
      <c r="A6" s="95"/>
    </row>
    <row r="7" ht="50.25" customHeight="1">
      <c r="A7" s="317" t="s">
        <v>290</v>
      </c>
    </row>
    <row r="8" ht="16.5">
      <c r="A8" s="95"/>
    </row>
    <row r="9" ht="16.5">
      <c r="A9" s="95"/>
    </row>
    <row r="10" ht="52.5" customHeight="1">
      <c r="A10" s="317" t="s">
        <v>291</v>
      </c>
    </row>
    <row r="11" ht="16.5">
      <c r="A11" s="95"/>
    </row>
    <row r="12" ht="16.5">
      <c r="A12" s="95"/>
    </row>
    <row r="13" ht="52.5" customHeight="1">
      <c r="A13" s="317" t="s">
        <v>292</v>
      </c>
    </row>
    <row r="14" ht="16.5">
      <c r="A14" s="318"/>
    </row>
    <row r="15" ht="16.5">
      <c r="A15" s="318"/>
    </row>
    <row r="16" ht="51" customHeight="1">
      <c r="A16" s="469" t="s">
        <v>651</v>
      </c>
    </row>
    <row r="17" ht="16.5">
      <c r="A17" s="318"/>
    </row>
    <row r="18" ht="16.5">
      <c r="A18" s="318"/>
    </row>
    <row r="19" ht="37.5" customHeight="1">
      <c r="A19" s="317" t="s">
        <v>293</v>
      </c>
    </row>
    <row r="20" ht="16.5">
      <c r="A20" s="95"/>
    </row>
    <row r="21" ht="16.5">
      <c r="A21" s="95"/>
    </row>
    <row r="22" ht="31.5">
      <c r="A22" s="317" t="s">
        <v>294</v>
      </c>
    </row>
    <row r="23" ht="16.5">
      <c r="A23" s="318"/>
    </row>
    <row r="24" ht="16.5">
      <c r="A24" s="95"/>
    </row>
    <row r="25" ht="67.5" customHeight="1">
      <c r="A25" s="317" t="s">
        <v>295</v>
      </c>
    </row>
    <row r="26" ht="68.25" customHeight="1">
      <c r="A26" s="319" t="s">
        <v>296</v>
      </c>
    </row>
    <row r="27" ht="16.5">
      <c r="A27" s="95"/>
    </row>
    <row r="28" ht="16.5">
      <c r="A28" s="95"/>
    </row>
    <row r="29" ht="51" customHeight="1">
      <c r="A29" s="470" t="s">
        <v>652</v>
      </c>
    </row>
    <row r="30" ht="16.5">
      <c r="A30" s="95"/>
    </row>
    <row r="31" ht="16.5">
      <c r="A31" s="318"/>
    </row>
    <row r="32" ht="69" customHeight="1">
      <c r="A32" s="470" t="s">
        <v>653</v>
      </c>
    </row>
    <row r="33" ht="16.5">
      <c r="A33" s="318"/>
    </row>
    <row r="34" ht="16.5">
      <c r="A34" s="318"/>
    </row>
    <row r="35" ht="52.5" customHeight="1">
      <c r="A35" s="470" t="s">
        <v>654</v>
      </c>
    </row>
    <row r="36" ht="16.5">
      <c r="A36" s="318"/>
    </row>
    <row r="37" ht="16.5">
      <c r="A37" s="318"/>
    </row>
    <row r="38" ht="59.25" customHeight="1">
      <c r="A38" s="317" t="s">
        <v>297</v>
      </c>
    </row>
    <row r="39" ht="16.5">
      <c r="A39" s="95"/>
    </row>
    <row r="40" ht="16.5">
      <c r="A40" s="95"/>
    </row>
    <row r="41" ht="53.25" customHeight="1">
      <c r="A41" s="317" t="s">
        <v>298</v>
      </c>
    </row>
    <row r="42" ht="16.5">
      <c r="A42" s="318"/>
    </row>
    <row r="43" ht="16.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4">
      <selection activeCell="A1" sqref="A1:H1"/>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Geneseo Comm. Cemetery</v>
      </c>
      <c r="B4" s="638"/>
      <c r="C4" s="638"/>
      <c r="D4" s="638"/>
      <c r="E4" s="638"/>
      <c r="F4" s="638"/>
      <c r="G4" s="638"/>
      <c r="H4" s="638"/>
    </row>
    <row r="5" spans="1:8" ht="15.75">
      <c r="A5" s="697" t="str">
        <f>inputPrYr!D4</f>
        <v>Rice County</v>
      </c>
      <c r="B5" s="697"/>
      <c r="C5" s="697"/>
      <c r="D5" s="697"/>
      <c r="E5" s="697"/>
      <c r="F5" s="697"/>
      <c r="G5" s="697"/>
      <c r="H5" s="697"/>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6006</v>
      </c>
    </row>
    <row r="15" spans="1:13" ht="15.75">
      <c r="A15" s="169" t="s">
        <v>52</v>
      </c>
      <c r="B15" s="114" t="s">
        <v>53</v>
      </c>
      <c r="C15" s="294" t="s">
        <v>198</v>
      </c>
      <c r="D15" s="114" t="s">
        <v>53</v>
      </c>
      <c r="E15" s="294" t="s">
        <v>198</v>
      </c>
      <c r="F15" s="114" t="s">
        <v>561</v>
      </c>
      <c r="G15" s="696"/>
      <c r="H15" s="294" t="s">
        <v>198</v>
      </c>
      <c r="J15" s="16"/>
      <c r="K15" s="16"/>
      <c r="L15" s="16"/>
      <c r="M15" s="16"/>
    </row>
    <row r="16" spans="1:13" ht="16.5">
      <c r="A16" s="36" t="str">
        <f>inputPrYr!B19</f>
        <v>General</v>
      </c>
      <c r="B16" s="123">
        <f>IF(gen!$C$61&lt;&gt;0,gen!$C$61,"  ")</f>
        <v>4093</v>
      </c>
      <c r="C16" s="624">
        <f>IF(inputPrYr!D38&gt;0,inputPrYr!D38,"  ")</f>
        <v>1.665</v>
      </c>
      <c r="D16" s="561">
        <f>IF(gen!$D$61&lt;&gt;0,gen!$D$61,"  ")</f>
        <v>13500</v>
      </c>
      <c r="E16" s="627">
        <f>IF(inputOth!D16&gt;0,inputOth!D16,"  ")</f>
        <v>0.362</v>
      </c>
      <c r="F16" s="561">
        <f>IF(gen!$E$61&lt;&gt;0,gen!$E$61,"  ")</f>
        <v>10500</v>
      </c>
      <c r="G16" s="243">
        <f>IF(gen!$E$68&lt;&gt;0,gen!$E$68,"  ")</f>
        <v>290</v>
      </c>
      <c r="H16" s="624">
        <f>IF(gen!E68&gt;0,ROUND(G16/$F$27*1000,3)," ")</f>
        <v>0.048</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0.362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1884</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4093</v>
      </c>
      <c r="C23" s="626">
        <f aca="true" t="shared" si="0" ref="C23:H23">SUM(C16:C21)</f>
        <v>1.665</v>
      </c>
      <c r="D23" s="621">
        <f t="shared" si="0"/>
        <v>13500</v>
      </c>
      <c r="E23" s="629">
        <f t="shared" si="0"/>
        <v>0.362</v>
      </c>
      <c r="F23" s="621">
        <f t="shared" si="0"/>
        <v>10500</v>
      </c>
      <c r="G23" s="621">
        <f t="shared" si="0"/>
        <v>290</v>
      </c>
      <c r="H23" s="629">
        <f t="shared" si="0"/>
        <v>0.048</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4093</v>
      </c>
      <c r="C25" s="296"/>
      <c r="D25" s="129">
        <f>SUM(D23-D24)</f>
        <v>13500</v>
      </c>
      <c r="E25" s="296"/>
      <c r="F25" s="485">
        <f>SUM(F23-F24)</f>
        <v>10500</v>
      </c>
      <c r="G25" s="238"/>
      <c r="H25" s="295"/>
      <c r="J25" s="504" t="str">
        <f>CONCATENATE("",I3," Ad Valorem Tax Revenue:")</f>
        <v>2013 Ad Valorem Tax Revenue:</v>
      </c>
      <c r="K25" s="499"/>
      <c r="L25" s="499"/>
      <c r="M25" s="500">
        <f>G23</f>
        <v>290</v>
      </c>
    </row>
    <row r="26" spans="1:13" ht="16.5" thickTop="1">
      <c r="A26" s="33" t="s">
        <v>54</v>
      </c>
      <c r="B26" s="621">
        <f>inputPrYr!E44</f>
        <v>12926</v>
      </c>
      <c r="C26" s="215"/>
      <c r="D26" s="621">
        <f>inputPrYr!E24</f>
        <v>2919</v>
      </c>
      <c r="E26" s="215"/>
      <c r="F26" s="83" t="s">
        <v>174</v>
      </c>
      <c r="G26" s="18"/>
      <c r="H26" s="18"/>
      <c r="J26" s="504" t="str">
        <f>CONCATENATE("",I3-1," Ad Valorem Tax Revenue:")</f>
        <v>2012 Ad Valorem Tax Revenue:</v>
      </c>
      <c r="K26" s="499"/>
      <c r="L26" s="499"/>
      <c r="M26" s="513">
        <f>ROUND(F27*M18/1000,0)</f>
        <v>2174</v>
      </c>
    </row>
    <row r="27" spans="1:13" ht="15.75">
      <c r="A27" s="33" t="s">
        <v>170</v>
      </c>
      <c r="B27" s="42">
        <f>inputPrYr!E45</f>
        <v>7761081</v>
      </c>
      <c r="C27" s="215"/>
      <c r="D27" s="42">
        <f>inputOth!E24</f>
        <v>5872137</v>
      </c>
      <c r="E27" s="215"/>
      <c r="F27" s="42">
        <f>inputOth!E7</f>
        <v>6006317</v>
      </c>
      <c r="G27" s="18"/>
      <c r="H27" s="18"/>
      <c r="J27" s="514" t="s">
        <v>668</v>
      </c>
      <c r="K27" s="515"/>
      <c r="L27" s="515"/>
      <c r="M27" s="503">
        <f>M25-M26</f>
        <v>-1884</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0.048</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7">
        <f>inputBudSum!B3</f>
        <v>0</v>
      </c>
      <c r="B40" s="664"/>
      <c r="C40" s="99"/>
      <c r="D40" s="18"/>
      <c r="E40" s="18"/>
      <c r="F40" s="18"/>
      <c r="G40" s="18"/>
      <c r="H40" s="52"/>
    </row>
    <row r="41" spans="1:8" ht="16.5">
      <c r="A41" s="698">
        <f>inputBudSum!B5</f>
        <v>0</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Geneseo Comm. Cemetery</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5" t="str">
        <f>CONCATENATE("",F1," Neighborhood Revitalization Rebate")</f>
        <v>2013 Neighborhood Revitalization Rebate</v>
      </c>
      <c r="C4" s="710"/>
      <c r="D4" s="710"/>
      <c r="E4" s="694"/>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211</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6006317</v>
      </c>
      <c r="E16" s="18"/>
      <c r="F16" s="52"/>
    </row>
    <row r="17" spans="1:6" ht="16.5">
      <c r="A17" s="18"/>
      <c r="B17" s="18"/>
      <c r="C17" s="18"/>
      <c r="D17" s="18"/>
      <c r="E17" s="18"/>
      <c r="F17" s="52"/>
    </row>
    <row r="18" spans="1:6" ht="16.5">
      <c r="A18" s="18"/>
      <c r="B18" s="711" t="s">
        <v>319</v>
      </c>
      <c r="C18" s="711"/>
      <c r="D18" s="309">
        <f>IF(D16&gt;0,(D16*0.001),"")</f>
        <v>6006.317</v>
      </c>
      <c r="E18" s="18"/>
      <c r="F18" s="52"/>
    </row>
    <row r="19" spans="1:6" ht="16.5">
      <c r="A19" s="18"/>
      <c r="B19" s="138"/>
      <c r="C19" s="138"/>
      <c r="D19" s="310"/>
      <c r="E19" s="18"/>
      <c r="F19" s="52"/>
    </row>
    <row r="20" spans="1:6" ht="16.5">
      <c r="A20" s="708" t="s">
        <v>317</v>
      </c>
      <c r="B20" s="694"/>
      <c r="C20" s="694"/>
      <c r="D20" s="311">
        <f>inputOth!E12</f>
        <v>0</v>
      </c>
      <c r="E20" s="62"/>
      <c r="F20" s="62"/>
    </row>
    <row r="21" spans="1:6" ht="16.5">
      <c r="A21" s="62"/>
      <c r="B21" s="62"/>
      <c r="C21" s="62"/>
      <c r="D21" s="312"/>
      <c r="E21" s="62"/>
      <c r="F21" s="62"/>
    </row>
    <row r="22" spans="1:6" ht="16.5">
      <c r="A22" s="62"/>
      <c r="B22" s="708" t="s">
        <v>318</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548</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6.5">
      <c r="B2" s="6"/>
      <c r="C2"/>
      <c r="D2"/>
      <c r="E2"/>
      <c r="F2"/>
      <c r="G2"/>
      <c r="H2"/>
    </row>
    <row r="3" spans="2:8" ht="15.75">
      <c r="B3" s="721" t="s">
        <v>137</v>
      </c>
      <c r="C3" s="721"/>
      <c r="D3" s="721"/>
      <c r="E3" s="721"/>
      <c r="F3" s="721"/>
      <c r="G3" s="721"/>
      <c r="H3" s="721"/>
    </row>
    <row r="4" spans="2:8" ht="16.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Geneseo Comm. Cemetery District with respect to financing the 2013 annual budget for Geneseo Comm. Cemetery , Rice County , Kansas.</v>
      </c>
      <c r="C5" s="714"/>
      <c r="D5" s="714"/>
      <c r="E5" s="714"/>
      <c r="F5" s="714"/>
      <c r="G5" s="714"/>
      <c r="H5" s="714"/>
    </row>
    <row r="6" spans="2:10" ht="15.75">
      <c r="B6" s="714"/>
      <c r="C6" s="714"/>
      <c r="D6" s="714"/>
      <c r="E6" s="714"/>
      <c r="F6" s="714"/>
      <c r="G6" s="714"/>
      <c r="H6" s="714"/>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2013 Geneseo Comm. Cemetery district budget exceed the amount levied to finance the</v>
      </c>
      <c r="C9"/>
      <c r="D9"/>
      <c r="E9"/>
      <c r="F9"/>
      <c r="G9"/>
      <c r="H9"/>
    </row>
    <row r="10" spans="2:8" ht="16.5">
      <c r="B10" s="12" t="str">
        <f>CONCATENATE("",inputPrYr!D6-1," ",inputPrYr!D3," except with regard to revenue produced and attributable to the")</f>
        <v>2012 Geneseo Comm. Cemetery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6.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6.5">
      <c r="B18" s="12"/>
      <c r="C18"/>
      <c r="D18"/>
      <c r="E18"/>
      <c r="F18"/>
      <c r="G18"/>
      <c r="H18"/>
    </row>
    <row r="19" spans="2:8" ht="16.5">
      <c r="B19" s="12" t="str">
        <f>CONCATENATE("Whereas, ",(inputPrYr!D3)," provides essential services to district residents; and")</f>
        <v>Whereas, Geneseo Comm. Cemetery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Geneseo Comm. Cemetery that is our desire to notify the public of the possibility of increased property taxes to finance the 2013 Geneseo Comm. Cemetery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6.5">
      <c r="B26" s="12"/>
      <c r="C26"/>
      <c r="D26"/>
      <c r="E26"/>
      <c r="F26"/>
      <c r="G26"/>
      <c r="H26"/>
    </row>
    <row r="27" spans="2:8" ht="15.75">
      <c r="B27" s="715" t="str">
        <f>CONCATENATE("Adopted this _________ day of ___________, ",inputPrYr!D6-1," by the ",(inputPrYr!D3)," District Board, ",(inputPrYr!D4),", Kansas.")</f>
        <v>Adopted this _________ day of ___________, 2012 by the Geneseo Comm. Cemetery District Board, Rice County, Kansas.</v>
      </c>
      <c r="C27" s="714"/>
      <c r="D27" s="714"/>
      <c r="E27" s="714"/>
      <c r="F27" s="714"/>
      <c r="G27" s="714"/>
      <c r="H27" s="714"/>
    </row>
    <row r="28" spans="2:8" ht="15.75">
      <c r="B28" s="714"/>
      <c r="C28" s="714"/>
      <c r="D28" s="714"/>
      <c r="E28" s="714"/>
      <c r="F28" s="714"/>
      <c r="G28" s="714"/>
      <c r="H28" s="714"/>
    </row>
    <row r="29" spans="2:8" ht="16.5">
      <c r="B29" s="8"/>
      <c r="C29"/>
      <c r="D29"/>
      <c r="E29"/>
      <c r="F29"/>
      <c r="G29"/>
      <c r="H29"/>
    </row>
    <row r="30" spans="2:8" ht="16.5">
      <c r="B30" s="8"/>
      <c r="C30"/>
      <c r="D30"/>
      <c r="E30"/>
      <c r="F30"/>
      <c r="G30"/>
      <c r="H30"/>
    </row>
    <row r="31" spans="2:8" ht="16.5">
      <c r="B31" s="9" t="str">
        <f>CONCATENATE(" ",(inputPrYr!D3)," District Board")</f>
        <v> Geneseo Comm. Cemetery District Board</v>
      </c>
      <c r="C31"/>
      <c r="D31"/>
      <c r="E31"/>
      <c r="F31"/>
      <c r="G31"/>
      <c r="H31"/>
    </row>
    <row r="32" spans="2:8" ht="16.5">
      <c r="B32" s="8"/>
      <c r="C32"/>
      <c r="D32"/>
      <c r="E32"/>
      <c r="F32"/>
      <c r="G32"/>
      <c r="H32"/>
    </row>
    <row r="33" spans="2:8" ht="16.5">
      <c r="B33"/>
      <c r="C33"/>
      <c r="D33"/>
      <c r="E33" s="719" t="s">
        <v>138</v>
      </c>
      <c r="F33" s="719"/>
      <c r="G33" s="719"/>
      <c r="H33" s="719"/>
    </row>
    <row r="34" spans="2:8" ht="16.5">
      <c r="B34"/>
      <c r="C34"/>
      <c r="D34"/>
      <c r="E34" s="719" t="s">
        <v>141</v>
      </c>
      <c r="F34" s="719"/>
      <c r="G34" s="719"/>
      <c r="H34" s="719"/>
    </row>
    <row r="35" spans="2:8" ht="16.5">
      <c r="B35" s="8"/>
      <c r="C35"/>
      <c r="D35"/>
      <c r="E35" s="719"/>
      <c r="F35" s="719"/>
      <c r="G35" s="719"/>
      <c r="H35" s="719"/>
    </row>
    <row r="36" spans="2:8" ht="16.5">
      <c r="B36"/>
      <c r="C36"/>
      <c r="D36"/>
      <c r="E36" s="719" t="s">
        <v>138</v>
      </c>
      <c r="F36" s="719"/>
      <c r="G36" s="719"/>
      <c r="H36" s="719"/>
    </row>
    <row r="37" spans="2:8" ht="16.5">
      <c r="B37"/>
      <c r="C37"/>
      <c r="D37"/>
      <c r="E37" s="719" t="s">
        <v>142</v>
      </c>
      <c r="F37" s="719"/>
      <c r="G37" s="719"/>
      <c r="H37" s="719"/>
    </row>
    <row r="38" spans="2:8" ht="16.5">
      <c r="B38" s="8"/>
      <c r="C38"/>
      <c r="D38"/>
      <c r="E38" s="719"/>
      <c r="F38" s="719"/>
      <c r="G38" s="719"/>
      <c r="H38" s="719"/>
    </row>
    <row r="39" spans="2:8" ht="16.5">
      <c r="B39"/>
      <c r="C39"/>
      <c r="D39"/>
      <c r="E39" s="719" t="s">
        <v>138</v>
      </c>
      <c r="F39" s="719"/>
      <c r="G39" s="719"/>
      <c r="H39" s="719"/>
    </row>
    <row r="40" spans="2:8" ht="16.5">
      <c r="B40"/>
      <c r="C40"/>
      <c r="D40"/>
      <c r="E40" s="719" t="s">
        <v>143</v>
      </c>
      <c r="F40" s="719"/>
      <c r="G40" s="719"/>
      <c r="H40" s="719"/>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786</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6.5">
      <c r="A8" s="640" t="s">
        <v>208</v>
      </c>
      <c r="B8" s="641"/>
      <c r="C8" s="641"/>
      <c r="D8" s="641"/>
      <c r="E8" s="641"/>
    </row>
    <row r="9" spans="1:5" ht="15.75">
      <c r="A9" s="23" t="s">
        <v>78</v>
      </c>
      <c r="B9" s="24"/>
      <c r="C9" s="24"/>
      <c r="D9" s="24"/>
      <c r="E9" s="24"/>
    </row>
    <row r="10" spans="1:8" ht="16.5">
      <c r="A10" s="642" t="s">
        <v>207</v>
      </c>
      <c r="B10" s="643"/>
      <c r="C10" s="643"/>
      <c r="D10" s="643"/>
      <c r="E10" s="643"/>
      <c r="F10" s="18"/>
      <c r="G10" s="631" t="s">
        <v>706</v>
      </c>
      <c r="H10" s="632"/>
    </row>
    <row r="11" spans="1:8" ht="15.75">
      <c r="A11" s="25"/>
      <c r="B11" s="18"/>
      <c r="C11" s="18"/>
      <c r="D11" s="18"/>
      <c r="E11" s="18"/>
      <c r="F11" s="18"/>
      <c r="G11" s="633"/>
      <c r="H11" s="632"/>
    </row>
    <row r="12" spans="1:8" ht="16.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13500</v>
      </c>
      <c r="E19" s="35">
        <v>2919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2919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13500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1.665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1.665</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12926</v>
      </c>
    </row>
    <row r="45" spans="1:5" ht="15.75">
      <c r="A45" s="49" t="str">
        <f>CONCATENATE("Assessed Valuation (",D6-2," budget column)")</f>
        <v>Assessed Valuation (2011 budget column)</v>
      </c>
      <c r="B45" s="27"/>
      <c r="C45" s="18"/>
      <c r="D45" s="18"/>
      <c r="E45" s="51">
        <v>7761081</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v>0</v>
      </c>
      <c r="E48" s="56">
        <v>0</v>
      </c>
    </row>
    <row r="49" spans="1:5" ht="15.75">
      <c r="A49" s="57" t="s">
        <v>153</v>
      </c>
      <c r="B49" s="57"/>
      <c r="C49" s="58"/>
      <c r="D49" s="56">
        <v>0</v>
      </c>
      <c r="E49" s="56">
        <v>0</v>
      </c>
    </row>
    <row r="50" spans="1:5" ht="15.75">
      <c r="A50" s="57" t="s">
        <v>664</v>
      </c>
      <c r="B50" s="57"/>
      <c r="C50" s="58"/>
      <c r="D50" s="56">
        <v>0</v>
      </c>
      <c r="E50" s="56">
        <v>0</v>
      </c>
    </row>
    <row r="51" spans="1:5" ht="15.75">
      <c r="A51" s="57" t="s">
        <v>154</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336</v>
      </c>
      <c r="B3" s="355"/>
      <c r="C3" s="355"/>
      <c r="D3" s="355"/>
      <c r="E3" s="355"/>
      <c r="F3" s="355"/>
      <c r="G3" s="355"/>
      <c r="H3" s="355"/>
      <c r="I3" s="355"/>
      <c r="J3" s="355"/>
      <c r="K3" s="355"/>
      <c r="L3" s="355"/>
    </row>
    <row r="5" ht="16.5">
      <c r="A5" s="356" t="s">
        <v>337</v>
      </c>
    </row>
    <row r="6" ht="16.5">
      <c r="A6" s="356" t="str">
        <f>CONCATENATE(inputPrYr!D6-2," 'total expenditures' exceed your ",inputPrYr!D6-2," 'budget authority.'")</f>
        <v>2011 'total expenditures' exceed your 2011 'budget authority.'</v>
      </c>
    </row>
    <row r="7" ht="16.5">
      <c r="A7" s="356"/>
    </row>
    <row r="8" ht="16.5">
      <c r="A8" s="356" t="s">
        <v>338</v>
      </c>
    </row>
    <row r="9" ht="16.5">
      <c r="A9" s="356" t="s">
        <v>339</v>
      </c>
    </row>
    <row r="10" ht="16.5">
      <c r="A10" s="356" t="s">
        <v>340</v>
      </c>
    </row>
    <row r="11" ht="16.5">
      <c r="A11" s="356"/>
    </row>
    <row r="12" ht="16.5">
      <c r="A12" s="356"/>
    </row>
    <row r="13" ht="16.5">
      <c r="A13" s="357" t="s">
        <v>341</v>
      </c>
    </row>
    <row r="15" ht="16.5">
      <c r="A15" s="356" t="s">
        <v>342</v>
      </c>
    </row>
    <row r="16" ht="16.5">
      <c r="A16" s="356" t="str">
        <f>CONCATENATE("(i.e. an audit has not been completed, or the ",inputPrYr!D6," adopted")</f>
        <v>(i.e. an audit has not been completed, or the 2013 adopted</v>
      </c>
    </row>
    <row r="17" ht="16.5">
      <c r="A17" s="356" t="s">
        <v>343</v>
      </c>
    </row>
    <row r="18" ht="16.5">
      <c r="A18" s="356" t="s">
        <v>344</v>
      </c>
    </row>
    <row r="19" ht="16.5">
      <c r="A19" s="356" t="s">
        <v>345</v>
      </c>
    </row>
    <row r="21" ht="16.5">
      <c r="A21" s="357" t="s">
        <v>346</v>
      </c>
    </row>
    <row r="22" ht="16.5">
      <c r="A22" s="357"/>
    </row>
    <row r="23" ht="16.5">
      <c r="A23" s="356" t="s">
        <v>347</v>
      </c>
    </row>
    <row r="24" ht="16.5">
      <c r="A24" s="356" t="s">
        <v>348</v>
      </c>
    </row>
    <row r="25" ht="16.5">
      <c r="A25" s="356" t="str">
        <f>CONCATENATE("particular fund.  If your ",inputPrYr!D6-2," budget was amended, did you")</f>
        <v>particular fund.  If your 2011 budget was amended, did you</v>
      </c>
    </row>
    <row r="26" ht="16.5">
      <c r="A26" s="356" t="s">
        <v>349</v>
      </c>
    </row>
    <row r="27" ht="16.5">
      <c r="A27" s="356"/>
    </row>
    <row r="28" ht="16.5">
      <c r="A28" s="356" t="str">
        <f>CONCATENATE("Next, look to see if any of your ",inputPrYr!D6-2," expenditures can be")</f>
        <v>Next, look to see if any of your 2011 expenditures can be</v>
      </c>
    </row>
    <row r="29" ht="16.5">
      <c r="A29" s="356" t="s">
        <v>350</v>
      </c>
    </row>
    <row r="30" ht="16.5">
      <c r="A30" s="356" t="s">
        <v>351</v>
      </c>
    </row>
    <row r="31" ht="16.5">
      <c r="A31" s="356" t="s">
        <v>352</v>
      </c>
    </row>
    <row r="32" ht="16.5">
      <c r="A32" s="356"/>
    </row>
    <row r="33" ht="16.5">
      <c r="A33" s="356" t="str">
        <f>CONCATENATE("Additionally, do your ",inputPrYr!D6-2," receipts contain a reimbursement")</f>
        <v>Additionally, do your 2011 receipts contain a reimbursement</v>
      </c>
    </row>
    <row r="34" ht="16.5">
      <c r="A34" s="356" t="s">
        <v>353</v>
      </c>
    </row>
    <row r="35" ht="16.5">
      <c r="A35" s="356" t="s">
        <v>354</v>
      </c>
    </row>
    <row r="36" ht="16.5">
      <c r="A36" s="356"/>
    </row>
    <row r="37" ht="16.5">
      <c r="A37" s="356" t="s">
        <v>358</v>
      </c>
    </row>
    <row r="38" ht="16.5">
      <c r="A38" s="356" t="s">
        <v>359</v>
      </c>
    </row>
    <row r="39" ht="16.5">
      <c r="A39" s="356" t="s">
        <v>360</v>
      </c>
    </row>
    <row r="40" ht="16.5">
      <c r="A40" s="356"/>
    </row>
    <row r="41" ht="16.5">
      <c r="A41" s="357" t="s">
        <v>361</v>
      </c>
    </row>
    <row r="42" ht="16.5">
      <c r="A42" s="356"/>
    </row>
    <row r="43" ht="16.5">
      <c r="A43" s="356" t="s">
        <v>362</v>
      </c>
    </row>
    <row r="44" ht="16.5">
      <c r="A44" s="356" t="s">
        <v>363</v>
      </c>
    </row>
    <row r="45" ht="16.5">
      <c r="A45" s="356" t="s">
        <v>364</v>
      </c>
    </row>
    <row r="46" ht="16.5">
      <c r="A46" s="356" t="s">
        <v>365</v>
      </c>
    </row>
    <row r="47" ht="16.5">
      <c r="A47" s="356" t="s">
        <v>366</v>
      </c>
    </row>
    <row r="48" ht="16.5">
      <c r="A48" s="356" t="s">
        <v>367</v>
      </c>
    </row>
    <row r="49" ht="16.5">
      <c r="A49" s="356" t="s">
        <v>368</v>
      </c>
    </row>
    <row r="50" ht="16.5">
      <c r="A50" s="356" t="s">
        <v>369</v>
      </c>
    </row>
    <row r="51" ht="16.5">
      <c r="A51" s="356" t="s">
        <v>370</v>
      </c>
    </row>
    <row r="52" ht="16.5">
      <c r="A52" s="356" t="s">
        <v>371</v>
      </c>
    </row>
    <row r="53" ht="16.5">
      <c r="A53" s="356" t="s">
        <v>372</v>
      </c>
    </row>
    <row r="54" ht="16.5">
      <c r="A54" s="356" t="s">
        <v>373</v>
      </c>
    </row>
    <row r="55" ht="16.5">
      <c r="A55" s="356" t="s">
        <v>374</v>
      </c>
    </row>
    <row r="56" ht="16.5">
      <c r="A56" s="356"/>
    </row>
    <row r="57" ht="16.5">
      <c r="A57" s="356" t="s">
        <v>375</v>
      </c>
    </row>
    <row r="58" ht="16.5">
      <c r="A58" s="356" t="s">
        <v>376</v>
      </c>
    </row>
    <row r="59" ht="16.5">
      <c r="A59" s="356" t="s">
        <v>377</v>
      </c>
    </row>
    <row r="60" ht="16.5">
      <c r="A60" s="356"/>
    </row>
    <row r="61" ht="16.5">
      <c r="A61" s="357" t="str">
        <f>CONCATENATE("What if the ",inputPrYr!D6-2," financial records have been closed?")</f>
        <v>What if the 2011 financial records have been closed?</v>
      </c>
    </row>
    <row r="63" ht="16.5">
      <c r="A63" s="356" t="s">
        <v>378</v>
      </c>
    </row>
    <row r="64" ht="16.5">
      <c r="A64" s="356" t="str">
        <f>CONCATENATE("(i.e. an audit for ",inputPrYr!D6-2," has been completed, or the ",inputPrYr!D6)</f>
        <v>(i.e. an audit for 2011 has been completed, or the 2013</v>
      </c>
    </row>
    <row r="65" ht="16.5">
      <c r="A65" s="356" t="s">
        <v>379</v>
      </c>
    </row>
    <row r="66" ht="16.5">
      <c r="A66" s="356" t="s">
        <v>380</v>
      </c>
    </row>
    <row r="67" ht="16.5">
      <c r="A67" s="356"/>
    </row>
    <row r="68" ht="16.5">
      <c r="A68" s="356" t="s">
        <v>381</v>
      </c>
    </row>
    <row r="69" ht="16.5">
      <c r="A69" s="356" t="s">
        <v>382</v>
      </c>
    </row>
    <row r="70" ht="16.5">
      <c r="A70" s="356" t="s">
        <v>383</v>
      </c>
    </row>
    <row r="71" ht="16.5">
      <c r="A71" s="356"/>
    </row>
    <row r="72" ht="16.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385</v>
      </c>
      <c r="B3" s="355"/>
      <c r="C3" s="355"/>
      <c r="D3" s="355"/>
      <c r="E3" s="355"/>
      <c r="F3" s="355"/>
      <c r="G3" s="355"/>
      <c r="H3" s="358"/>
      <c r="I3" s="358"/>
      <c r="J3" s="358"/>
    </row>
    <row r="5" ht="16.5">
      <c r="A5" s="356" t="s">
        <v>386</v>
      </c>
    </row>
    <row r="6" ht="16.5">
      <c r="A6" t="str">
        <f>CONCATENATE(inputPrYr!D6-2," expenditures show that you finished the year with a ")</f>
        <v>2011 expenditures show that you finished the year with a </v>
      </c>
    </row>
    <row r="7" ht="16.5">
      <c r="A7" t="s">
        <v>387</v>
      </c>
    </row>
    <row r="9" ht="16.5">
      <c r="A9" t="s">
        <v>388</v>
      </c>
    </row>
    <row r="10" ht="16.5">
      <c r="A10" t="s">
        <v>389</v>
      </c>
    </row>
    <row r="11" ht="16.5">
      <c r="A11" t="s">
        <v>390</v>
      </c>
    </row>
    <row r="13" ht="16.5">
      <c r="A13" s="357" t="s">
        <v>391</v>
      </c>
    </row>
    <row r="14" ht="16.5">
      <c r="A14" s="357"/>
    </row>
    <row r="15" ht="16.5">
      <c r="A15" s="356" t="s">
        <v>392</v>
      </c>
    </row>
    <row r="16" ht="16.5">
      <c r="A16" s="356" t="s">
        <v>393</v>
      </c>
    </row>
    <row r="17" ht="16.5">
      <c r="A17" s="356" t="s">
        <v>394</v>
      </c>
    </row>
    <row r="18" ht="16.5">
      <c r="A18" s="356"/>
    </row>
    <row r="19" ht="16.5">
      <c r="A19" s="357" t="s">
        <v>395</v>
      </c>
    </row>
    <row r="20" ht="16.5">
      <c r="A20" s="357"/>
    </row>
    <row r="21" ht="16.5">
      <c r="A21" s="356" t="s">
        <v>396</v>
      </c>
    </row>
    <row r="22" ht="16.5">
      <c r="A22" s="356" t="s">
        <v>397</v>
      </c>
    </row>
    <row r="23" ht="16.5">
      <c r="A23" s="356" t="s">
        <v>398</v>
      </c>
    </row>
    <row r="24" ht="16.5">
      <c r="A24" s="356"/>
    </row>
    <row r="25" ht="16.5">
      <c r="A25" s="357" t="s">
        <v>399</v>
      </c>
    </row>
    <row r="26" ht="16.5">
      <c r="A26" s="357"/>
    </row>
    <row r="27" ht="16.5">
      <c r="A27" s="356" t="s">
        <v>400</v>
      </c>
    </row>
    <row r="28" ht="16.5">
      <c r="A28" s="356" t="s">
        <v>401</v>
      </c>
    </row>
    <row r="29" ht="16.5">
      <c r="A29" s="356" t="s">
        <v>402</v>
      </c>
    </row>
    <row r="30" ht="16.5">
      <c r="A30" s="356"/>
    </row>
    <row r="31" ht="16.5">
      <c r="A31" s="357" t="s">
        <v>403</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404</v>
      </c>
      <c r="B35" s="356"/>
      <c r="C35" s="356"/>
      <c r="D35" s="356"/>
      <c r="E35" s="356"/>
      <c r="F35" s="356"/>
      <c r="G35" s="356"/>
      <c r="H35" s="356"/>
    </row>
    <row r="36" spans="1:8" ht="16.5">
      <c r="A36" s="356" t="s">
        <v>405</v>
      </c>
      <c r="B36" s="356"/>
      <c r="C36" s="356"/>
      <c r="D36" s="356"/>
      <c r="E36" s="356"/>
      <c r="F36" s="356"/>
      <c r="G36" s="356"/>
      <c r="H36" s="356"/>
    </row>
    <row r="37" spans="1:8" ht="16.5">
      <c r="A37" s="356" t="s">
        <v>406</v>
      </c>
      <c r="B37" s="356"/>
      <c r="C37" s="356"/>
      <c r="D37" s="356"/>
      <c r="E37" s="356"/>
      <c r="F37" s="356"/>
      <c r="G37" s="356"/>
      <c r="H37" s="356"/>
    </row>
    <row r="38" spans="1:8" ht="16.5">
      <c r="A38" s="356" t="s">
        <v>407</v>
      </c>
      <c r="B38" s="356"/>
      <c r="C38" s="356"/>
      <c r="D38" s="356"/>
      <c r="E38" s="356"/>
      <c r="F38" s="356"/>
      <c r="G38" s="356"/>
      <c r="H38" s="356"/>
    </row>
    <row r="39" spans="1:8" ht="16.5">
      <c r="A39" s="356" t="s">
        <v>408</v>
      </c>
      <c r="B39" s="356"/>
      <c r="C39" s="356"/>
      <c r="D39" s="356"/>
      <c r="E39" s="356"/>
      <c r="F39" s="356"/>
      <c r="G39" s="356"/>
      <c r="H39" s="356"/>
    </row>
    <row r="40" spans="1:8" ht="16.5">
      <c r="A40" s="356"/>
      <c r="B40" s="356"/>
      <c r="C40" s="356"/>
      <c r="D40" s="356"/>
      <c r="E40" s="356"/>
      <c r="F40" s="356"/>
      <c r="G40" s="356"/>
      <c r="H40" s="356"/>
    </row>
    <row r="41" spans="1:8" ht="16.5">
      <c r="A41" s="356" t="s">
        <v>409</v>
      </c>
      <c r="B41" s="356"/>
      <c r="C41" s="356"/>
      <c r="D41" s="356"/>
      <c r="E41" s="356"/>
      <c r="F41" s="356"/>
      <c r="G41" s="356"/>
      <c r="H41" s="356"/>
    </row>
    <row r="42" spans="1:8" ht="16.5">
      <c r="A42" s="356" t="s">
        <v>410</v>
      </c>
      <c r="B42" s="356"/>
      <c r="C42" s="356"/>
      <c r="D42" s="356"/>
      <c r="E42" s="356"/>
      <c r="F42" s="356"/>
      <c r="G42" s="356"/>
      <c r="H42" s="356"/>
    </row>
    <row r="43" spans="1:8" ht="16.5">
      <c r="A43" s="356" t="s">
        <v>411</v>
      </c>
      <c r="B43" s="356"/>
      <c r="C43" s="356"/>
      <c r="D43" s="356"/>
      <c r="E43" s="356"/>
      <c r="F43" s="356"/>
      <c r="G43" s="356"/>
      <c r="H43" s="356"/>
    </row>
    <row r="44" spans="1:8" ht="16.5">
      <c r="A44" s="356" t="s">
        <v>412</v>
      </c>
      <c r="B44" s="356"/>
      <c r="C44" s="356"/>
      <c r="D44" s="356"/>
      <c r="E44" s="356"/>
      <c r="F44" s="356"/>
      <c r="G44" s="356"/>
      <c r="H44" s="356"/>
    </row>
    <row r="45" spans="1:8" ht="16.5">
      <c r="A45" s="356"/>
      <c r="B45" s="356"/>
      <c r="C45" s="356"/>
      <c r="D45" s="356"/>
      <c r="E45" s="356"/>
      <c r="F45" s="356"/>
      <c r="G45" s="356"/>
      <c r="H45" s="356"/>
    </row>
    <row r="46" spans="1:8" ht="16.5">
      <c r="A46" s="356" t="s">
        <v>413</v>
      </c>
      <c r="B46" s="356"/>
      <c r="C46" s="356"/>
      <c r="D46" s="356"/>
      <c r="E46" s="356"/>
      <c r="F46" s="356"/>
      <c r="G46" s="356"/>
      <c r="H46" s="356"/>
    </row>
    <row r="47" spans="1:8" ht="16.5">
      <c r="A47" s="356" t="s">
        <v>414</v>
      </c>
      <c r="B47" s="356"/>
      <c r="C47" s="356"/>
      <c r="D47" s="356"/>
      <c r="E47" s="356"/>
      <c r="F47" s="356"/>
      <c r="G47" s="356"/>
      <c r="H47" s="356"/>
    </row>
    <row r="48" spans="1:8" ht="16.5">
      <c r="A48" s="356" t="s">
        <v>415</v>
      </c>
      <c r="B48" s="356"/>
      <c r="C48" s="356"/>
      <c r="D48" s="356"/>
      <c r="E48" s="356"/>
      <c r="F48" s="356"/>
      <c r="G48" s="356"/>
      <c r="H48" s="356"/>
    </row>
    <row r="49" spans="1:8" ht="16.5">
      <c r="A49" s="356" t="s">
        <v>416</v>
      </c>
      <c r="B49" s="356"/>
      <c r="C49" s="356"/>
      <c r="D49" s="356"/>
      <c r="E49" s="356"/>
      <c r="F49" s="356"/>
      <c r="G49" s="356"/>
      <c r="H49" s="356"/>
    </row>
    <row r="50" spans="1:8" ht="16.5">
      <c r="A50" s="356" t="s">
        <v>417</v>
      </c>
      <c r="B50" s="356"/>
      <c r="C50" s="356"/>
      <c r="D50" s="356"/>
      <c r="E50" s="356"/>
      <c r="F50" s="356"/>
      <c r="G50" s="356"/>
      <c r="H50" s="356"/>
    </row>
    <row r="51" spans="1:8" ht="16.5">
      <c r="A51" s="356"/>
      <c r="B51" s="356"/>
      <c r="C51" s="356"/>
      <c r="D51" s="356"/>
      <c r="E51" s="356"/>
      <c r="F51" s="356"/>
      <c r="G51" s="356"/>
      <c r="H51" s="356"/>
    </row>
    <row r="52" spans="1:8" ht="16.5">
      <c r="A52" s="357" t="s">
        <v>418</v>
      </c>
      <c r="B52" s="357"/>
      <c r="C52" s="357"/>
      <c r="D52" s="357"/>
      <c r="E52" s="357"/>
      <c r="F52" s="357"/>
      <c r="G52" s="357"/>
      <c r="H52" s="356"/>
    </row>
    <row r="53" spans="1:8" ht="16.5">
      <c r="A53" s="357" t="s">
        <v>419</v>
      </c>
      <c r="B53" s="357"/>
      <c r="C53" s="357"/>
      <c r="D53" s="357"/>
      <c r="E53" s="357"/>
      <c r="F53" s="357"/>
      <c r="G53" s="357"/>
      <c r="H53" s="356"/>
    </row>
    <row r="54" spans="1:8" ht="16.5">
      <c r="A54" s="356"/>
      <c r="B54" s="356"/>
      <c r="C54" s="356"/>
      <c r="D54" s="356"/>
      <c r="E54" s="356"/>
      <c r="F54" s="356"/>
      <c r="G54" s="356"/>
      <c r="H54" s="356"/>
    </row>
    <row r="55" spans="1:8" ht="16.5">
      <c r="A55" s="356" t="s">
        <v>420</v>
      </c>
      <c r="B55" s="356"/>
      <c r="C55" s="356"/>
      <c r="D55" s="356"/>
      <c r="E55" s="356"/>
      <c r="F55" s="356"/>
      <c r="G55" s="356"/>
      <c r="H55" s="356"/>
    </row>
    <row r="56" spans="1:8" ht="16.5">
      <c r="A56" s="356" t="s">
        <v>421</v>
      </c>
      <c r="B56" s="356"/>
      <c r="C56" s="356"/>
      <c r="D56" s="356"/>
      <c r="E56" s="356"/>
      <c r="F56" s="356"/>
      <c r="G56" s="356"/>
      <c r="H56" s="356"/>
    </row>
    <row r="57" spans="1:8" ht="16.5">
      <c r="A57" s="356" t="s">
        <v>422</v>
      </c>
      <c r="B57" s="356"/>
      <c r="C57" s="356"/>
      <c r="D57" s="356"/>
      <c r="E57" s="356"/>
      <c r="F57" s="356"/>
      <c r="G57" s="356"/>
      <c r="H57" s="356"/>
    </row>
    <row r="58" spans="1:8" ht="16.5">
      <c r="A58" s="356" t="s">
        <v>423</v>
      </c>
      <c r="B58" s="356"/>
      <c r="C58" s="356"/>
      <c r="D58" s="356"/>
      <c r="E58" s="356"/>
      <c r="F58" s="356"/>
      <c r="G58" s="356"/>
      <c r="H58" s="356"/>
    </row>
    <row r="59" spans="1:8" ht="16.5">
      <c r="A59" s="356"/>
      <c r="B59" s="356"/>
      <c r="C59" s="356"/>
      <c r="D59" s="356"/>
      <c r="E59" s="356"/>
      <c r="F59" s="356"/>
      <c r="G59" s="356"/>
      <c r="H59" s="356"/>
    </row>
    <row r="60" spans="1:8" ht="16.5">
      <c r="A60" s="356" t="s">
        <v>424</v>
      </c>
      <c r="B60" s="356"/>
      <c r="C60" s="356"/>
      <c r="D60" s="356"/>
      <c r="E60" s="356"/>
      <c r="F60" s="356"/>
      <c r="G60" s="356"/>
      <c r="H60" s="356"/>
    </row>
    <row r="61" spans="1:8" ht="16.5">
      <c r="A61" s="356" t="s">
        <v>425</v>
      </c>
      <c r="B61" s="356"/>
      <c r="C61" s="356"/>
      <c r="D61" s="356"/>
      <c r="E61" s="356"/>
      <c r="F61" s="356"/>
      <c r="G61" s="356"/>
      <c r="H61" s="356"/>
    </row>
    <row r="62" spans="1:8" ht="16.5">
      <c r="A62" s="356" t="s">
        <v>426</v>
      </c>
      <c r="B62" s="356"/>
      <c r="C62" s="356"/>
      <c r="D62" s="356"/>
      <c r="E62" s="356"/>
      <c r="F62" s="356"/>
      <c r="G62" s="356"/>
      <c r="H62" s="356"/>
    </row>
    <row r="63" spans="1:8" ht="16.5">
      <c r="A63" s="356" t="s">
        <v>427</v>
      </c>
      <c r="B63" s="356"/>
      <c r="C63" s="356"/>
      <c r="D63" s="356"/>
      <c r="E63" s="356"/>
      <c r="F63" s="356"/>
      <c r="G63" s="356"/>
      <c r="H63" s="356"/>
    </row>
    <row r="64" spans="1:8" ht="16.5">
      <c r="A64" s="356" t="s">
        <v>428</v>
      </c>
      <c r="B64" s="356"/>
      <c r="C64" s="356"/>
      <c r="D64" s="356"/>
      <c r="E64" s="356"/>
      <c r="F64" s="356"/>
      <c r="G64" s="356"/>
      <c r="H64" s="356"/>
    </row>
    <row r="65" spans="1:8" ht="16.5">
      <c r="A65" s="356" t="s">
        <v>429</v>
      </c>
      <c r="B65" s="356"/>
      <c r="C65" s="356"/>
      <c r="D65" s="356"/>
      <c r="E65" s="356"/>
      <c r="F65" s="356"/>
      <c r="G65" s="356"/>
      <c r="H65" s="356"/>
    </row>
    <row r="66" spans="1:8" ht="16.5">
      <c r="A66" s="356"/>
      <c r="B66" s="356"/>
      <c r="C66" s="356"/>
      <c r="D66" s="356"/>
      <c r="E66" s="356"/>
      <c r="F66" s="356"/>
      <c r="G66" s="356"/>
      <c r="H66" s="356"/>
    </row>
    <row r="67" spans="1:8" ht="16.5">
      <c r="A67" s="356" t="s">
        <v>430</v>
      </c>
      <c r="B67" s="356"/>
      <c r="C67" s="356"/>
      <c r="D67" s="356"/>
      <c r="E67" s="356"/>
      <c r="F67" s="356"/>
      <c r="G67" s="356"/>
      <c r="H67" s="356"/>
    </row>
    <row r="68" spans="1:8" ht="16.5">
      <c r="A68" s="356" t="s">
        <v>431</v>
      </c>
      <c r="B68" s="356"/>
      <c r="C68" s="356"/>
      <c r="D68" s="356"/>
      <c r="E68" s="356"/>
      <c r="F68" s="356"/>
      <c r="G68" s="356"/>
      <c r="H68" s="356"/>
    </row>
    <row r="69" spans="1:8" ht="16.5">
      <c r="A69" s="356" t="s">
        <v>432</v>
      </c>
      <c r="B69" s="356"/>
      <c r="C69" s="356"/>
      <c r="D69" s="356"/>
      <c r="E69" s="356"/>
      <c r="F69" s="356"/>
      <c r="G69" s="356"/>
      <c r="H69" s="356"/>
    </row>
    <row r="70" spans="1:8" ht="16.5">
      <c r="A70" s="356" t="s">
        <v>433</v>
      </c>
      <c r="B70" s="356"/>
      <c r="C70" s="356"/>
      <c r="D70" s="356"/>
      <c r="E70" s="356"/>
      <c r="F70" s="356"/>
      <c r="G70" s="356"/>
      <c r="H70" s="356"/>
    </row>
    <row r="71" spans="1:8" ht="16.5">
      <c r="A71" s="356" t="s">
        <v>434</v>
      </c>
      <c r="B71" s="356"/>
      <c r="C71" s="356"/>
      <c r="D71" s="356"/>
      <c r="E71" s="356"/>
      <c r="F71" s="356"/>
      <c r="G71" s="356"/>
      <c r="H71" s="356"/>
    </row>
    <row r="72" spans="1:8" ht="16.5">
      <c r="A72" s="356" t="s">
        <v>435</v>
      </c>
      <c r="B72" s="356"/>
      <c r="C72" s="356"/>
      <c r="D72" s="356"/>
      <c r="E72" s="356"/>
      <c r="F72" s="356"/>
      <c r="G72" s="356"/>
      <c r="H72" s="356"/>
    </row>
    <row r="73" spans="1:8" ht="16.5">
      <c r="A73" s="356" t="s">
        <v>436</v>
      </c>
      <c r="B73" s="356"/>
      <c r="C73" s="356"/>
      <c r="D73" s="356"/>
      <c r="E73" s="356"/>
      <c r="F73" s="356"/>
      <c r="G73" s="356"/>
      <c r="H73" s="356"/>
    </row>
    <row r="74" spans="1:8" ht="16.5">
      <c r="A74" s="356"/>
      <c r="B74" s="356"/>
      <c r="C74" s="356"/>
      <c r="D74" s="356"/>
      <c r="E74" s="356"/>
      <c r="F74" s="356"/>
      <c r="G74" s="356"/>
      <c r="H74" s="356"/>
    </row>
    <row r="75" spans="1:8" ht="16.5">
      <c r="A75" s="356" t="s">
        <v>437</v>
      </c>
      <c r="B75" s="356"/>
      <c r="C75" s="356"/>
      <c r="D75" s="356"/>
      <c r="E75" s="356"/>
      <c r="F75" s="356"/>
      <c r="G75" s="356"/>
      <c r="H75" s="356"/>
    </row>
    <row r="76" spans="1:8" ht="16.5">
      <c r="A76" s="356" t="s">
        <v>438</v>
      </c>
      <c r="B76" s="356"/>
      <c r="C76" s="356"/>
      <c r="D76" s="356"/>
      <c r="E76" s="356"/>
      <c r="F76" s="356"/>
      <c r="G76" s="356"/>
      <c r="H76" s="356"/>
    </row>
    <row r="77" spans="1:8" ht="16.5">
      <c r="A77" s="356" t="s">
        <v>439</v>
      </c>
      <c r="B77" s="356"/>
      <c r="C77" s="356"/>
      <c r="D77" s="356"/>
      <c r="E77" s="356"/>
      <c r="F77" s="356"/>
      <c r="G77" s="356"/>
      <c r="H77" s="356"/>
    </row>
    <row r="78" spans="1:8" ht="16.5">
      <c r="A78" s="356"/>
      <c r="B78" s="356"/>
      <c r="C78" s="356"/>
      <c r="D78" s="356"/>
      <c r="E78" s="356"/>
      <c r="F78" s="356"/>
      <c r="G78" s="356"/>
      <c r="H78" s="356"/>
    </row>
    <row r="79" ht="16.5">
      <c r="A79" s="356" t="s">
        <v>384</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440</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337</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441</v>
      </c>
      <c r="I7" s="355"/>
      <c r="J7" s="355"/>
      <c r="K7" s="355"/>
      <c r="L7" s="355"/>
    </row>
    <row r="8" spans="1:12" ht="16.5">
      <c r="A8" s="356"/>
      <c r="I8" s="355"/>
      <c r="J8" s="355"/>
      <c r="K8" s="355"/>
      <c r="L8" s="355"/>
    </row>
    <row r="9" spans="1:12" ht="16.5">
      <c r="A9" s="356" t="s">
        <v>442</v>
      </c>
      <c r="I9" s="355"/>
      <c r="J9" s="355"/>
      <c r="K9" s="355"/>
      <c r="L9" s="355"/>
    </row>
    <row r="10" spans="1:12" ht="16.5">
      <c r="A10" s="356" t="s">
        <v>443</v>
      </c>
      <c r="I10" s="355"/>
      <c r="J10" s="355"/>
      <c r="K10" s="355"/>
      <c r="L10" s="355"/>
    </row>
    <row r="11" spans="1:12" ht="16.5">
      <c r="A11" s="356" t="s">
        <v>444</v>
      </c>
      <c r="I11" s="355"/>
      <c r="J11" s="355"/>
      <c r="K11" s="355"/>
      <c r="L11" s="355"/>
    </row>
    <row r="12" spans="1:12" ht="16.5">
      <c r="A12" s="356" t="s">
        <v>445</v>
      </c>
      <c r="I12" s="355"/>
      <c r="J12" s="355"/>
      <c r="K12" s="355"/>
      <c r="L12" s="355"/>
    </row>
    <row r="13" spans="1:12" ht="16.5">
      <c r="A13" s="356" t="s">
        <v>446</v>
      </c>
      <c r="I13" s="355"/>
      <c r="J13" s="355"/>
      <c r="K13" s="355"/>
      <c r="L13" s="355"/>
    </row>
    <row r="14" spans="1:12" ht="16.5">
      <c r="A14" s="355"/>
      <c r="B14" s="355"/>
      <c r="C14" s="355"/>
      <c r="D14" s="355"/>
      <c r="E14" s="355"/>
      <c r="F14" s="355"/>
      <c r="G14" s="355"/>
      <c r="H14" s="355"/>
      <c r="I14" s="355"/>
      <c r="J14" s="355"/>
      <c r="K14" s="355"/>
      <c r="L14" s="355"/>
    </row>
    <row r="15" ht="16.5">
      <c r="A15" s="357" t="s">
        <v>447</v>
      </c>
    </row>
    <row r="16" ht="16.5">
      <c r="A16" s="357" t="s">
        <v>448</v>
      </c>
    </row>
    <row r="17" ht="16.5">
      <c r="A17" s="357"/>
    </row>
    <row r="18" spans="1:7" ht="16.5">
      <c r="A18" s="356" t="s">
        <v>449</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450</v>
      </c>
      <c r="B20" s="356"/>
      <c r="C20" s="356"/>
      <c r="D20" s="356"/>
      <c r="E20" s="356"/>
      <c r="F20" s="356"/>
      <c r="G20" s="356"/>
    </row>
    <row r="21" spans="1:7" ht="16.5">
      <c r="A21" s="356" t="s">
        <v>451</v>
      </c>
      <c r="B21" s="356"/>
      <c r="C21" s="356"/>
      <c r="D21" s="356"/>
      <c r="E21" s="356"/>
      <c r="F21" s="356"/>
      <c r="G21" s="356"/>
    </row>
    <row r="22" ht="16.5">
      <c r="A22" s="356"/>
    </row>
    <row r="23" ht="16.5">
      <c r="A23" s="357" t="s">
        <v>452</v>
      </c>
    </row>
    <row r="24" ht="16.5">
      <c r="A24" s="357"/>
    </row>
    <row r="25" ht="16.5">
      <c r="A25" s="356" t="s">
        <v>453</v>
      </c>
    </row>
    <row r="26" spans="1:6" ht="16.5">
      <c r="A26" s="356" t="s">
        <v>454</v>
      </c>
      <c r="B26" s="356"/>
      <c r="C26" s="356"/>
      <c r="D26" s="356"/>
      <c r="E26" s="356"/>
      <c r="F26" s="356"/>
    </row>
    <row r="27" spans="1:6" ht="16.5">
      <c r="A27" s="356" t="s">
        <v>455</v>
      </c>
      <c r="B27" s="356"/>
      <c r="C27" s="356"/>
      <c r="D27" s="356"/>
      <c r="E27" s="356"/>
      <c r="F27" s="356"/>
    </row>
    <row r="28" spans="1:6" ht="16.5">
      <c r="A28" s="356" t="s">
        <v>456</v>
      </c>
      <c r="B28" s="356"/>
      <c r="C28" s="356"/>
      <c r="D28" s="356"/>
      <c r="E28" s="356"/>
      <c r="F28" s="356"/>
    </row>
    <row r="29" spans="1:6" ht="16.5">
      <c r="A29" s="356"/>
      <c r="B29" s="356"/>
      <c r="C29" s="356"/>
      <c r="D29" s="356"/>
      <c r="E29" s="356"/>
      <c r="F29" s="356"/>
    </row>
    <row r="30" spans="1:7" ht="16.5">
      <c r="A30" s="357" t="s">
        <v>457</v>
      </c>
      <c r="B30" s="357"/>
      <c r="C30" s="357"/>
      <c r="D30" s="357"/>
      <c r="E30" s="357"/>
      <c r="F30" s="357"/>
      <c r="G30" s="357"/>
    </row>
    <row r="31" spans="1:7" ht="16.5">
      <c r="A31" s="357" t="s">
        <v>458</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459</v>
      </c>
      <c r="B34" s="356"/>
      <c r="C34" s="356"/>
      <c r="D34" s="356"/>
      <c r="E34" s="356"/>
      <c r="F34" s="356"/>
    </row>
    <row r="35" spans="1:6" ht="16.5">
      <c r="A35" s="350" t="s">
        <v>351</v>
      </c>
      <c r="B35" s="356"/>
      <c r="C35" s="356"/>
      <c r="D35" s="356"/>
      <c r="E35" s="356"/>
      <c r="F35" s="356"/>
    </row>
    <row r="36" spans="1:6" ht="16.5">
      <c r="A36" s="350" t="s">
        <v>352</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353</v>
      </c>
      <c r="B39" s="356"/>
      <c r="C39" s="356"/>
      <c r="D39" s="356"/>
      <c r="E39" s="356"/>
      <c r="F39" s="356"/>
    </row>
    <row r="40" spans="1:6" ht="16.5">
      <c r="A40" s="350" t="s">
        <v>354</v>
      </c>
      <c r="B40" s="356"/>
      <c r="C40" s="356"/>
      <c r="D40" s="356"/>
      <c r="E40" s="356"/>
      <c r="F40" s="356"/>
    </row>
    <row r="41" spans="1:6" ht="16.5">
      <c r="A41" s="350"/>
      <c r="B41" s="356"/>
      <c r="C41" s="356"/>
      <c r="D41" s="356"/>
      <c r="E41" s="356"/>
      <c r="F41" s="356"/>
    </row>
    <row r="42" spans="1:6" ht="16.5">
      <c r="A42" s="350" t="s">
        <v>460</v>
      </c>
      <c r="B42" s="356"/>
      <c r="C42" s="356"/>
      <c r="D42" s="356"/>
      <c r="E42" s="356"/>
      <c r="F42" s="356"/>
    </row>
    <row r="43" spans="1:6" ht="16.5">
      <c r="A43" s="350" t="s">
        <v>461</v>
      </c>
      <c r="B43" s="356"/>
      <c r="C43" s="356"/>
      <c r="D43" s="356"/>
      <c r="E43" s="356"/>
      <c r="F43" s="356"/>
    </row>
    <row r="44" spans="1:6" ht="16.5">
      <c r="A44" s="350" t="s">
        <v>462</v>
      </c>
      <c r="B44" s="356"/>
      <c r="C44" s="356"/>
      <c r="D44" s="356"/>
      <c r="E44" s="356"/>
      <c r="F44" s="356"/>
    </row>
    <row r="45" spans="1:6" ht="16.5">
      <c r="A45" s="350" t="s">
        <v>463</v>
      </c>
      <c r="B45" s="356"/>
      <c r="C45" s="356"/>
      <c r="D45" s="356"/>
      <c r="E45" s="356"/>
      <c r="F45" s="356"/>
    </row>
    <row r="46" spans="1:6" ht="16.5">
      <c r="A46" s="350" t="s">
        <v>464</v>
      </c>
      <c r="B46" s="356"/>
      <c r="C46" s="356"/>
      <c r="D46" s="356"/>
      <c r="E46" s="356"/>
      <c r="F46" s="356"/>
    </row>
    <row r="47" spans="1:6" ht="16.5">
      <c r="A47" s="350"/>
      <c r="B47" s="356"/>
      <c r="C47" s="356"/>
      <c r="D47" s="356"/>
      <c r="E47" s="356"/>
      <c r="F47" s="356"/>
    </row>
    <row r="48" spans="1:6" ht="16.5">
      <c r="A48" s="351" t="s">
        <v>465</v>
      </c>
      <c r="B48" s="356"/>
      <c r="C48" s="356"/>
      <c r="D48" s="356"/>
      <c r="E48" s="356"/>
      <c r="F48" s="356"/>
    </row>
    <row r="49" spans="1:6" ht="16.5">
      <c r="A49" s="351" t="s">
        <v>466</v>
      </c>
      <c r="B49" s="356"/>
      <c r="C49" s="356"/>
      <c r="D49" s="356"/>
      <c r="E49" s="356"/>
      <c r="F49" s="356"/>
    </row>
    <row r="50" spans="1:6" ht="16.5">
      <c r="A50" s="351" t="s">
        <v>467</v>
      </c>
      <c r="B50" s="356"/>
      <c r="C50" s="356"/>
      <c r="D50" s="356"/>
      <c r="E50" s="356"/>
      <c r="F50" s="356"/>
    </row>
    <row r="51" ht="16.5">
      <c r="A51" s="351" t="s">
        <v>468</v>
      </c>
    </row>
    <row r="52" ht="16.5">
      <c r="A52" s="351" t="s">
        <v>469</v>
      </c>
    </row>
    <row r="53" ht="16.5">
      <c r="A53" s="351" t="s">
        <v>470</v>
      </c>
    </row>
    <row r="55" ht="16.5">
      <c r="A55" s="356" t="s">
        <v>471</v>
      </c>
    </row>
    <row r="56" ht="16.5">
      <c r="A56" s="356" t="s">
        <v>472</v>
      </c>
    </row>
    <row r="57" ht="16.5">
      <c r="A57" s="356" t="s">
        <v>473</v>
      </c>
    </row>
    <row r="58" ht="16.5">
      <c r="A58" s="356" t="s">
        <v>474</v>
      </c>
    </row>
    <row r="59" ht="16.5">
      <c r="A59" s="356" t="s">
        <v>475</v>
      </c>
    </row>
    <row r="60" ht="16.5">
      <c r="A60" s="356" t="s">
        <v>476</v>
      </c>
    </row>
    <row r="62" ht="16.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477</v>
      </c>
      <c r="B3" s="355"/>
      <c r="C3" s="355"/>
      <c r="D3" s="355"/>
      <c r="E3" s="355"/>
      <c r="F3" s="355"/>
      <c r="G3" s="355"/>
    </row>
    <row r="4" spans="1:7" ht="16.5">
      <c r="A4" s="355"/>
      <c r="B4" s="355"/>
      <c r="C4" s="355"/>
      <c r="D4" s="355"/>
      <c r="E4" s="355"/>
      <c r="F4" s="355"/>
      <c r="G4" s="355"/>
    </row>
    <row r="5" ht="16.5">
      <c r="A5" s="356" t="s">
        <v>386</v>
      </c>
    </row>
    <row r="6" ht="16.5">
      <c r="A6" s="356" t="str">
        <f>CONCATENATE(inputPrYr!D6-1," estimated expenditures show that at the end of this year")</f>
        <v>2012 estimated expenditures show that at the end of this year</v>
      </c>
    </row>
    <row r="7" ht="16.5">
      <c r="A7" s="356" t="s">
        <v>478</v>
      </c>
    </row>
    <row r="8" ht="16.5">
      <c r="A8" s="356" t="s">
        <v>479</v>
      </c>
    </row>
    <row r="10" ht="16.5">
      <c r="A10" t="s">
        <v>388</v>
      </c>
    </row>
    <row r="11" ht="16.5">
      <c r="A11" t="s">
        <v>389</v>
      </c>
    </row>
    <row r="12" ht="16.5">
      <c r="A12" t="s">
        <v>390</v>
      </c>
    </row>
    <row r="13" spans="1:7" ht="16.5">
      <c r="A13" s="355"/>
      <c r="B13" s="355"/>
      <c r="C13" s="355"/>
      <c r="D13" s="355"/>
      <c r="E13" s="355"/>
      <c r="F13" s="355"/>
      <c r="G13" s="355"/>
    </row>
    <row r="14" ht="16.5">
      <c r="A14" s="357" t="s">
        <v>480</v>
      </c>
    </row>
    <row r="15" ht="16.5">
      <c r="A15" s="356"/>
    </row>
    <row r="16" ht="16.5">
      <c r="A16" s="356" t="s">
        <v>481</v>
      </c>
    </row>
    <row r="17" ht="16.5">
      <c r="A17" s="356" t="s">
        <v>482</v>
      </c>
    </row>
    <row r="18" ht="16.5">
      <c r="A18" s="356" t="s">
        <v>483</v>
      </c>
    </row>
    <row r="19" ht="16.5">
      <c r="A19" s="356"/>
    </row>
    <row r="20" ht="16.5">
      <c r="A20" s="356" t="s">
        <v>484</v>
      </c>
    </row>
    <row r="21" ht="16.5">
      <c r="A21" s="356" t="s">
        <v>485</v>
      </c>
    </row>
    <row r="22" ht="16.5">
      <c r="A22" s="356" t="s">
        <v>486</v>
      </c>
    </row>
    <row r="23" ht="16.5">
      <c r="A23" s="356" t="s">
        <v>487</v>
      </c>
    </row>
    <row r="24" ht="16.5">
      <c r="A24" s="356"/>
    </row>
    <row r="25" ht="16.5">
      <c r="A25" s="357" t="s">
        <v>452</v>
      </c>
    </row>
    <row r="26" ht="16.5">
      <c r="A26" s="357"/>
    </row>
    <row r="27" ht="16.5">
      <c r="A27" s="356" t="s">
        <v>453</v>
      </c>
    </row>
    <row r="28" spans="1:6" ht="16.5">
      <c r="A28" s="356" t="s">
        <v>454</v>
      </c>
      <c r="B28" s="356"/>
      <c r="C28" s="356"/>
      <c r="D28" s="356"/>
      <c r="E28" s="356"/>
      <c r="F28" s="356"/>
    </row>
    <row r="29" spans="1:6" ht="16.5">
      <c r="A29" s="356" t="s">
        <v>455</v>
      </c>
      <c r="B29" s="356"/>
      <c r="C29" s="356"/>
      <c r="D29" s="356"/>
      <c r="E29" s="356"/>
      <c r="F29" s="356"/>
    </row>
    <row r="30" spans="1:6" ht="16.5">
      <c r="A30" s="356" t="s">
        <v>456</v>
      </c>
      <c r="B30" s="356"/>
      <c r="C30" s="356"/>
      <c r="D30" s="356"/>
      <c r="E30" s="356"/>
      <c r="F30" s="356"/>
    </row>
    <row r="31" ht="16.5">
      <c r="A31" s="356"/>
    </row>
    <row r="32" spans="1:7" ht="16.5">
      <c r="A32" s="357" t="s">
        <v>457</v>
      </c>
      <c r="B32" s="357"/>
      <c r="C32" s="357"/>
      <c r="D32" s="357"/>
      <c r="E32" s="357"/>
      <c r="F32" s="357"/>
      <c r="G32" s="357"/>
    </row>
    <row r="33" spans="1:7" ht="16.5">
      <c r="A33" s="357" t="s">
        <v>458</v>
      </c>
      <c r="B33" s="357"/>
      <c r="C33" s="357"/>
      <c r="D33" s="357"/>
      <c r="E33" s="357"/>
      <c r="F33" s="357"/>
      <c r="G33" s="357"/>
    </row>
    <row r="34" spans="1:7" ht="16.5">
      <c r="A34" s="357"/>
      <c r="B34" s="357"/>
      <c r="C34" s="357"/>
      <c r="D34" s="357"/>
      <c r="E34" s="357"/>
      <c r="F34" s="357"/>
      <c r="G34" s="357"/>
    </row>
    <row r="35" spans="1:7" ht="16.5">
      <c r="A35" s="356" t="s">
        <v>488</v>
      </c>
      <c r="B35" s="356"/>
      <c r="C35" s="356"/>
      <c r="D35" s="356"/>
      <c r="E35" s="356"/>
      <c r="F35" s="356"/>
      <c r="G35" s="356"/>
    </row>
    <row r="36" spans="1:7" ht="16.5">
      <c r="A36" s="356" t="s">
        <v>489</v>
      </c>
      <c r="B36" s="356"/>
      <c r="C36" s="356"/>
      <c r="D36" s="356"/>
      <c r="E36" s="356"/>
      <c r="F36" s="356"/>
      <c r="G36" s="356"/>
    </row>
    <row r="37" spans="1:7" ht="16.5">
      <c r="A37" s="356" t="s">
        <v>490</v>
      </c>
      <c r="B37" s="356"/>
      <c r="C37" s="356"/>
      <c r="D37" s="356"/>
      <c r="E37" s="356"/>
      <c r="F37" s="356"/>
      <c r="G37" s="356"/>
    </row>
    <row r="38" spans="1:7" ht="16.5">
      <c r="A38" s="356" t="s">
        <v>491</v>
      </c>
      <c r="B38" s="356"/>
      <c r="C38" s="356"/>
      <c r="D38" s="356"/>
      <c r="E38" s="356"/>
      <c r="F38" s="356"/>
      <c r="G38" s="356"/>
    </row>
    <row r="39" spans="1:7" ht="16.5">
      <c r="A39" s="356" t="s">
        <v>492</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459</v>
      </c>
      <c r="B42" s="356"/>
      <c r="C42" s="356"/>
      <c r="D42" s="356"/>
      <c r="E42" s="356"/>
      <c r="F42" s="356"/>
    </row>
    <row r="43" spans="1:6" ht="16.5">
      <c r="A43" s="350" t="s">
        <v>351</v>
      </c>
      <c r="B43" s="356"/>
      <c r="C43" s="356"/>
      <c r="D43" s="356"/>
      <c r="E43" s="356"/>
      <c r="F43" s="356"/>
    </row>
    <row r="44" spans="1:6" ht="16.5">
      <c r="A44" s="350" t="s">
        <v>352</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353</v>
      </c>
      <c r="B47" s="356"/>
      <c r="C47" s="356"/>
      <c r="D47" s="356"/>
      <c r="E47" s="356"/>
      <c r="F47" s="356"/>
    </row>
    <row r="48" spans="1:6" ht="16.5">
      <c r="A48" s="350" t="s">
        <v>354</v>
      </c>
      <c r="B48" s="356"/>
      <c r="C48" s="356"/>
      <c r="D48" s="356"/>
      <c r="E48" s="356"/>
      <c r="F48" s="356"/>
    </row>
    <row r="49" spans="1:7" ht="16.5">
      <c r="A49" s="356"/>
      <c r="B49" s="356"/>
      <c r="C49" s="356"/>
      <c r="D49" s="356"/>
      <c r="E49" s="356"/>
      <c r="F49" s="356"/>
      <c r="G49" s="356"/>
    </row>
    <row r="50" spans="1:7" ht="16.5">
      <c r="A50" s="356" t="s">
        <v>413</v>
      </c>
      <c r="B50" s="356"/>
      <c r="C50" s="356"/>
      <c r="D50" s="356"/>
      <c r="E50" s="356"/>
      <c r="F50" s="356"/>
      <c r="G50" s="356"/>
    </row>
    <row r="51" spans="1:7" ht="16.5">
      <c r="A51" s="356" t="s">
        <v>414</v>
      </c>
      <c r="B51" s="356"/>
      <c r="C51" s="356"/>
      <c r="D51" s="356"/>
      <c r="E51" s="356"/>
      <c r="F51" s="356"/>
      <c r="G51" s="356"/>
    </row>
    <row r="52" spans="1:7" ht="16.5">
      <c r="A52" s="356" t="s">
        <v>415</v>
      </c>
      <c r="B52" s="356"/>
      <c r="C52" s="356"/>
      <c r="D52" s="356"/>
      <c r="E52" s="356"/>
      <c r="F52" s="356"/>
      <c r="G52" s="356"/>
    </row>
    <row r="53" spans="1:7" ht="16.5">
      <c r="A53" s="356" t="s">
        <v>416</v>
      </c>
      <c r="B53" s="356"/>
      <c r="C53" s="356"/>
      <c r="D53" s="356"/>
      <c r="E53" s="356"/>
      <c r="F53" s="356"/>
      <c r="G53" s="356"/>
    </row>
    <row r="54" spans="1:7" ht="16.5">
      <c r="A54" s="356" t="s">
        <v>417</v>
      </c>
      <c r="B54" s="356"/>
      <c r="C54" s="356"/>
      <c r="D54" s="356"/>
      <c r="E54" s="356"/>
      <c r="F54" s="356"/>
      <c r="G54" s="356"/>
    </row>
    <row r="55" spans="1:7" ht="16.5">
      <c r="A55" s="356"/>
      <c r="B55" s="356"/>
      <c r="C55" s="356"/>
      <c r="D55" s="356"/>
      <c r="E55" s="356"/>
      <c r="F55" s="356"/>
      <c r="G55" s="356"/>
    </row>
    <row r="56" spans="1:6" ht="16.5">
      <c r="A56" s="350" t="s">
        <v>355</v>
      </c>
      <c r="B56" s="356"/>
      <c r="C56" s="356"/>
      <c r="D56" s="356"/>
      <c r="E56" s="356"/>
      <c r="F56" s="356"/>
    </row>
    <row r="57" spans="1:6" ht="16.5">
      <c r="A57" s="350" t="s">
        <v>356</v>
      </c>
      <c r="B57" s="356"/>
      <c r="C57" s="356"/>
      <c r="D57" s="356"/>
      <c r="E57" s="356"/>
      <c r="F57" s="356"/>
    </row>
    <row r="58" spans="1:6" ht="16.5">
      <c r="A58" s="350" t="s">
        <v>357</v>
      </c>
      <c r="B58" s="356"/>
      <c r="C58" s="356"/>
      <c r="D58" s="356"/>
      <c r="E58" s="356"/>
      <c r="F58" s="356"/>
    </row>
    <row r="59" spans="1:6" ht="16.5">
      <c r="A59" s="350"/>
      <c r="B59" s="356"/>
      <c r="C59" s="356"/>
      <c r="D59" s="356"/>
      <c r="E59" s="356"/>
      <c r="F59" s="356"/>
    </row>
    <row r="60" spans="1:7" ht="16.5">
      <c r="A60" s="356" t="s">
        <v>493</v>
      </c>
      <c r="B60" s="356"/>
      <c r="C60" s="356"/>
      <c r="D60" s="356"/>
      <c r="E60" s="356"/>
      <c r="F60" s="356"/>
      <c r="G60" s="356"/>
    </row>
    <row r="61" spans="1:7" ht="16.5">
      <c r="A61" s="356" t="s">
        <v>494</v>
      </c>
      <c r="B61" s="356"/>
      <c r="C61" s="356"/>
      <c r="D61" s="356"/>
      <c r="E61" s="356"/>
      <c r="F61" s="356"/>
      <c r="G61" s="356"/>
    </row>
    <row r="62" spans="1:7" ht="16.5">
      <c r="A62" s="356" t="s">
        <v>495</v>
      </c>
      <c r="B62" s="356"/>
      <c r="C62" s="356"/>
      <c r="D62" s="356"/>
      <c r="E62" s="356"/>
      <c r="F62" s="356"/>
      <c r="G62" s="356"/>
    </row>
    <row r="63" spans="1:7" ht="16.5">
      <c r="A63" s="356" t="s">
        <v>496</v>
      </c>
      <c r="B63" s="356"/>
      <c r="C63" s="356"/>
      <c r="D63" s="356"/>
      <c r="E63" s="356"/>
      <c r="F63" s="356"/>
      <c r="G63" s="356"/>
    </row>
    <row r="64" spans="1:7" ht="16.5">
      <c r="A64" s="356" t="s">
        <v>497</v>
      </c>
      <c r="B64" s="356"/>
      <c r="C64" s="356"/>
      <c r="D64" s="356"/>
      <c r="E64" s="356"/>
      <c r="F64" s="356"/>
      <c r="G64" s="356"/>
    </row>
    <row r="66" spans="1:6" ht="16.5">
      <c r="A66" s="350" t="s">
        <v>460</v>
      </c>
      <c r="B66" s="356"/>
      <c r="C66" s="356"/>
      <c r="D66" s="356"/>
      <c r="E66" s="356"/>
      <c r="F66" s="356"/>
    </row>
    <row r="67" spans="1:6" ht="16.5">
      <c r="A67" s="350" t="s">
        <v>461</v>
      </c>
      <c r="B67" s="356"/>
      <c r="C67" s="356"/>
      <c r="D67" s="356"/>
      <c r="E67" s="356"/>
      <c r="F67" s="356"/>
    </row>
    <row r="68" spans="1:6" ht="16.5">
      <c r="A68" s="350" t="s">
        <v>462</v>
      </c>
      <c r="B68" s="356"/>
      <c r="C68" s="356"/>
      <c r="D68" s="356"/>
      <c r="E68" s="356"/>
      <c r="F68" s="356"/>
    </row>
    <row r="69" spans="1:6" ht="16.5">
      <c r="A69" s="350" t="s">
        <v>463</v>
      </c>
      <c r="B69" s="356"/>
      <c r="C69" s="356"/>
      <c r="D69" s="356"/>
      <c r="E69" s="356"/>
      <c r="F69" s="356"/>
    </row>
    <row r="70" spans="1:6" ht="16.5">
      <c r="A70" s="350" t="s">
        <v>464</v>
      </c>
      <c r="B70" s="356"/>
      <c r="C70" s="356"/>
      <c r="D70" s="356"/>
      <c r="E70" s="356"/>
      <c r="F70" s="356"/>
    </row>
    <row r="71" ht="16.5">
      <c r="A71" s="356"/>
    </row>
    <row r="72" ht="16.5">
      <c r="A72" s="356" t="s">
        <v>384</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498</v>
      </c>
      <c r="B3" s="355"/>
      <c r="C3" s="355"/>
      <c r="D3" s="355"/>
      <c r="E3" s="355"/>
      <c r="F3" s="355"/>
      <c r="G3" s="355"/>
    </row>
    <row r="4" spans="1:7" ht="16.5">
      <c r="A4" s="355" t="s">
        <v>499</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337</v>
      </c>
    </row>
    <row r="8" ht="16.5">
      <c r="A8" s="356" t="str">
        <f>CONCATENATE("estimated ",inputPrYr!D6," 'total expenditures' exceed your ",inputPrYr!D6,"")</f>
        <v>estimated 2013 'total expenditures' exceed your 2013</v>
      </c>
    </row>
    <row r="9" ht="16.5">
      <c r="A9" s="359" t="s">
        <v>500</v>
      </c>
    </row>
    <row r="10" ht="16.5">
      <c r="A10" s="356"/>
    </row>
    <row r="11" ht="16.5">
      <c r="A11" s="356" t="s">
        <v>501</v>
      </c>
    </row>
    <row r="12" ht="16.5">
      <c r="A12" s="356" t="s">
        <v>502</v>
      </c>
    </row>
    <row r="13" ht="16.5">
      <c r="A13" s="356" t="s">
        <v>503</v>
      </c>
    </row>
    <row r="14" ht="16.5">
      <c r="A14" s="356"/>
    </row>
    <row r="15" ht="16.5">
      <c r="A15" s="357" t="s">
        <v>504</v>
      </c>
    </row>
    <row r="16" spans="1:7" ht="16.5">
      <c r="A16" s="355"/>
      <c r="B16" s="355"/>
      <c r="C16" s="355"/>
      <c r="D16" s="355"/>
      <c r="E16" s="355"/>
      <c r="F16" s="355"/>
      <c r="G16" s="355"/>
    </row>
    <row r="17" spans="1:8" ht="16.5">
      <c r="A17" s="360" t="s">
        <v>505</v>
      </c>
      <c r="B17" s="352"/>
      <c r="C17" s="352"/>
      <c r="D17" s="352"/>
      <c r="E17" s="352"/>
      <c r="F17" s="352"/>
      <c r="G17" s="352"/>
      <c r="H17" s="352"/>
    </row>
    <row r="18" spans="1:7" ht="16.5">
      <c r="A18" s="356" t="s">
        <v>506</v>
      </c>
      <c r="B18" s="361"/>
      <c r="C18" s="361"/>
      <c r="D18" s="361"/>
      <c r="E18" s="361"/>
      <c r="F18" s="361"/>
      <c r="G18" s="361"/>
    </row>
    <row r="19" ht="16.5">
      <c r="A19" s="356" t="s">
        <v>507</v>
      </c>
    </row>
    <row r="20" ht="16.5">
      <c r="A20" s="356" t="s">
        <v>508</v>
      </c>
    </row>
    <row r="22" ht="16.5">
      <c r="A22" s="357" t="s">
        <v>509</v>
      </c>
    </row>
    <row r="24" ht="16.5">
      <c r="A24" s="356" t="s">
        <v>510</v>
      </c>
    </row>
    <row r="25" ht="16.5">
      <c r="A25" s="356" t="s">
        <v>511</v>
      </c>
    </row>
    <row r="26" ht="16.5">
      <c r="A26" s="356" t="s">
        <v>512</v>
      </c>
    </row>
    <row r="28" ht="16.5">
      <c r="A28" s="357" t="s">
        <v>513</v>
      </c>
    </row>
    <row r="30" ht="16.5">
      <c r="A30" t="s">
        <v>514</v>
      </c>
    </row>
    <row r="31" ht="16.5">
      <c r="A31" t="s">
        <v>515</v>
      </c>
    </row>
    <row r="32" ht="16.5">
      <c r="A32" t="s">
        <v>516</v>
      </c>
    </row>
    <row r="33" ht="16.5">
      <c r="A33" s="356" t="s">
        <v>517</v>
      </c>
    </row>
    <row r="35" ht="16.5">
      <c r="A35" t="s">
        <v>518</v>
      </c>
    </row>
    <row r="36" ht="16.5">
      <c r="A36" t="s">
        <v>519</v>
      </c>
    </row>
    <row r="37" ht="16.5">
      <c r="A37" t="s">
        <v>520</v>
      </c>
    </row>
    <row r="38" ht="16.5">
      <c r="A38" t="s">
        <v>521</v>
      </c>
    </row>
    <row r="40" ht="16.5">
      <c r="A40" t="s">
        <v>522</v>
      </c>
    </row>
    <row r="41" ht="16.5">
      <c r="A41" t="s">
        <v>523</v>
      </c>
    </row>
    <row r="42" ht="16.5">
      <c r="A42" t="s">
        <v>524</v>
      </c>
    </row>
    <row r="43" ht="16.5">
      <c r="A43" t="s">
        <v>525</v>
      </c>
    </row>
    <row r="44" ht="16.5">
      <c r="A44" t="s">
        <v>526</v>
      </c>
    </row>
    <row r="45" ht="16.5">
      <c r="A45" t="s">
        <v>527</v>
      </c>
    </row>
    <row r="47" ht="16.5">
      <c r="A47" t="s">
        <v>528</v>
      </c>
    </row>
    <row r="48" ht="16.5">
      <c r="A48" t="s">
        <v>529</v>
      </c>
    </row>
    <row r="49" ht="16.5">
      <c r="A49" s="356" t="s">
        <v>530</v>
      </c>
    </row>
    <row r="50" ht="16.5">
      <c r="A50" s="356" t="s">
        <v>531</v>
      </c>
    </row>
    <row r="52" ht="16.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630</v>
      </c>
    </row>
    <row r="3" ht="32.25">
      <c r="A3" s="466" t="s">
        <v>631</v>
      </c>
    </row>
    <row r="4" ht="16.5">
      <c r="A4" s="467" t="s">
        <v>632</v>
      </c>
    </row>
    <row r="7" ht="32.25">
      <c r="A7" s="466" t="s">
        <v>633</v>
      </c>
    </row>
    <row r="8" ht="16.5">
      <c r="A8" s="467" t="s">
        <v>634</v>
      </c>
    </row>
    <row r="11" ht="16.5">
      <c r="A11" s="468" t="s">
        <v>635</v>
      </c>
    </row>
    <row r="12" ht="16.5">
      <c r="A12" s="467" t="s">
        <v>636</v>
      </c>
    </row>
    <row r="15" ht="16.5">
      <c r="A15" s="468" t="s">
        <v>637</v>
      </c>
    </row>
    <row r="16" ht="16.5">
      <c r="A16" s="467" t="s">
        <v>638</v>
      </c>
    </row>
    <row r="19" ht="16.5">
      <c r="A19" s="468" t="s">
        <v>639</v>
      </c>
    </row>
    <row r="20" ht="16.5">
      <c r="A20" s="467" t="s">
        <v>640</v>
      </c>
    </row>
    <row r="23" ht="16.5">
      <c r="A23" s="468" t="s">
        <v>641</v>
      </c>
    </row>
    <row r="24" ht="16.5">
      <c r="A24" s="467" t="s">
        <v>642</v>
      </c>
    </row>
    <row r="27" ht="16.5">
      <c r="A27" s="468" t="s">
        <v>643</v>
      </c>
    </row>
    <row r="28" ht="16.5">
      <c r="A28" s="467" t="s">
        <v>644</v>
      </c>
    </row>
    <row r="31" ht="16.5">
      <c r="A31" s="468" t="s">
        <v>645</v>
      </c>
    </row>
    <row r="32" ht="16.5">
      <c r="A32" s="467" t="s">
        <v>646</v>
      </c>
    </row>
    <row r="35" ht="16.5">
      <c r="A35" s="468" t="s">
        <v>647</v>
      </c>
    </row>
    <row r="36" ht="16.5">
      <c r="A36" s="467" t="s">
        <v>648</v>
      </c>
    </row>
    <row r="39" ht="16.5">
      <c r="A39" s="468" t="s">
        <v>649</v>
      </c>
    </row>
    <row r="40" ht="16.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1" sqref="A1"/>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Geneseo Comm. Cemetery</v>
      </c>
      <c r="B1" s="60"/>
      <c r="C1" s="60"/>
      <c r="D1" s="60"/>
      <c r="E1" s="60">
        <f>inputPrYr!D6</f>
        <v>2013</v>
      </c>
    </row>
    <row r="2" spans="1:5" ht="16.5">
      <c r="A2" s="60" t="str">
        <f>inputPrYr!D4</f>
        <v>Rice County</v>
      </c>
      <c r="B2" s="60"/>
      <c r="C2" s="60"/>
      <c r="D2" s="60"/>
      <c r="E2" s="60"/>
    </row>
    <row r="3" spans="1:5" ht="16.5">
      <c r="A3" s="62"/>
      <c r="B3" s="62"/>
      <c r="C3" s="62"/>
      <c r="D3" s="62"/>
      <c r="E3" s="62"/>
    </row>
    <row r="4" spans="1:5" ht="16.5">
      <c r="A4" s="636" t="s">
        <v>196</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6006317</v>
      </c>
    </row>
    <row r="8" spans="1:5" ht="16.5">
      <c r="A8" s="66" t="str">
        <f>CONCATENATE("New Improvements for ",inputPrYr!D6-1,"")</f>
        <v>New Improvements for 2012</v>
      </c>
      <c r="B8" s="67"/>
      <c r="C8" s="67"/>
      <c r="D8" s="67"/>
      <c r="E8" s="68">
        <v>44921</v>
      </c>
    </row>
    <row r="9" spans="1:5" ht="16.5">
      <c r="A9" s="66" t="str">
        <f>CONCATENATE("Personal Property excluding oil, gas, and mobile homes- ",inputPrYr!D6-1,"")</f>
        <v>Personal Property excluding oil, gas, and mobile homes- 2012</v>
      </c>
      <c r="B9" s="67"/>
      <c r="C9" s="67"/>
      <c r="D9" s="67"/>
      <c r="E9" s="68">
        <v>125789</v>
      </c>
    </row>
    <row r="10" spans="1:5" ht="16.5">
      <c r="A10" s="66" t="str">
        <f>CONCATENATE("Property that has changed in use for ",inputPrYr!D6-1,"")</f>
        <v>Property that has changed in use for 2012</v>
      </c>
      <c r="B10" s="67"/>
      <c r="C10" s="67"/>
      <c r="D10" s="67"/>
      <c r="E10" s="68">
        <v>44807</v>
      </c>
    </row>
    <row r="11" spans="1:5" ht="16.5">
      <c r="A11" s="65" t="str">
        <f>CONCATENATE("Personal Property excluding oil, gas, and mobile homes- ",inputPrYr!D6-2,"")</f>
        <v>Personal Property excluding oil, gas, and mobile homes- 2011</v>
      </c>
      <c r="B11" s="40"/>
      <c r="C11" s="40"/>
      <c r="D11" s="40"/>
      <c r="E11" s="68">
        <v>115318</v>
      </c>
    </row>
    <row r="12" spans="1:5" ht="16.5">
      <c r="A12" s="66" t="str">
        <f>CONCATENATE("Neighborhood Revitalization - ",E1,"")</f>
        <v>Neighborhood Revitalization - 2013</v>
      </c>
      <c r="B12" s="67"/>
      <c r="C12" s="67"/>
      <c r="D12" s="67"/>
      <c r="E12" s="68">
        <v>0</v>
      </c>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0.362</v>
      </c>
      <c r="E16" s="72"/>
    </row>
    <row r="17" spans="1:5" ht="16.5">
      <c r="A17" s="66" t="s">
        <v>272</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206</v>
      </c>
      <c r="C22" s="78"/>
      <c r="D22" s="79">
        <f>SUM(D16:D21)</f>
        <v>0.362</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5872137</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127</v>
      </c>
    </row>
    <row r="28" spans="1:5" ht="16.5">
      <c r="A28" s="66" t="s">
        <v>15</v>
      </c>
      <c r="B28" s="67"/>
      <c r="C28" s="67"/>
      <c r="D28" s="84"/>
      <c r="E28" s="35">
        <v>3</v>
      </c>
    </row>
    <row r="29" spans="1:5" ht="16.5">
      <c r="A29" s="66" t="s">
        <v>171</v>
      </c>
      <c r="B29" s="67"/>
      <c r="C29" s="67"/>
      <c r="D29" s="84"/>
      <c r="E29" s="35">
        <v>50</v>
      </c>
    </row>
    <row r="30" spans="1:5" ht="16.5">
      <c r="A30" s="66" t="s">
        <v>159</v>
      </c>
      <c r="B30" s="67"/>
      <c r="C30" s="67"/>
      <c r="D30" s="84"/>
      <c r="E30" s="35">
        <v>0</v>
      </c>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0.023</v>
      </c>
    </row>
    <row r="35" spans="1:5" ht="16.5">
      <c r="A35" s="66" t="s">
        <v>708</v>
      </c>
      <c r="B35" s="86"/>
      <c r="C35" s="69"/>
      <c r="D35" s="69"/>
      <c r="E35" s="537">
        <v>0.023</v>
      </c>
    </row>
    <row r="36" spans="1:5" ht="16.5">
      <c r="A36" s="87" t="s">
        <v>173</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212</v>
      </c>
      <c r="B40" s="91" t="s">
        <v>213</v>
      </c>
      <c r="C40" s="92" t="s">
        <v>214</v>
      </c>
      <c r="D40" s="93"/>
      <c r="E40" s="93"/>
    </row>
    <row r="41" spans="1:5" ht="16.5">
      <c r="A41" s="94" t="str">
        <f>inputPrYr!B19</f>
        <v>General</v>
      </c>
      <c r="B41" s="56">
        <v>13500</v>
      </c>
      <c r="C41" s="92" t="s">
        <v>215</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712</v>
      </c>
    </row>
    <row r="2" spans="1:10" ht="54" customHeight="1">
      <c r="A2" s="651" t="s">
        <v>320</v>
      </c>
      <c r="B2" s="652"/>
      <c r="C2" s="652"/>
      <c r="D2" s="652"/>
      <c r="E2" s="652"/>
      <c r="F2" s="652"/>
      <c r="J2" s="540" t="s">
        <v>713</v>
      </c>
    </row>
    <row r="3" spans="1:10" ht="16.5">
      <c r="A3" s="538" t="s">
        <v>710</v>
      </c>
      <c r="B3" s="539"/>
      <c r="C3" s="539"/>
      <c r="J3" s="540" t="s">
        <v>714</v>
      </c>
    </row>
    <row r="4" spans="1:10" ht="16.5">
      <c r="A4" s="340"/>
      <c r="B4" s="340"/>
      <c r="C4" s="340"/>
      <c r="D4" s="341"/>
      <c r="E4" s="340"/>
      <c r="F4" s="340"/>
      <c r="J4" s="540" t="s">
        <v>715</v>
      </c>
    </row>
    <row r="5" spans="1:10" ht="16.5">
      <c r="A5" s="538" t="s">
        <v>711</v>
      </c>
      <c r="B5" s="539"/>
      <c r="C5" s="340"/>
      <c r="D5" s="341"/>
      <c r="E5" s="340"/>
      <c r="F5" s="340"/>
      <c r="J5" s="540" t="s">
        <v>716</v>
      </c>
    </row>
    <row r="6" spans="1:10" ht="16.5">
      <c r="A6" s="340"/>
      <c r="B6" s="340"/>
      <c r="C6" s="340"/>
      <c r="D6" s="341"/>
      <c r="E6" s="340"/>
      <c r="F6" s="340"/>
      <c r="J6" s="540" t="s">
        <v>717</v>
      </c>
    </row>
    <row r="7" spans="1:10" ht="16.5">
      <c r="A7" s="342" t="s">
        <v>321</v>
      </c>
      <c r="B7" s="343"/>
      <c r="C7" s="344"/>
      <c r="D7" s="342" t="s">
        <v>709</v>
      </c>
      <c r="E7" s="340"/>
      <c r="F7" s="340"/>
      <c r="J7" s="540" t="s">
        <v>718</v>
      </c>
    </row>
    <row r="8" spans="1:10" ht="16.5">
      <c r="A8" s="342"/>
      <c r="B8" s="345"/>
      <c r="C8" s="346"/>
      <c r="D8" s="541">
        <f>IF(B7="","",CONCATENATE("Latest date for notice to be published in your newspaper: ",G18," ",G22,", ",G23))</f>
      </c>
      <c r="E8" s="340"/>
      <c r="F8" s="340"/>
      <c r="J8" s="540" t="s">
        <v>719</v>
      </c>
    </row>
    <row r="9" spans="1:10" ht="16.5">
      <c r="A9" s="342" t="s">
        <v>322</v>
      </c>
      <c r="B9" s="343"/>
      <c r="C9" s="347"/>
      <c r="D9" s="342"/>
      <c r="E9" s="340"/>
      <c r="F9" s="340"/>
      <c r="J9" s="540" t="s">
        <v>720</v>
      </c>
    </row>
    <row r="10" spans="1:10" ht="16.5">
      <c r="A10" s="342"/>
      <c r="B10" s="342"/>
      <c r="C10" s="342"/>
      <c r="D10" s="342"/>
      <c r="E10" s="340"/>
      <c r="F10" s="340"/>
      <c r="J10" s="540" t="s">
        <v>721</v>
      </c>
    </row>
    <row r="11" spans="1:10" ht="16.5">
      <c r="A11" s="342" t="s">
        <v>323</v>
      </c>
      <c r="B11" s="348"/>
      <c r="C11" s="348"/>
      <c r="D11" s="348"/>
      <c r="E11" s="349"/>
      <c r="F11" s="340"/>
      <c r="J11" s="540" t="s">
        <v>722</v>
      </c>
    </row>
    <row r="12" spans="1:10" ht="16.5">
      <c r="A12" s="342"/>
      <c r="B12" s="342"/>
      <c r="C12" s="342"/>
      <c r="D12" s="342"/>
      <c r="E12" s="340"/>
      <c r="F12" s="340"/>
      <c r="J12" s="540" t="s">
        <v>723</v>
      </c>
    </row>
    <row r="13" spans="1:6" ht="16.5">
      <c r="A13" s="342"/>
      <c r="B13" s="342"/>
      <c r="C13" s="342"/>
      <c r="D13" s="342"/>
      <c r="E13" s="340"/>
      <c r="F13" s="340"/>
    </row>
    <row r="14" spans="1:6" ht="16.5">
      <c r="A14" s="342" t="s">
        <v>324</v>
      </c>
      <c r="B14" s="348"/>
      <c r="C14" s="348"/>
      <c r="D14" s="348"/>
      <c r="E14" s="349"/>
      <c r="F14" s="340"/>
    </row>
    <row r="17" spans="1:6" ht="16.5">
      <c r="A17" s="653" t="s">
        <v>325</v>
      </c>
      <c r="B17" s="653"/>
      <c r="C17" s="342"/>
      <c r="D17" s="342"/>
      <c r="E17" s="342"/>
      <c r="F17" s="340"/>
    </row>
    <row r="18" spans="1:7" ht="16.5">
      <c r="A18" s="342"/>
      <c r="B18" s="342"/>
      <c r="C18" s="342"/>
      <c r="D18" s="342"/>
      <c r="E18" s="342"/>
      <c r="F18" s="340"/>
      <c r="G18" s="540">
        <f ca="1">IF(B7="","",INDIRECT(G19))</f>
      </c>
    </row>
    <row r="19" spans="1:7" ht="16.5">
      <c r="A19" s="342" t="s">
        <v>321</v>
      </c>
      <c r="B19" s="345" t="s">
        <v>326</v>
      </c>
      <c r="C19" s="342"/>
      <c r="D19" s="342"/>
      <c r="E19" s="342"/>
      <c r="G19" s="542">
        <f>IF(B7="","",CONCATENATE("J",G21))</f>
      </c>
    </row>
    <row r="20" spans="1:7" ht="16.5">
      <c r="A20" s="342"/>
      <c r="B20" s="342"/>
      <c r="C20" s="342"/>
      <c r="D20" s="342"/>
      <c r="E20" s="342"/>
      <c r="G20" s="543">
        <f>B7-10</f>
        <v>-10</v>
      </c>
    </row>
    <row r="21" spans="1:7" ht="16.5">
      <c r="A21" s="342" t="s">
        <v>322</v>
      </c>
      <c r="B21" s="342" t="s">
        <v>327</v>
      </c>
      <c r="C21" s="342"/>
      <c r="D21" s="342"/>
      <c r="E21" s="342"/>
      <c r="G21" s="544">
        <f>IF(B7="","",MONTH(G20))</f>
      </c>
    </row>
    <row r="22" spans="1:7" ht="16.5">
      <c r="A22" s="342"/>
      <c r="B22" s="342"/>
      <c r="C22" s="342"/>
      <c r="D22" s="342"/>
      <c r="E22" s="342"/>
      <c r="G22" s="545">
        <f>IF(B7="","",DAY(G20))</f>
      </c>
    </row>
    <row r="23" spans="1:7" ht="16.5">
      <c r="A23" s="342" t="s">
        <v>323</v>
      </c>
      <c r="B23" s="342" t="s">
        <v>329</v>
      </c>
      <c r="C23" s="342"/>
      <c r="D23" s="342"/>
      <c r="E23" s="342"/>
      <c r="G23" s="546">
        <f>IF(B7="","",YEAR(G20))</f>
      </c>
    </row>
    <row r="24" spans="1:5" ht="16.5">
      <c r="A24" s="342"/>
      <c r="B24" s="342"/>
      <c r="C24" s="342"/>
      <c r="D24" s="342"/>
      <c r="E24" s="342"/>
    </row>
    <row r="25" spans="1:5" ht="16.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1" sqref="A1"/>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Rice County, State of Kansas</v>
      </c>
      <c r="B4" s="656"/>
      <c r="C4" s="656"/>
      <c r="D4" s="656"/>
      <c r="E4" s="656"/>
      <c r="F4" s="656"/>
      <c r="G4" s="656"/>
    </row>
    <row r="5" spans="1:7" ht="15.75">
      <c r="A5" s="97" t="s">
        <v>156</v>
      </c>
      <c r="B5" s="24"/>
      <c r="C5" s="24"/>
      <c r="D5" s="24"/>
      <c r="E5" s="24"/>
      <c r="F5" s="24"/>
      <c r="G5" s="24"/>
    </row>
    <row r="6" spans="1:7" ht="15.75">
      <c r="A6" s="638" t="str">
        <f>inputPrYr!D3</f>
        <v>Geneseo Comm.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10500</v>
      </c>
      <c r="F23" s="559">
        <f>IF(gen!$E$68&lt;&gt;0,gen!$E$68,"  ")</f>
        <v>290</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10500</v>
      </c>
      <c r="F30" s="566">
        <f>SUM(F23:F28)</f>
        <v>290</v>
      </c>
      <c r="G30" s="567">
        <f>IF(SUM(G23:G28)=0,"",SUM(G23:G28))</f>
      </c>
    </row>
    <row r="31" spans="1:7" ht="15.75">
      <c r="A31" s="119" t="s">
        <v>205</v>
      </c>
      <c r="B31" s="67"/>
      <c r="C31" s="116"/>
      <c r="D31" s="131">
        <f>summ!E41</f>
        <v>0</v>
      </c>
      <c r="E31" s="135" t="s">
        <v>200</v>
      </c>
      <c r="F31" s="384" t="str">
        <f>IF(F30&gt;computation!J34,"Yes","No")</f>
        <v>No</v>
      </c>
      <c r="G31" s="385" t="s">
        <v>136</v>
      </c>
    </row>
    <row r="32" spans="1:7" ht="16.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565</v>
      </c>
      <c r="B38" s="69"/>
      <c r="C38" s="69"/>
      <c r="D38" s="69"/>
      <c r="E38" s="554"/>
      <c r="F38" s="69"/>
      <c r="G38" s="69"/>
    </row>
    <row r="39" spans="1:7" ht="16.5">
      <c r="A39" s="521"/>
      <c r="B39" s="521"/>
      <c r="C39" s="69"/>
      <c r="D39" s="69" t="s">
        <v>730</v>
      </c>
      <c r="E39" s="555"/>
      <c r="F39" s="555"/>
      <c r="G39" s="69"/>
    </row>
    <row r="40" spans="1:7" ht="16.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6.5">
      <c r="A49" s="663"/>
      <c r="B49" s="664"/>
      <c r="C49" s="18"/>
      <c r="D49" s="69" t="s">
        <v>730</v>
      </c>
      <c r="E49" s="69"/>
      <c r="F49" s="69"/>
      <c r="G49" s="69"/>
    </row>
    <row r="50" spans="1:7" ht="16.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Geneseo Comm. Cemetery</v>
      </c>
      <c r="D1" s="18"/>
      <c r="E1" s="18"/>
      <c r="F1" s="18"/>
      <c r="G1" s="18"/>
      <c r="H1" s="18"/>
      <c r="I1" s="18"/>
      <c r="J1" s="18">
        <f>inputPrYr!D6</f>
        <v>2013</v>
      </c>
    </row>
    <row r="2" spans="1:10" ht="15.75" customHeight="1">
      <c r="A2" s="18"/>
      <c r="B2" s="18"/>
      <c r="C2" s="18" t="str">
        <f>inputPrYr!D4</f>
        <v>Rice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2919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2919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44921</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125789</v>
      </c>
      <c r="F14" s="146"/>
      <c r="G14" s="37"/>
      <c r="H14" s="37"/>
      <c r="I14" s="149"/>
      <c r="J14" s="37"/>
    </row>
    <row r="15" spans="1:10" ht="15.75">
      <c r="A15" s="145"/>
      <c r="B15" s="18" t="s">
        <v>99</v>
      </c>
      <c r="C15" s="18" t="str">
        <f>CONCATENATE("Personal Property ",J1-2,"")</f>
        <v>Personal Property 2011</v>
      </c>
      <c r="D15" s="145" t="s">
        <v>95</v>
      </c>
      <c r="E15" s="41">
        <f>inputOth!E11</f>
        <v>115318</v>
      </c>
      <c r="F15" s="146"/>
      <c r="G15" s="149"/>
      <c r="H15" s="149"/>
      <c r="I15" s="37"/>
      <c r="J15" s="37"/>
    </row>
    <row r="16" spans="1:10" ht="15.75">
      <c r="A16" s="145"/>
      <c r="B16" s="18" t="s">
        <v>100</v>
      </c>
      <c r="C16" s="18" t="s">
        <v>114</v>
      </c>
      <c r="D16" s="18"/>
      <c r="E16" s="37"/>
      <c r="F16" s="37" t="s">
        <v>92</v>
      </c>
      <c r="G16" s="148">
        <f>IF(E14&gt;E15,E14-E15,0)</f>
        <v>10471</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44807</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100199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6006317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5906118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0.016965289213659463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2969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2969</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Geneseo Comm. Cemetery</v>
      </c>
      <c r="C1" s="18"/>
      <c r="D1" s="18"/>
      <c r="E1" s="18"/>
      <c r="F1" s="18"/>
      <c r="G1" s="18"/>
      <c r="H1" s="18"/>
      <c r="I1" s="155"/>
      <c r="J1" s="18"/>
    </row>
    <row r="2" spans="1:10" ht="15.75">
      <c r="A2" s="18"/>
      <c r="B2" s="18" t="str">
        <f>inputPrYr!D4</f>
        <v>Rice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2919</v>
      </c>
      <c r="D11" s="123">
        <f>IF(E17=0,0,E17-D12-D13-D14)</f>
        <v>127</v>
      </c>
      <c r="E11" s="123">
        <f>IF(E19=0,0,E19-E12-E13-E14)</f>
        <v>3</v>
      </c>
      <c r="F11" s="123">
        <f>IF(E21=0,0,E21-F12-F13-F14)</f>
        <v>50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2919</v>
      </c>
      <c r="D15" s="130">
        <f>SUM(D11:D14)</f>
        <v>127</v>
      </c>
      <c r="E15" s="130">
        <f>SUM(E11:E14)</f>
        <v>3</v>
      </c>
      <c r="F15" s="203">
        <f>SUM(F11:F14)</f>
        <v>50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127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0.043508050702295305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0.0010277492291880781</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0.0171291538198013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Geneseo Comm. Cemetery</v>
      </c>
      <c r="B2" s="165"/>
      <c r="C2" s="18"/>
      <c r="D2" s="18"/>
      <c r="E2" s="155"/>
      <c r="F2" s="18"/>
    </row>
    <row r="3" spans="1:6" ht="15.75">
      <c r="A3" s="165" t="str">
        <f>inputPrYr!D4</f>
        <v>Rice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t="s">
        <v>787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551</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306</v>
      </c>
    </row>
    <row r="2" ht="16.5">
      <c r="A2" s="95"/>
    </row>
    <row r="3" ht="31.5">
      <c r="A3" s="317" t="s">
        <v>307</v>
      </c>
    </row>
    <row r="4" ht="16.5">
      <c r="A4" s="318"/>
    </row>
    <row r="5" ht="16.5">
      <c r="A5" s="95"/>
    </row>
    <row r="6" ht="47.25">
      <c r="A6" s="317" t="s">
        <v>308</v>
      </c>
    </row>
    <row r="7" ht="16.5">
      <c r="A7" s="318"/>
    </row>
    <row r="8" ht="16.5">
      <c r="A8" s="95"/>
    </row>
    <row r="9" ht="47.25">
      <c r="A9" s="317" t="s">
        <v>309</v>
      </c>
    </row>
    <row r="10" ht="16.5">
      <c r="A10" s="318"/>
    </row>
    <row r="11" ht="16.5">
      <c r="A11" s="318"/>
    </row>
    <row r="12" ht="31.5">
      <c r="A12" s="317" t="s">
        <v>310</v>
      </c>
    </row>
    <row r="13" ht="16.5">
      <c r="A13" s="95"/>
    </row>
    <row r="14" ht="16.5">
      <c r="A14" s="95"/>
    </row>
    <row r="15" ht="47.25">
      <c r="A15" s="317" t="s">
        <v>311</v>
      </c>
    </row>
    <row r="16" ht="16.5">
      <c r="A16" s="95"/>
    </row>
    <row r="17" ht="16.5">
      <c r="A17" s="95"/>
    </row>
    <row r="18" ht="63">
      <c r="A18" s="469" t="s">
        <v>655</v>
      </c>
    </row>
    <row r="19" ht="16.5">
      <c r="A19" s="95"/>
    </row>
    <row r="20" ht="16.5">
      <c r="A20" s="95"/>
    </row>
    <row r="21" ht="47.25">
      <c r="A21" s="339" t="s">
        <v>312</v>
      </c>
    </row>
    <row r="22" ht="16.5">
      <c r="A22" s="318"/>
    </row>
    <row r="23" ht="16.5">
      <c r="A23" s="95"/>
    </row>
    <row r="24" ht="47.25">
      <c r="A24" s="317" t="s">
        <v>313</v>
      </c>
    </row>
    <row r="25" ht="31.5">
      <c r="A25" s="319" t="s">
        <v>314</v>
      </c>
    </row>
    <row r="26" ht="16.5">
      <c r="A26" s="318"/>
    </row>
    <row r="27" ht="16.5">
      <c r="A27" s="95"/>
    </row>
    <row r="28" ht="63">
      <c r="A28" s="469" t="s">
        <v>656</v>
      </c>
    </row>
    <row r="29" ht="16.5">
      <c r="A29" s="95"/>
    </row>
    <row r="30" ht="16.5">
      <c r="A30" s="95"/>
    </row>
    <row r="31" ht="63">
      <c r="A31" s="469" t="s">
        <v>657</v>
      </c>
    </row>
    <row r="32" ht="16.5">
      <c r="A32" s="95"/>
    </row>
    <row r="33" ht="16.5">
      <c r="A33" s="95"/>
    </row>
    <row r="34" ht="31.5">
      <c r="A34" s="470" t="s">
        <v>658</v>
      </c>
    </row>
    <row r="35" ht="16.5">
      <c r="A35" s="95"/>
    </row>
    <row r="36" ht="16.5">
      <c r="A36" s="95"/>
    </row>
    <row r="37" ht="63">
      <c r="A37" s="317" t="s">
        <v>315</v>
      </c>
    </row>
    <row r="38" ht="16.5">
      <c r="A38" s="318"/>
    </row>
    <row r="39" ht="16.5">
      <c r="A39" s="318"/>
    </row>
    <row r="40" ht="47.25">
      <c r="A40" s="339" t="s">
        <v>316</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cp:lastModifiedBy>
  <cp:lastPrinted>2012-07-10T15:25:37Z</cp:lastPrinted>
  <dcterms:created xsi:type="dcterms:W3CDTF">1999-08-06T13:59:57Z</dcterms:created>
  <dcterms:modified xsi:type="dcterms:W3CDTF">2012-07-10T15:27:23Z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