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<sst xmlns="http://schemas.openxmlformats.org/spreadsheetml/2006/main" count="1170" uniqueCount="797">
  <si>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</si>
  <si>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</si>
  <si>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</si>
  <si>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</si>
  <si>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</si>
  <si>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</si>
  <si>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</si>
  <si>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</si>
  <si>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</si>
  <si>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</si>
  <si>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</si>
  <si>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</si>
  <si>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</si>
  <si>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</si>
  <si>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</si>
  <si>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</si>
  <si>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</si>
  <si>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</si>
  <si>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</si>
  <si>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</si>
  <si>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</si>
  <si>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</si>
  <si>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</si>
  <si>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</si>
  <si>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</si>
  <si>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</si>
  <si>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</si>
  <si>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</si>
  <si>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</si>
  <si>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</si>
  <si>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</si>
  <si>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</si>
  <si>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</si>
  <si>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</si>
  <si>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</si>
  <si>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</si>
  <si>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</si>
  <si>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</si>
  <si>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</si>
  <si>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</si>
  <si>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</si>
  <si>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</si>
  <si>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</si>
  <si>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</si>
  <si>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</si>
  <si>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</si>
  <si>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</si>
  <si>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</si>
  <si>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</si>
  <si>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</si>
  <si>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</si>
  <si>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</si>
  <si>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</si>
  <si>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</si>
  <si>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</si>
  <si>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</si>
  <si>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</si>
  <si>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</si>
  <si>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</si>
  <si>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</si>
  <si>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</si>
  <si>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</si>
  <si>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</si>
  <si>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</si>
  <si>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</si>
  <si>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</si>
  <si>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</si>
  <si>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</si>
  <si>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</si>
  <si>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</si>
  <si>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</si>
  <si>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</si>
  <si>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</si>
  <si>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</si>
  <si>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</si>
  <si>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</si>
  <si>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</si>
  <si>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</si>
  <si>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</si>
  <si>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</si>
  <si>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</si>
  <si>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</si>
  <si>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</si>
  <si>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</si>
  <si>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</si>
  <si>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</si>
  <si>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</si>
  <si>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</si>
  <si>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</si>
  <si>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</si>
  <si>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</si>
  <si>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</si>
  <si>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</si>
  <si>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</si>
  <si>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</si>
  <si>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</si>
  <si>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</si>
  <si>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</si>
  <si>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</si>
  <si>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</si>
  <si>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</si>
  <si>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</si>
  <si>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</si>
  <si>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</si>
  <si>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</si>
  <si>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</si>
  <si>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</si>
  <si>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</si>
  <si>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</si>
  <si>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</si>
  <si>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</si>
  <si>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</si>
  <si>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</si>
  <si>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</si>
  <si>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</si>
  <si>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</si>
  <si>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</si>
  <si>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</si>
  <si>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</si>
  <si>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</si>
  <si>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</si>
  <si>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</si>
  <si>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</si>
  <si>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</si>
  <si>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</si>
  <si>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</si>
  <si>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</si>
  <si>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</si>
  <si>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</si>
  <si>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</si>
  <si>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</si>
  <si>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</si>
  <si>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</si>
  <si>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</si>
  <si>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</si>
  <si>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</si>
  <si>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</si>
  <si>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</si>
  <si>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</si>
  <si>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</si>
  <si>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</si>
  <si>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</si>
  <si>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</si>
  <si>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</si>
  <si>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</si>
  <si>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</si>
  <si>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</si>
  <si>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</si>
  <si>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</si>
  <si>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</si>
  <si>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</si>
  <si>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</si>
  <si>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</si>
  <si>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</si>
  <si>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</si>
  <si>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</si>
  <si>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</si>
  <si>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</si>
  <si>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</si>
  <si>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</si>
  <si>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</si>
  <si>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</si>
  <si>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</si>
  <si>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</si>
  <si>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</si>
  <si>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</si>
  <si>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</si>
  <si>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</si>
  <si>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</si>
  <si>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</si>
  <si>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</si>
  <si>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</si>
  <si>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</si>
  <si>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</si>
  <si>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</si>
  <si>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</si>
  <si>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</si>
  <si>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</si>
  <si>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</si>
  <si>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</si>
  <si>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</si>
  <si>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</si>
  <si>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</si>
  <si>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</si>
  <si>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</si>
  <si>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</si>
  <si>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</si>
  <si>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</si>
  <si>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</si>
  <si>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</si>
  <si>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</si>
  <si>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</si>
  <si>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</si>
  <si>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</si>
  <si>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</si>
  <si>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</si>
  <si>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</si>
  <si>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</si>
  <si>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</si>
  <si>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</si>
  <si>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</si>
  <si>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</si>
  <si>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</si>
  <si>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</si>
  <si>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</si>
  <si>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</si>
  <si>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</si>
  <si>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</si>
  <si>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</si>
  <si>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</si>
  <si>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</si>
  <si>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</si>
  <si>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</si>
  <si>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</si>
  <si>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</si>
  <si>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</si>
  <si>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</si>
  <si>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</si>
  <si>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</si>
  <si>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</si>
  <si>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</si>
  <si>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</si>
  <si>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</si>
  <si>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</si>
  <si>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</si>
  <si>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</si>
  <si>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</si>
  <si>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</si>
  <si>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</si>
  <si>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</si>
  <si>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</si>
  <si>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</si>
  <si>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</si>
  <si>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</si>
  <si>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</si>
  <si>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</si>
  <si>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</si>
  <si>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</si>
  <si>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</si>
  <si>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</si>
  <si>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</si>
  <si>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</si>
  <si>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</si>
  <si>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</si>
  <si>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</si>
  <si>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</si>
  <si>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</si>
  <si>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</si>
  <si>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</si>
  <si>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</si>
  <si>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</si>
  <si>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</si>
  <si>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</si>
  <si>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</si>
  <si>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</si>
  <si>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</si>
  <si>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</si>
  <si>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</si>
  <si>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</si>
  <si>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</si>
  <si>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</si>
  <si>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</si>
  <si>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</si>
  <si>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</si>
  <si>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</si>
  <si>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</si>
  <si>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</si>
  <si>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</si>
  <si>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</si>
  <si>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</si>
  <si>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</si>
  <si>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</si>
  <si>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</si>
  <si>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</si>
  <si>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</si>
  <si>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</si>
  <si>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</si>
  <si>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</si>
  <si>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</si>
  <si>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</si>
  <si>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</si>
  <si>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</si>
  <si>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</si>
  <si>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</si>
  <si>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</si>
  <si>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</si>
  <si>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</si>
  <si>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</si>
  <si>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</si>
  <si>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</si>
  <si>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</si>
  <si>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</si>
  <si>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</si>
  <si>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</si>
  <si>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</si>
  <si>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</si>
  <si>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</si>
  <si>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</si>
  <si>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</si>
  <si>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</si>
  <si>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</si>
  <si>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</si>
  <si>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</si>
  <si>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</si>
  <si>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</si>
  <si>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</si>
  <si>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</si>
  <si>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</si>
  <si>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</si>
  <si>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</si>
  <si>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</si>
  <si>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</si>
  <si>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</si>
  <si>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</si>
  <si>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</si>
  <si>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</si>
  <si>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</si>
  <si>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</si>
  <si>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</si>
  <si>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</si>
  <si>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</si>
  <si>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</si>
  <si>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</si>
  <si>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</si>
  <si>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</si>
  <si>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</si>
  <si>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</si>
  <si>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</si>
  <si>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</si>
  <si>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</si>
  <si>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</si>
  <si>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</si>
  <si>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</si>
  <si>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</si>
  <si>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</si>
  <si>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</si>
  <si>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</si>
  <si>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</si>
  <si>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</si>
  <si>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</si>
  <si>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</si>
  <si>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</si>
  <si>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</si>
  <si>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</si>
  <si>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</si>
  <si>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</si>
  <si>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</si>
  <si>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</si>
  <si>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</si>
  <si>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</si>
  <si>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</si>
  <si>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</si>
  <si>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</si>
  <si>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</si>
  <si>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</si>
  <si>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</si>
  <si>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</si>
  <si>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</si>
  <si>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</si>
  <si>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</si>
  <si>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</si>
  <si>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</si>
  <si>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</si>
  <si>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</si>
  <si>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</si>
  <si>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</si>
  <si>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</si>
  <si>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</si>
  <si>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</si>
  <si>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</si>
  <si>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</si>
  <si>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</si>
  <si>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</si>
  <si>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</si>
  <si>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</si>
  <si>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</si>
  <si>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</si>
  <si>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</si>
  <si>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</si>
  <si>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</si>
  <si>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</si>
  <si>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</si>
  <si>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</si>
  <si>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</si>
  <si>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</si>
  <si>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</si>
  <si>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</si>
  <si>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</si>
  <si>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</si>
  <si>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</si>
  <si>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</si>
  <si>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</si>
  <si>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</si>
  <si>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</si>
  <si>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</si>
  <si>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</si>
  <si>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</si>
  <si>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</si>
  <si>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</si>
  <si>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</si>
  <si>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</si>
  <si>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</si>
  <si>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</si>
  <si>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</si>
  <si>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</si>
  <si>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</si>
  <si>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</si>
  <si>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</si>
  <si>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</si>
  <si>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</si>
  <si>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</si>
  <si>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</si>
  <si>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</si>
  <si>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</si>
  <si>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</si>
  <si>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</si>
  <si>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</si>
  <si>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</si>
  <si>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</si>
  <si>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</si>
  <si>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</si>
  <si>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</si>
  <si>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</si>
  <si>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</si>
  <si>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</si>
  <si>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</si>
  <si>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</si>
  <si>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</si>
  <si>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</si>
  <si>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</si>
  <si>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</si>
  <si>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</si>
  <si>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</si>
  <si>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</si>
  <si>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</si>
  <si>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</si>
  <si>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</si>
  <si>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</si>
  <si>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</si>
  <si>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</si>
  <si>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</si>
  <si>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</si>
  <si>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</si>
  <si>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</si>
  <si>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</si>
  <si>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</si>
  <si>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</si>
  <si>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</si>
  <si>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</si>
  <si>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</si>
  <si>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</si>
  <si>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</si>
  <si>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</si>
  <si>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</si>
  <si>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</si>
  <si>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</si>
  <si>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</si>
  <si>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</si>
  <si>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</si>
  <si>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</si>
  <si>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</si>
  <si>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</si>
  <si>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</si>
  <si>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</si>
  <si>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</si>
  <si>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</si>
  <si>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</si>
  <si>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</si>
  <si>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</si>
  <si>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</si>
  <si>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</si>
  <si>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</si>
  <si>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</si>
  <si>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</si>
  <si>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</si>
  <si>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</si>
  <si>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</si>
  <si>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</si>
  <si>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</si>
  <si>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</si>
  <si>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</si>
  <si>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</si>
  <si>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</si>
  <si>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</si>
  <si>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</si>
  <si>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</si>
  <si>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</si>
  <si>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</si>
  <si>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</si>
  <si>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</si>
  <si>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</si>
  <si>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</si>
  <si>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</si>
  <si>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</si>
  <si>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</si>
  <si>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</si>
  <si>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</si>
  <si>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</si>
  <si>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</si>
  <si>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</si>
  <si>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</si>
  <si>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</si>
  <si>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</si>
  <si>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</si>
  <si>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</si>
  <si>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</si>
  <si>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</si>
  <si>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</si>
  <si>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</si>
  <si>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</si>
  <si>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</si>
  <si>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</si>
  <si>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</si>
  <si>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</si>
  <si>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</si>
  <si>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</si>
  <si>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</si>
  <si>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</si>
  <si>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</si>
  <si>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</si>
  <si>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</si>
  <si>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</si>
  <si>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</si>
  <si>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</si>
  <si>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</si>
  <si>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</si>
  <si>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</si>
  <si>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</si>
  <si>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</si>
  <si>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</si>
  <si>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</si>
  <si>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</si>
  <si>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</si>
  <si>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</si>
  <si>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</si>
  <si>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</si>
  <si>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</si>
  <si>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</si>
  <si>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</si>
  <si>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</si>
  <si>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</si>
  <si>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</si>
  <si>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</si>
  <si>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</si>
  <si>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</si>
  <si>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</si>
  <si>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</si>
  <si>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</si>
  <si>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</si>
  <si>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</si>
  <si>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</si>
  <si>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</si>
  <si>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</si>
  <si>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</si>
  <si>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</si>
  <si>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</si>
  <si>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</si>
  <si>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</si>
  <si>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</si>
  <si>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</si>
  <si>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</si>
  <si>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</si>
  <si>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</si>
  <si>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</si>
  <si>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</si>
  <si>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</si>
  <si>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</si>
  <si>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</si>
  <si>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</si>
  <si>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</si>
  <si>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</si>
  <si>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</si>
  <si>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</si>
  <si>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</si>
  <si>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</si>
  <si>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</si>
  <si>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</si>
  <si>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</si>
  <si>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</si>
  <si>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</si>
  <si>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</si>
  <si>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</si>
  <si>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</si>
  <si>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</si>
  <si>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</si>
  <si>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</si>
  <si>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</si>
  <si>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</si>
  <si>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</si>
  <si>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</si>
  <si>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</si>
  <si>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</si>
  <si>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</si>
  <si>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</si>
  <si>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</si>
  <si>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</si>
  <si>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</si>
  <si>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</si>
  <si>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</si>
  <si>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</si>
  <si>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</si>
  <si>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</si>
  <si>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</si>
  <si>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</si>
  <si>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</si>
  <si>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</si>
  <si>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</si>
  <si>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</si>
  <si>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</si>
  <si>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</si>
  <si>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</si>
  <si>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</si>
  <si>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</si>
  <si>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</si>
  <si>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</si>
  <si>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</si>
  <si>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</si>
  <si>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</si>
  <si>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</si>
  <si>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</si>
  <si>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</si>
  <si>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</si>
  <si>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</si>
  <si>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</si>
  <si>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</si>
  <si>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</si>
  <si>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</si>
  <si>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</si>
  <si>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</si>
  <si>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</si>
  <si>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</si>
  <si>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</si>
  <si>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</si>
  <si>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</si>
  <si>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</si>
  <si>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</si>
  <si>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</si>
  <si>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</si>
  <si>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</si>
  <si>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</si>
  <si>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</si>
  <si>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</si>
  <si>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</si>
  <si>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</si>
  <si>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</si>
  <si>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</si>
  <si>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</si>
  <si>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</si>
  <si>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</si>
  <si>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</si>
  <si>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</si>
  <si>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</si>
  <si>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</si>
  <si>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</si>
  <si>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</si>
  <si>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</si>
  <si>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</si>
  <si>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</si>
  <si>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</si>
  <si>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</si>
  <si>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</si>
  <si>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</si>
  <si>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</si>
  <si>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</si>
  <si>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</si>
  <si>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</si>
  <si>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</si>
  <si>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</si>
  <si>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</si>
  <si>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</si>
  <si>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</si>
  <si>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</si>
  <si>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</si>
  <si>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</si>
  <si>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</si>
  <si>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</si>
  <si>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</si>
  <si>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</si>
  <si>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</si>
  <si>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</si>
  <si>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</si>
  <si>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</si>
  <si>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</si>
  <si>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</si>
  <si>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</si>
  <si>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</si>
  <si>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</si>
  <si>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</si>
  <si>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</si>
  <si>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</si>
  <si>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</si>
  <si>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</si>
  <si>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</si>
  <si>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</si>
  <si>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</si>
  <si>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</si>
  <si>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</si>
  <si>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</si>
  <si>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</si>
  <si>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</si>
  <si>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</si>
  <si>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</si>
  <si>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</si>
  <si>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</si>
  <si>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</si>
  <si>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</si>
  <si>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</si>
  <si>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</si>
  <si>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</si>
  <si>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</si>
  <si>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</si>
  <si>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</si>
  <si>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</si>
  <si>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</si>
  <si>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</si>
  <si>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</si>
  <si>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</si>
  <si>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</si>
  <si>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</si>
  <si>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</si>
  <si>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</si>
  <si>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</si>
  <si>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</si>
  <si>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</si>
  <si>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</si>
  <si>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</si>
  <si>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</si>
  <si>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</si>
  <si>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</si>
  <si>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</si>
  <si>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</si>
  <si>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</si>
  <si>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</si>
  <si>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</si>
  <si>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</si>
  <si>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</si>
  <si>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</si>
  <si>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</si>
  <si>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</si>
  <si>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</si>
  <si>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</si>
  <si>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</si>
  <si>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</si>
  <si>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</si>
  <si>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</si>
  <si>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</si>
  <si>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</si>
  <si>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</si>
  <si>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</si>
  <si>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</si>
  <si>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</si>
  <si>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</si>
  <si>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</si>
  <si>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</si>
  <si>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</si>
  <si>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</si>
  <si>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</si>
  <si>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</si>
  <si>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</si>
  <si>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</si>
  <si>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</si>
  <si>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</si>
  <si>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</si>
  <si>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</si>
  <si>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</si>
  <si>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</si>
  <si>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</si>
  <si>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</si>
  <si>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</si>
  <si>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</si>
  <si>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</si>
  <si>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</si>
  <si>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</si>
  <si>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</si>
  <si>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</si>
  <si>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</si>
  <si>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</si>
  <si>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</si>
  <si>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</si>
  <si>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</si>
  <si>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</si>
  <si>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</si>
  <si>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</si>
  <si>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</si>
  <si>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</si>
  <si>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</si>
  <si>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</si>
  <si>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</si>
  <si>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</si>
  <si>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Walnut Creek Cemetery</t>
  </si>
  <si>
    <t>17-1330</t>
  </si>
  <si>
    <t>Scott Remus' residence</t>
  </si>
  <si>
    <t>Improvements</t>
  </si>
  <si>
    <t>August 7, 2012</t>
  </si>
  <si>
    <t xml:space="preserve">9:00 AM </t>
  </si>
  <si>
    <t>Scott Remus</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</si>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</sst>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Walnut Creek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1">
      <selection activeCell="E29" sqref="E2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Walnut Creek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728</v>
      </c>
      <c r="D7" s="370">
        <f>C38</f>
        <v>749</v>
      </c>
      <c r="E7" s="45">
        <f>D38</f>
        <v>428</v>
      </c>
    </row>
    <row r="8" spans="2:5" ht="15">
      <c r="B8" s="225" t="s">
        <v>122</v>
      </c>
      <c r="C8" s="226"/>
      <c r="D8" s="226"/>
      <c r="E8" s="122"/>
    </row>
    <row r="9" spans="2:5" ht="15">
      <c r="B9" s="118" t="s">
        <v>33</v>
      </c>
      <c r="C9" s="363">
        <v>853</v>
      </c>
      <c r="D9" s="370">
        <f>IF(inputPrYr!H18&gt;0,inputPrYr!G19,inputPrYr!E19)</f>
        <v>889</v>
      </c>
      <c r="E9" s="127" t="s">
        <v>28</v>
      </c>
    </row>
    <row r="10" spans="2:5" ht="15">
      <c r="B10" s="118" t="s">
        <v>34</v>
      </c>
      <c r="C10" s="363"/>
      <c r="D10" s="363"/>
      <c r="E10" s="197"/>
    </row>
    <row r="11" spans="2:5" ht="15">
      <c r="B11" s="118" t="s">
        <v>35</v>
      </c>
      <c r="C11" s="363"/>
      <c r="D11" s="363"/>
      <c r="E11" s="45">
        <f>mvalloc!D11</f>
        <v>0</v>
      </c>
    </row>
    <row r="12" spans="2:5" ht="15">
      <c r="B12" s="118" t="s">
        <v>36</v>
      </c>
      <c r="C12" s="363">
        <v>2</v>
      </c>
      <c r="D12" s="363">
        <v>2</v>
      </c>
      <c r="E12" s="45">
        <f>mvalloc!E11</f>
        <v>0</v>
      </c>
    </row>
    <row r="13" spans="2:5" ht="15">
      <c r="B13" s="226" t="s">
        <v>104</v>
      </c>
      <c r="C13" s="363"/>
      <c r="D13" s="363"/>
      <c r="E13" s="45">
        <f>mvalloc!F11</f>
        <v>0</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t="s">
        <v>787</v>
      </c>
      <c r="C17" s="363"/>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IF(E22*0.1+E44&lt;E20,"Exceed 10% Rule","")</f>
      </c>
    </row>
    <row r="22" spans="2:5" ht="15">
      <c r="B22" s="232" t="s">
        <v>38</v>
      </c>
      <c r="C22" s="365">
        <f>SUM(C9:C20)</f>
        <v>855</v>
      </c>
      <c r="D22" s="365">
        <f>SUM(D9:D20)</f>
        <v>891</v>
      </c>
      <c r="E22" s="233">
        <f>SUM(E9:E20)</f>
        <v>0</v>
      </c>
    </row>
    <row r="23" spans="2:5" ht="15">
      <c r="B23" s="232" t="s">
        <v>39</v>
      </c>
      <c r="C23" s="365">
        <f>C7+C22</f>
        <v>1583</v>
      </c>
      <c r="D23" s="365">
        <f>D7+D22</f>
        <v>1640</v>
      </c>
      <c r="E23" s="233">
        <f>E7+E22</f>
        <v>428</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800</v>
      </c>
      <c r="D27" s="363">
        <v>1000</v>
      </c>
      <c r="E27" s="197">
        <v>1000</v>
      </c>
    </row>
    <row r="28" spans="2:5" ht="15">
      <c r="B28" s="227" t="s">
        <v>792</v>
      </c>
      <c r="C28" s="363"/>
      <c r="D28" s="363">
        <v>152</v>
      </c>
      <c r="E28" s="197">
        <f>895-632</f>
        <v>263</v>
      </c>
    </row>
    <row r="29" spans="2:5" ht="15">
      <c r="B29" s="227" t="s">
        <v>785</v>
      </c>
      <c r="C29" s="363"/>
      <c r="D29" s="363"/>
      <c r="E29" s="197"/>
    </row>
    <row r="30" spans="2:5" ht="15">
      <c r="B30" s="227" t="s">
        <v>784</v>
      </c>
      <c r="C30" s="363">
        <v>34</v>
      </c>
      <c r="D30" s="363">
        <v>60</v>
      </c>
      <c r="E30" s="197">
        <v>60</v>
      </c>
    </row>
    <row r="31" spans="2:5" ht="15">
      <c r="B31" s="227"/>
      <c r="C31" s="363"/>
      <c r="D31" s="363"/>
      <c r="E31" s="197"/>
    </row>
    <row r="32" spans="2:5" ht="15">
      <c r="B32" s="227"/>
      <c r="C32" s="363"/>
      <c r="D32" s="363"/>
      <c r="E32" s="197"/>
    </row>
    <row r="33" spans="2:11" ht="15">
      <c r="B33" s="227"/>
      <c r="C33" s="363"/>
      <c r="D33" s="363"/>
      <c r="E33" s="197"/>
      <c r="F33" s="16"/>
      <c r="G33" s="569" t="s">
        <v>723</v>
      </c>
      <c r="H33" s="570"/>
      <c r="I33" s="570"/>
      <c r="J33" s="571" t="e">
        <f>IF(#REF!&gt;0,#REF!-E41,0)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3" t="str">
        <f>CONCATENATE("Projected Carryover Into ",E3+1,"")</f>
        <v>Projected Carryover Into 2014</v>
      </c>
      <c r="H35" s="674"/>
      <c r="I35" s="674"/>
      <c r="J35" s="675"/>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SUM(C25:C35)</f>
        <v>834</v>
      </c>
      <c r="D37" s="365">
        <f>SUM(D25:D35)</f>
        <v>1212</v>
      </c>
      <c r="E37" s="233">
        <f>SUM(E25:E35)</f>
        <v>1323</v>
      </c>
      <c r="F37" s="16"/>
      <c r="G37" s="485">
        <f>D38</f>
        <v>428</v>
      </c>
      <c r="H37" s="484" t="str">
        <f>CONCATENATE("",E3-1," Ending Cash Balance (est.)")</f>
        <v>2012 Ending Cash Balance (est.)</v>
      </c>
      <c r="I37" s="572"/>
      <c r="J37" s="479"/>
      <c r="K37" s="16"/>
    </row>
    <row r="38" spans="2:11" ht="15">
      <c r="B38" s="118" t="s">
        <v>121</v>
      </c>
      <c r="C38" s="366">
        <f>C23-C37</f>
        <v>749</v>
      </c>
      <c r="D38" s="366">
        <f>D23-D37</f>
        <v>428</v>
      </c>
      <c r="E38" s="127" t="s">
        <v>28</v>
      </c>
      <c r="F38" s="16"/>
      <c r="G38" s="485">
        <f>E22</f>
        <v>0</v>
      </c>
      <c r="H38" s="478" t="str">
        <f>CONCATENATE("",E3," Non-AV Receipts (est.)")</f>
        <v>2013 Non-AV Receipts (est.)</v>
      </c>
      <c r="I38" s="572"/>
      <c r="J38" s="479"/>
      <c r="K38" s="16"/>
    </row>
    <row r="39" spans="2:11" ht="15">
      <c r="B39" s="137" t="str">
        <f>CONCATENATE("",E3-2,"/",E3-1," Budget Authority Amount:")</f>
        <v>2011/2012 Budget Authority Amount:</v>
      </c>
      <c r="C39" s="119">
        <f>inputOth!B41</f>
        <v>1311</v>
      </c>
      <c r="D39" s="384">
        <f>inputPrYr!D19</f>
        <v>1212</v>
      </c>
      <c r="E39" s="127" t="s">
        <v>28</v>
      </c>
      <c r="F39" s="250"/>
      <c r="G39" s="477">
        <f>IF(E43&gt;0,E42,E44)</f>
        <v>895</v>
      </c>
      <c r="H39" s="478" t="str">
        <f>CONCATENATE("",E3," Ad Valorem Tax (est.)")</f>
        <v>2013 Ad Valorem Tax (est.)</v>
      </c>
      <c r="I39" s="478"/>
      <c r="J39" s="479"/>
      <c r="K39" s="573">
        <f>IF(G39=E44,"","Note: Does not include Delinquent Taxes")</f>
      </c>
    </row>
    <row r="40" spans="2:11" ht="15">
      <c r="B40" s="137"/>
      <c r="C40" s="669" t="s">
        <v>652</v>
      </c>
      <c r="D40" s="670"/>
      <c r="E40" s="35"/>
      <c r="F40" s="574">
        <f>IF(E37/0.95-E37&lt;E40,"Exceeds 5%","")</f>
      </c>
      <c r="G40" s="485">
        <f>SUM(G37:G39)</f>
        <v>1323</v>
      </c>
      <c r="H40" s="478" t="str">
        <f>CONCATENATE("Total ",E3," Resources Available")</f>
        <v>Total 2013 Resources Available</v>
      </c>
      <c r="I40" s="572"/>
      <c r="J40" s="479"/>
      <c r="K40" s="16"/>
    </row>
    <row r="41" spans="2:11" ht="15">
      <c r="B41" s="382" t="str">
        <f>CONCATENATE(C57,"     ",D57)</f>
        <v>     </v>
      </c>
      <c r="C41" s="671" t="s">
        <v>653</v>
      </c>
      <c r="D41" s="672"/>
      <c r="E41" s="45">
        <f>E37+E40</f>
        <v>1323</v>
      </c>
      <c r="F41" s="16"/>
      <c r="G41" s="476"/>
      <c r="H41" s="478"/>
      <c r="I41" s="478"/>
      <c r="J41" s="479"/>
      <c r="K41" s="16"/>
    </row>
    <row r="42" spans="2:11" ht="15">
      <c r="B42" s="382" t="str">
        <f>CONCATENATE(C58,"     ",D58)</f>
        <v>     </v>
      </c>
      <c r="C42" s="489"/>
      <c r="D42" s="488" t="s">
        <v>654</v>
      </c>
      <c r="E42" s="42">
        <f>IF(E41-E23&gt;0,E41-E23,0)</f>
        <v>895</v>
      </c>
      <c r="F42" s="16"/>
      <c r="G42" s="477">
        <f>ROUND(C37*0.05+C37,0)</f>
        <v>876</v>
      </c>
      <c r="H42" s="478" t="str">
        <f>CONCATENATE("Less ",E3-2," Expenditures + 5%")</f>
        <v>Less 2011 Expenditures + 5%</v>
      </c>
      <c r="I42" s="572"/>
      <c r="J42" s="479"/>
      <c r="K42" s="16"/>
    </row>
    <row r="43" spans="2:11" ht="15">
      <c r="B43" s="154"/>
      <c r="C43" s="487" t="s">
        <v>655</v>
      </c>
      <c r="D43" s="584">
        <f>inputOth!$E$35</f>
        <v>0</v>
      </c>
      <c r="E43" s="45">
        <f>ROUND(IF(D43&gt;0,(E42*D43),0),0)</f>
        <v>0</v>
      </c>
      <c r="F43" s="16"/>
      <c r="G43" s="475">
        <f>G40-G42</f>
        <v>447</v>
      </c>
      <c r="H43" s="474" t="str">
        <f>CONCATENATE("Projected ",E3+1," Carryover (est.)")</f>
        <v>Projected 2014 Carryover (est.)</v>
      </c>
      <c r="I43" s="575"/>
      <c r="J43" s="473"/>
      <c r="K43" s="16"/>
    </row>
    <row r="44" spans="2:11" ht="15">
      <c r="B44" s="18"/>
      <c r="C44" s="667" t="str">
        <f>CONCATENATE("Amount of  ",$E$3-1," Ad Valorem Tax")</f>
        <v>Amount of  2012 Ad Valorem Tax</v>
      </c>
      <c r="D44" s="668"/>
      <c r="E44" s="42">
        <f>E42+E43</f>
        <v>895</v>
      </c>
      <c r="F44" s="16"/>
      <c r="G44" s="16"/>
      <c r="H44" s="16"/>
      <c r="I44" s="16"/>
      <c r="J44" s="16"/>
      <c r="K44" s="16"/>
    </row>
    <row r="45" spans="2:11" ht="15">
      <c r="B45" s="18"/>
      <c r="C45" s="18"/>
      <c r="D45" s="18"/>
      <c r="E45" s="18"/>
      <c r="F45" s="16"/>
      <c r="G45" s="664" t="s">
        <v>724</v>
      </c>
      <c r="H45" s="665"/>
      <c r="I45" s="665"/>
      <c r="J45" s="666"/>
      <c r="K45" s="16"/>
    </row>
    <row r="46" spans="2:11" ht="15">
      <c r="B46" s="18"/>
      <c r="C46" s="18"/>
      <c r="D46" s="18"/>
      <c r="E46" s="18"/>
      <c r="F46" s="16"/>
      <c r="G46" s="576"/>
      <c r="H46" s="484"/>
      <c r="I46" s="558"/>
      <c r="J46" s="577"/>
      <c r="K46" s="16"/>
    </row>
    <row r="47" spans="2:11" ht="15">
      <c r="B47" s="18"/>
      <c r="C47" s="18"/>
      <c r="D47" s="18"/>
      <c r="E47" s="18"/>
      <c r="F47" s="16"/>
      <c r="G47" s="578">
        <f>summ!H16</f>
        <v>3.734</v>
      </c>
      <c r="H47" s="484" t="str">
        <f>CONCATENATE("",E3," Fund Mill Rate")</f>
        <v>2013 Fund Mill Rate</v>
      </c>
      <c r="I47" s="558"/>
      <c r="J47" s="577"/>
      <c r="K47" s="16"/>
    </row>
    <row r="48" spans="2:11" ht="15">
      <c r="B48" s="18"/>
      <c r="C48" s="18"/>
      <c r="D48" s="18"/>
      <c r="E48" s="18"/>
      <c r="F48" s="579"/>
      <c r="G48" s="580">
        <f>summ!E16</f>
        <v>4.035</v>
      </c>
      <c r="H48" s="484" t="str">
        <f>CONCATENATE("",E3-1," Fund Mill Rate")</f>
        <v>2012 Fund Mill Rate</v>
      </c>
      <c r="I48" s="558"/>
      <c r="J48" s="577"/>
      <c r="K48" s="16"/>
    </row>
    <row r="49" spans="2:11" ht="15">
      <c r="B49" s="18"/>
      <c r="C49" s="221"/>
      <c r="D49" s="221"/>
      <c r="E49" s="221"/>
      <c r="F49" s="564"/>
      <c r="G49" s="581">
        <f>summ!H18</f>
        <v>3.734</v>
      </c>
      <c r="H49" s="484" t="str">
        <f>CONCATENATE("Total ",E3," Mill Rate")</f>
        <v>Total 2013 Mill Rate</v>
      </c>
      <c r="I49" s="558"/>
      <c r="J49" s="577"/>
      <c r="K49" s="16"/>
    </row>
    <row r="50" spans="2:11" ht="15">
      <c r="B50" s="137"/>
      <c r="C50" s="18" t="s">
        <v>221</v>
      </c>
      <c r="D50" s="18"/>
      <c r="E50" s="18"/>
      <c r="F50" s="564"/>
      <c r="G50" s="580">
        <f>summ!E18</f>
        <v>4.035</v>
      </c>
      <c r="H50" s="582" t="str">
        <f>CONCATENATE("Total ",E3-1," Mill Rate")</f>
        <v>Total 2012 Mill Rate</v>
      </c>
      <c r="I50" s="583"/>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Walnut Creek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E17" sqref="E17"/>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Walnut Creek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7, 2012 at 9:00 AM  at Scott Remus' residence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240</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IF(gen!$C$37&lt;&gt;0,gen!$C$37,"  ")</f>
        <v>834</v>
      </c>
      <c r="C16" s="610">
        <f>IF(inputPrYr!D38&gt;0,inputPrYr!D38,"  ")</f>
        <v>4.07</v>
      </c>
      <c r="D16" s="548">
        <f>IF(gen!$D$37&lt;&gt;0,gen!$D$37,"  ")</f>
        <v>1212</v>
      </c>
      <c r="E16" s="613">
        <f>IF(inputOth!D16&gt;0,inputOth!D16,"  ")</f>
        <v>4.035</v>
      </c>
      <c r="F16" s="548">
        <f>IF(gen!$E$37&lt;&gt;0,gen!$E$37,"  ")</f>
        <v>1323</v>
      </c>
      <c r="G16" s="242">
        <f>IF(gen!$E$44&lt;&gt;0,gen!$E$44,"  ")</f>
        <v>895</v>
      </c>
      <c r="H16" s="610">
        <f>IF(gen!E44&gt;0,ROUND(G16/$F$22*1000,3)," ")</f>
        <v>3.734</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834</v>
      </c>
      <c r="C18" s="612">
        <f aca="true" t="shared" si="0" ref="C18:H18">SUM(C16:C16)</f>
        <v>4.07</v>
      </c>
      <c r="D18" s="607">
        <f t="shared" si="0"/>
        <v>1212</v>
      </c>
      <c r="E18" s="615">
        <f t="shared" si="0"/>
        <v>4.035</v>
      </c>
      <c r="F18" s="607">
        <f t="shared" si="0"/>
        <v>1323</v>
      </c>
      <c r="G18" s="607">
        <f t="shared" si="0"/>
        <v>895</v>
      </c>
      <c r="H18" s="615">
        <f t="shared" si="0"/>
        <v>3.734</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834</v>
      </c>
      <c r="C20" s="295"/>
      <c r="D20" s="128">
        <f>SUM(D18-D19)</f>
        <v>1212</v>
      </c>
      <c r="E20" s="295"/>
      <c r="F20" s="480">
        <f>SUM(F18-F19)</f>
        <v>1323</v>
      </c>
      <c r="G20" s="237"/>
      <c r="H20" s="294"/>
      <c r="J20" s="499" t="str">
        <f>CONCATENATE("",I3," Ad Valorem Tax Revenue:")</f>
        <v>2013 Ad Valorem Tax Revenue:</v>
      </c>
      <c r="K20" s="494"/>
      <c r="L20" s="494"/>
      <c r="M20" s="495">
        <f>G18</f>
        <v>895</v>
      </c>
    </row>
    <row r="21" spans="1:13" ht="15.75" thickTop="1">
      <c r="A21" s="33" t="s">
        <v>53</v>
      </c>
      <c r="B21" s="607">
        <f>inputPrYr!E44</f>
        <v>889</v>
      </c>
      <c r="C21" s="214"/>
      <c r="D21" s="607">
        <f>inputPrYr!E24</f>
        <v>889</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218438</v>
      </c>
      <c r="C22" s="214"/>
      <c r="D22" s="42">
        <f>inputOth!E24</f>
        <v>220324</v>
      </c>
      <c r="E22" s="214"/>
      <c r="F22" s="42">
        <f>inputOth!E7</f>
        <v>239684</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Scott Remus</v>
      </c>
      <c r="B27" s="653"/>
      <c r="C27" s="98"/>
      <c r="D27" s="18"/>
      <c r="E27" s="18"/>
      <c r="F27" s="18"/>
      <c r="G27" s="18"/>
      <c r="H27" s="52"/>
    </row>
    <row r="28" spans="1:8" ht="15">
      <c r="A28" s="682" t="str">
        <f>inputBudSum!B5</f>
        <v>Treasurer</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Walnut Creek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239684</v>
      </c>
      <c r="E16" s="18"/>
      <c r="F16" s="52"/>
    </row>
    <row r="17" spans="1:6" ht="15">
      <c r="A17" s="18"/>
      <c r="B17" s="18"/>
      <c r="C17" s="18"/>
      <c r="D17" s="18"/>
      <c r="E17" s="18"/>
      <c r="F17" s="52"/>
    </row>
    <row r="18" spans="1:6" ht="15">
      <c r="A18" s="18"/>
      <c r="B18" s="695" t="s">
        <v>312</v>
      </c>
      <c r="C18" s="695"/>
      <c r="D18" s="305">
        <f>IF(D16&gt;0,(D16*0.001),"")</f>
        <v>239.684</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Walnut Creek Cemetery District with respect to financing the 2013 annual budget for Walnut Creek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Walnut Creek Cemetery district budget exceed the amount levied to finance the</v>
      </c>
      <c r="C9"/>
      <c r="D9"/>
      <c r="E9"/>
      <c r="F9"/>
      <c r="G9"/>
      <c r="H9"/>
    </row>
    <row r="10" spans="2:8" ht="15">
      <c r="B10" s="12" t="str">
        <f>CONCATENATE("",inputPrYr!D6-1," ",inputPrYr!D3," except with regard to revenue produced and attributable to the")</f>
        <v>2012 Walnut Creek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Walnut Creek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Walnut Creek Cemetery that is our desire to notify the public of the possibility of increased property taxes to finance the 2013 Walnut Creek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Walnut Creek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Walnut Creek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789</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790</v>
      </c>
      <c r="D19" s="35">
        <v>1212</v>
      </c>
      <c r="E19" s="35">
        <v>889</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889</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1212</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4.07</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4.07</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889</v>
      </c>
    </row>
    <row r="45" spans="1:5" ht="15">
      <c r="A45" s="49" t="str">
        <f>CONCATENATE("Assessed Valuation (",D6-2," budget column)")</f>
        <v>Assessed Valuation (2011 budget column)</v>
      </c>
      <c r="B45" s="27"/>
      <c r="C45" s="18"/>
      <c r="D45" s="18"/>
      <c r="E45" s="51">
        <v>218438</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Walnut Creek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3.734</v>
      </c>
      <c r="H65" s="484" t="str">
        <f>CONCATENATE("Total ",E1," Mill Rate")</f>
        <v>Total 2013 Mill Rate</v>
      </c>
      <c r="I65" s="558"/>
      <c r="J65" s="577"/>
      <c r="K65" s="585"/>
    </row>
    <row r="66" spans="6:11" ht="15">
      <c r="F66"/>
      <c r="G66" s="580">
        <f>summ!E18</f>
        <v>4.035</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Walnut Creek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3.734</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4.035</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3.734</v>
      </c>
      <c r="H86" s="484" t="str">
        <f>CONCATENATE("Total ",E3," Mill Rate")</f>
        <v>Total 2013 Mill Rate</v>
      </c>
      <c r="I86" s="558"/>
      <c r="J86" s="577"/>
      <c r="K86" s="16"/>
    </row>
    <row r="87" spans="3:11" ht="19.5" customHeight="1">
      <c r="C87" s="95">
        <f>IF(C33&gt;C35,"See Tab A","")</f>
      </c>
      <c r="D87" s="95">
        <f>IF(D33&gt;D35,"See Tab C","")</f>
      </c>
      <c r="F87" s="16"/>
      <c r="G87" s="580">
        <f>summ!E18</f>
        <v>4.035</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Walnut Creek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Walnut Creek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239684</v>
      </c>
    </row>
    <row r="8" spans="1:5" ht="15">
      <c r="A8" s="66" t="str">
        <f>CONCATENATE("New Improvements for ",inputPrYr!D6-1,"")</f>
        <v>New Improvements for 2012</v>
      </c>
      <c r="B8" s="67"/>
      <c r="C8" s="67"/>
      <c r="D8" s="67"/>
      <c r="E8" s="68"/>
    </row>
    <row r="9" spans="1:5" ht="15">
      <c r="A9" s="66" t="str">
        <f>CONCATENATE("Personal Property excluding oil, gas, and mobile homes- ",inputPrYr!D6-1,"")</f>
        <v>Personal Property excluding oil, gas, and mobile homes- 2012</v>
      </c>
      <c r="B9" s="67"/>
      <c r="C9" s="67"/>
      <c r="D9" s="67"/>
      <c r="E9" s="68">
        <v>2001</v>
      </c>
    </row>
    <row r="10" spans="1:5" ht="15">
      <c r="A10" s="66" t="str">
        <f>CONCATENATE("Property that has changed in use for ",inputPrYr!D6-1,"")</f>
        <v>Property that has changed in use for 2012</v>
      </c>
      <c r="B10" s="67"/>
      <c r="C10" s="67"/>
      <c r="D10" s="67"/>
      <c r="E10" s="68"/>
    </row>
    <row r="11" spans="1:5" ht="15">
      <c r="A11" s="65" t="str">
        <f>CONCATENATE("Personal Property excluding oil, gas, and mobile homes- ",inputPrYr!D6-2,"")</f>
        <v>Personal Property excluding oil, gas, and mobile homes- 2011</v>
      </c>
      <c r="B11" s="40"/>
      <c r="C11" s="40"/>
      <c r="D11" s="40"/>
      <c r="E11" s="68">
        <v>458</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4.035</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4.035</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220324</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row>
    <row r="28" spans="1:5" ht="15">
      <c r="A28" s="66" t="s">
        <v>15</v>
      </c>
      <c r="B28" s="67"/>
      <c r="C28" s="67"/>
      <c r="D28" s="84"/>
      <c r="E28" s="35"/>
    </row>
    <row r="29" spans="1:5" ht="15">
      <c r="A29" s="66" t="s">
        <v>164</v>
      </c>
      <c r="B29" s="67"/>
      <c r="C29" s="67"/>
      <c r="D29" s="84"/>
      <c r="E29" s="35"/>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1311</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795</v>
      </c>
      <c r="C3" s="526"/>
      <c r="J3" s="527" t="s">
        <v>705</v>
      </c>
    </row>
    <row r="4" spans="1:10" ht="15">
      <c r="A4" s="336"/>
      <c r="B4" s="336"/>
      <c r="C4" s="336"/>
      <c r="D4" s="337"/>
      <c r="E4" s="336"/>
      <c r="F4" s="336"/>
      <c r="J4" s="527" t="s">
        <v>706</v>
      </c>
    </row>
    <row r="5" spans="1:10" ht="15">
      <c r="A5" s="525" t="s">
        <v>702</v>
      </c>
      <c r="B5" s="526" t="s">
        <v>796</v>
      </c>
      <c r="C5" s="336"/>
      <c r="D5" s="337"/>
      <c r="E5" s="336"/>
      <c r="F5" s="336"/>
      <c r="J5" s="527" t="s">
        <v>707</v>
      </c>
    </row>
    <row r="6" spans="1:10" ht="15">
      <c r="A6" s="336"/>
      <c r="B6" s="336"/>
      <c r="C6" s="336"/>
      <c r="D6" s="337"/>
      <c r="E6" s="336"/>
      <c r="F6" s="336"/>
      <c r="J6" s="527" t="s">
        <v>708</v>
      </c>
    </row>
    <row r="7" spans="1:10" ht="15">
      <c r="A7" s="338" t="s">
        <v>314</v>
      </c>
      <c r="B7" s="339" t="s">
        <v>793</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July 28, 2012</v>
      </c>
      <c r="E8" s="336"/>
      <c r="F8" s="336"/>
      <c r="J8" s="527" t="s">
        <v>710</v>
      </c>
    </row>
    <row r="9" spans="1:10" ht="15">
      <c r="A9" s="338" t="s">
        <v>315</v>
      </c>
      <c r="B9" s="339" t="s">
        <v>794</v>
      </c>
      <c r="C9" s="343"/>
      <c r="D9" s="338"/>
      <c r="E9" s="336"/>
      <c r="F9" s="336"/>
      <c r="J9" s="527" t="s">
        <v>711</v>
      </c>
    </row>
    <row r="10" spans="1:10" ht="15">
      <c r="A10" s="338"/>
      <c r="B10" s="338"/>
      <c r="C10" s="338"/>
      <c r="D10" s="338"/>
      <c r="E10" s="336"/>
      <c r="F10" s="336"/>
      <c r="J10" s="527" t="s">
        <v>712</v>
      </c>
    </row>
    <row r="11" spans="1:10" ht="15">
      <c r="A11" s="338" t="s">
        <v>316</v>
      </c>
      <c r="B11" s="344" t="s">
        <v>791</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788</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July</v>
      </c>
    </row>
    <row r="19" spans="1:7" ht="15">
      <c r="A19" s="338" t="s">
        <v>314</v>
      </c>
      <c r="B19" s="341" t="s">
        <v>319</v>
      </c>
      <c r="C19" s="338"/>
      <c r="D19" s="338"/>
      <c r="E19" s="338"/>
      <c r="G19" s="529" t="str">
        <f>IF(B7="","",CONCATENATE("J",G21))</f>
        <v>J7</v>
      </c>
    </row>
    <row r="20" spans="1:7" ht="15">
      <c r="A20" s="338"/>
      <c r="B20" s="338"/>
      <c r="C20" s="338"/>
      <c r="D20" s="338"/>
      <c r="E20" s="338"/>
      <c r="G20" s="530">
        <f>B7-10</f>
        <v>41118</v>
      </c>
    </row>
    <row r="21" spans="1:7" ht="15">
      <c r="A21" s="338" t="s">
        <v>315</v>
      </c>
      <c r="B21" s="338" t="s">
        <v>320</v>
      </c>
      <c r="C21" s="338"/>
      <c r="D21" s="338"/>
      <c r="E21" s="338"/>
      <c r="G21" s="531">
        <f>IF(B7="","",MONTH(G20))</f>
        <v>7</v>
      </c>
    </row>
    <row r="22" spans="1:7" ht="15">
      <c r="A22" s="338"/>
      <c r="B22" s="338"/>
      <c r="C22" s="338"/>
      <c r="D22" s="338"/>
      <c r="E22" s="338"/>
      <c r="G22" s="532">
        <f>IF(B7="","",DAY(G20))</f>
        <v>28</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Walnut Creek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IF(gen!$E$37&lt;&gt;0,gen!$E$37,"  ")</f>
        <v>1323</v>
      </c>
      <c r="F23" s="546">
        <f>IF(gen!$E$44&lt;&gt;0,gen!$E$44,"  ")</f>
        <v>895</v>
      </c>
      <c r="G23" s="547"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1323</v>
      </c>
      <c r="F30" s="553">
        <f>SUM(F23:F28)</f>
        <v>895</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Walnut Creek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889</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889</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0</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2001</v>
      </c>
      <c r="F14" s="145"/>
      <c r="G14" s="37"/>
      <c r="H14" s="37"/>
      <c r="I14" s="148"/>
      <c r="J14" s="37"/>
    </row>
    <row r="15" spans="1:10" ht="15">
      <c r="A15" s="144"/>
      <c r="B15" s="18" t="s">
        <v>94</v>
      </c>
      <c r="C15" s="18" t="str">
        <f>CONCATENATE("Personal Property ",J1-2,"")</f>
        <v>Personal Property 2011</v>
      </c>
      <c r="D15" s="144" t="s">
        <v>90</v>
      </c>
      <c r="E15" s="41">
        <f>inputOth!E11</f>
        <v>458</v>
      </c>
      <c r="F15" s="145"/>
      <c r="G15" s="148"/>
      <c r="H15" s="148"/>
      <c r="I15" s="37"/>
      <c r="J15" s="37"/>
    </row>
    <row r="16" spans="1:10" ht="15">
      <c r="A16" s="144"/>
      <c r="B16" s="18" t="s">
        <v>95</v>
      </c>
      <c r="C16" s="18" t="s">
        <v>109</v>
      </c>
      <c r="D16" s="18"/>
      <c r="E16" s="37"/>
      <c r="F16" s="37" t="s">
        <v>87</v>
      </c>
      <c r="G16" s="147">
        <f>IF(E14&gt;E15,E14-E15,0)</f>
        <v>1543</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0</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1543</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239684</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238141</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0.006479354668032804</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6</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895</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895</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Walnut Creek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889</v>
      </c>
      <c r="D11" s="122">
        <f>IF(E17=0,0,E17-D12-D13-D14)</f>
        <v>0</v>
      </c>
      <c r="E11" s="122">
        <f>IF(E19=0,0,E19-E12-E13-E14)</f>
        <v>0</v>
      </c>
      <c r="F11" s="122">
        <f>IF(E21=0,0,E21-F12-F13-F14)</f>
        <v>0</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889</v>
      </c>
      <c r="D15" s="129">
        <f>SUM(D11:D14)</f>
        <v>0</v>
      </c>
      <c r="E15" s="129">
        <f>SUM(E11:E14)</f>
        <v>0</v>
      </c>
      <c r="F15" s="202">
        <f>SUM(F11:F14)</f>
        <v>0</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0</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0</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0</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Walnut Creek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2012-07-18T19:55:10Z</cp:lastPrinted>
  <dcterms:created xsi:type="dcterms:W3CDTF">1999-08-06T13:59:57Z</dcterms:created>
  <dcterms:modified xsi:type="dcterms:W3CDTF">2012-08-07T16:12:20Z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