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<sst xmlns="http://schemas.openxmlformats.org/spreadsheetml/2006/main" count="1170" uniqueCount="797">
  <si>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</si>
  <si>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</si>
  <si>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</si>
  <si>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</si>
  <si>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</si>
  <si>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</si>
  <si>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</si>
  <si>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</si>
  <si>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</si>
  <si>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</si>
  <si>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</si>
  <si>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</si>
  <si>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</si>
  <si>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</si>
  <si>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</si>
  <si>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</si>
  <si>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</si>
  <si>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</si>
  <si>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</si>
  <si>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</si>
  <si>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</si>
  <si>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</si>
  <si>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</si>
  <si>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</si>
  <si>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</si>
  <si>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</si>
  <si>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</si>
  <si>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</si>
  <si>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</si>
  <si>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</si>
  <si>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</si>
  <si>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</si>
  <si>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</si>
  <si>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</si>
  <si>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</si>
  <si>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</si>
  <si>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</si>
  <si>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</si>
  <si>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</si>
  <si>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</si>
  <si>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</si>
  <si>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</si>
  <si>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</si>
  <si>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</si>
  <si>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</si>
  <si>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</si>
  <si>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</si>
  <si>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</si>
  <si>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</si>
  <si>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</si>
  <si>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</si>
  <si>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</si>
  <si>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</si>
  <si>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</si>
  <si>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</si>
  <si>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</si>
  <si>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</si>
  <si>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</si>
  <si>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</si>
  <si>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</si>
  <si>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</si>
  <si>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</si>
  <si>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</si>
  <si>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</si>
  <si>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</si>
  <si>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</si>
  <si>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</si>
  <si>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</si>
  <si>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</si>
  <si>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</si>
  <si>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</si>
  <si>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</si>
  <si>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</si>
  <si>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</si>
  <si>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</si>
  <si>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</si>
  <si>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</si>
  <si>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</si>
  <si>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</si>
  <si>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</si>
  <si>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</si>
  <si>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</si>
  <si>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</si>
  <si>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</si>
  <si>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</si>
  <si>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</si>
  <si>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</si>
  <si>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</si>
  <si>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</si>
  <si>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</si>
  <si>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</si>
  <si>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</si>
  <si>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</si>
  <si>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</si>
  <si>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</si>
  <si>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</si>
  <si>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</si>
  <si>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</si>
  <si>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</si>
  <si>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</si>
  <si>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</si>
  <si>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</si>
  <si>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</si>
  <si>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</si>
  <si>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</si>
  <si>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</si>
  <si>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</si>
  <si>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</si>
  <si>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</si>
  <si>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</si>
  <si>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</si>
  <si>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</si>
  <si>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</si>
  <si>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</si>
  <si>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</si>
  <si>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</si>
  <si>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</si>
  <si>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</si>
  <si>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</si>
  <si>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</si>
  <si>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</si>
  <si>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</si>
  <si>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</si>
  <si>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</si>
  <si>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</si>
  <si>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</si>
  <si>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</si>
  <si>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</si>
  <si>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</si>
  <si>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</si>
  <si>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</si>
  <si>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</si>
  <si>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</si>
  <si>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</si>
  <si>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</si>
  <si>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</si>
  <si>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</si>
  <si>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</si>
  <si>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</si>
  <si>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</si>
  <si>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</si>
  <si>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</si>
  <si>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</si>
  <si>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</si>
  <si>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</si>
  <si>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</si>
  <si>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</si>
  <si>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</si>
  <si>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</si>
  <si>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</si>
  <si>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</si>
  <si>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</si>
  <si>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</si>
  <si>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</si>
  <si>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</si>
  <si>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</si>
  <si>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</si>
  <si>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</si>
  <si>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</si>
  <si>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</si>
  <si>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</si>
  <si>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</si>
  <si>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</si>
  <si>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</si>
  <si>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</si>
  <si>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</si>
  <si>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</si>
  <si>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</si>
  <si>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</si>
  <si>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</si>
  <si>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</si>
  <si>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</si>
  <si>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</si>
  <si>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</si>
  <si>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</si>
  <si>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</si>
  <si>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</si>
  <si>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</si>
  <si>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</si>
  <si>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</si>
  <si>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</si>
  <si>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</si>
  <si>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</si>
  <si>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</si>
  <si>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</si>
  <si>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</si>
  <si>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</si>
  <si>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</si>
  <si>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</si>
  <si>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</si>
  <si>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</si>
  <si>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</si>
  <si>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</si>
  <si>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</si>
  <si>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</si>
  <si>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</si>
  <si>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</si>
  <si>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</si>
  <si>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</si>
  <si>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</si>
  <si>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</si>
  <si>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</si>
  <si>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</si>
  <si>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</si>
  <si>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</si>
  <si>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</si>
  <si>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</si>
  <si>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</si>
  <si>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</si>
  <si>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</si>
  <si>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</si>
  <si>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</si>
  <si>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</si>
  <si>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</si>
  <si>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</si>
  <si>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</si>
  <si>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</si>
  <si>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</si>
  <si>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</si>
  <si>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</si>
  <si>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</si>
  <si>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</si>
  <si>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</si>
  <si>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</si>
  <si>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</si>
  <si>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</si>
  <si>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</si>
  <si>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</si>
  <si>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</si>
  <si>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</si>
  <si>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</si>
  <si>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</si>
  <si>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</si>
  <si>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</si>
  <si>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</si>
  <si>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</si>
  <si>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</si>
  <si>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</si>
  <si>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</si>
  <si>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</si>
  <si>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</si>
  <si>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</si>
  <si>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</si>
  <si>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</si>
  <si>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</si>
  <si>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</si>
  <si>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</si>
  <si>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</si>
  <si>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</si>
  <si>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</si>
  <si>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</si>
  <si>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</si>
  <si>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</si>
  <si>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</si>
  <si>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</si>
  <si>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</si>
  <si>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</si>
  <si>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</si>
  <si>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</si>
  <si>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</si>
  <si>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</si>
  <si>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</si>
  <si>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</si>
  <si>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</si>
  <si>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</si>
  <si>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</si>
  <si>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</si>
  <si>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</si>
  <si>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</si>
  <si>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</si>
  <si>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</si>
  <si>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</si>
  <si>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</si>
  <si>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</si>
  <si>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</si>
  <si>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</si>
  <si>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</si>
  <si>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</si>
  <si>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</si>
  <si>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</si>
  <si>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</si>
  <si>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</si>
  <si>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</si>
  <si>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</si>
  <si>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</si>
  <si>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</si>
  <si>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</si>
  <si>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</si>
  <si>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</si>
  <si>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</si>
  <si>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</si>
  <si>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</si>
  <si>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</si>
  <si>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</si>
  <si>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</si>
  <si>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</si>
  <si>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</si>
  <si>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</si>
  <si>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</si>
  <si>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</si>
  <si>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</si>
  <si>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</si>
  <si>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</si>
  <si>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</si>
  <si>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</si>
  <si>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</si>
  <si>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</si>
  <si>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</si>
  <si>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</si>
  <si>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</si>
  <si>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</si>
  <si>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</si>
  <si>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</si>
  <si>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</si>
  <si>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</si>
  <si>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</si>
  <si>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</si>
  <si>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</si>
  <si>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</si>
  <si>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</si>
  <si>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</si>
  <si>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</si>
  <si>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</si>
  <si>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</si>
  <si>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</si>
  <si>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</si>
  <si>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</si>
  <si>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</si>
  <si>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</si>
  <si>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</si>
  <si>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</si>
  <si>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</si>
  <si>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</si>
  <si>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</si>
  <si>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</si>
  <si>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</si>
  <si>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</si>
  <si>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</si>
  <si>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</si>
  <si>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</si>
  <si>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</si>
  <si>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</si>
  <si>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</si>
  <si>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</si>
  <si>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</si>
  <si>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</si>
  <si>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</si>
  <si>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</si>
  <si>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</si>
  <si>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</si>
  <si>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</si>
  <si>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</si>
  <si>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</si>
  <si>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</si>
  <si>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</si>
  <si>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</si>
  <si>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</si>
  <si>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</si>
  <si>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</si>
  <si>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</si>
  <si>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</si>
  <si>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</si>
  <si>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</si>
  <si>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</si>
  <si>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</si>
  <si>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</si>
  <si>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</si>
  <si>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</si>
  <si>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</si>
  <si>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</si>
  <si>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</si>
  <si>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</si>
  <si>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</si>
  <si>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</si>
  <si>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</si>
  <si>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</si>
  <si>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</si>
  <si>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</si>
  <si>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</si>
  <si>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</si>
  <si>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</si>
  <si>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</si>
  <si>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</si>
  <si>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</si>
  <si>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</si>
  <si>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</si>
  <si>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</si>
  <si>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</si>
  <si>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</si>
  <si>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</si>
  <si>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</si>
  <si>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</si>
  <si>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</si>
  <si>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</si>
  <si>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</si>
  <si>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</si>
  <si>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</si>
  <si>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</si>
  <si>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</si>
  <si>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</si>
  <si>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</si>
  <si>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</si>
  <si>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</si>
  <si>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</si>
  <si>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</si>
  <si>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</si>
  <si>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</si>
  <si>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</si>
  <si>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</si>
  <si>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</si>
  <si>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</si>
  <si>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</si>
  <si>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</si>
  <si>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</si>
  <si>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</si>
  <si>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</si>
  <si>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</si>
  <si>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</si>
  <si>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</si>
  <si>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</si>
  <si>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</si>
  <si>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</si>
  <si>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</si>
  <si>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</si>
  <si>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</si>
  <si>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</si>
  <si>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</si>
  <si>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</si>
  <si>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</si>
  <si>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</si>
  <si>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</si>
  <si>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</si>
  <si>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</si>
  <si>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</si>
  <si>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</si>
  <si>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</si>
  <si>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</si>
  <si>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</si>
  <si>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</si>
  <si>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</si>
  <si>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</si>
  <si>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</si>
  <si>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</si>
  <si>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</si>
  <si>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</si>
  <si>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</si>
  <si>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</si>
  <si>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</si>
  <si>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</si>
  <si>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</si>
  <si>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</si>
  <si>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</si>
  <si>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</si>
  <si>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</si>
  <si>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</si>
  <si>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</si>
  <si>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</si>
  <si>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</si>
  <si>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</si>
  <si>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</si>
  <si>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</si>
  <si>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</si>
  <si>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</si>
  <si>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</si>
  <si>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</si>
  <si>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</si>
  <si>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</si>
  <si>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</si>
  <si>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</si>
  <si>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</si>
  <si>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</si>
  <si>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</si>
  <si>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</si>
  <si>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</si>
  <si>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</si>
  <si>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</si>
  <si>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</si>
  <si>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</si>
  <si>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</si>
  <si>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</si>
  <si>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</si>
  <si>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</si>
  <si>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</si>
  <si>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</si>
  <si>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</si>
  <si>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</si>
  <si>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</si>
  <si>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</si>
  <si>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</si>
  <si>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</si>
  <si>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</si>
  <si>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</si>
  <si>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</si>
  <si>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</si>
  <si>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</si>
  <si>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</si>
  <si>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</si>
  <si>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</si>
  <si>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</si>
  <si>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</si>
  <si>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</si>
  <si>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</si>
  <si>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</si>
  <si>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</si>
  <si>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</si>
  <si>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</si>
  <si>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</si>
  <si>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</si>
  <si>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</si>
  <si>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</si>
  <si>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</si>
  <si>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</si>
  <si>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</si>
  <si>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</si>
  <si>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</si>
  <si>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</si>
  <si>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</si>
  <si>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</si>
  <si>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</si>
  <si>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</si>
  <si>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</si>
  <si>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</si>
  <si>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</si>
  <si>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</si>
  <si>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</si>
  <si>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</si>
  <si>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</si>
  <si>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</si>
  <si>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</si>
  <si>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</si>
  <si>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</si>
  <si>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</si>
  <si>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</si>
  <si>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</si>
  <si>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</si>
  <si>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</si>
  <si>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</si>
  <si>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</si>
  <si>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</si>
  <si>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</si>
  <si>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</si>
  <si>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</si>
  <si>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</si>
  <si>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</si>
  <si>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</si>
  <si>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</si>
  <si>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</si>
  <si>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</si>
  <si>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</si>
  <si>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</si>
  <si>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</si>
  <si>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</si>
  <si>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</si>
  <si>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</si>
  <si>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</si>
  <si>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</si>
  <si>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</si>
  <si>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</si>
  <si>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</si>
  <si>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</si>
  <si>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</si>
  <si>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</si>
  <si>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</si>
  <si>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</si>
  <si>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</si>
  <si>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</si>
  <si>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</si>
  <si>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</si>
  <si>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</si>
  <si>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</si>
  <si>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</si>
  <si>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</si>
  <si>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</si>
  <si>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</si>
  <si>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</si>
  <si>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</si>
  <si>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</si>
  <si>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</si>
  <si>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</si>
  <si>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</si>
  <si>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</si>
  <si>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</si>
  <si>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</si>
  <si>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</si>
  <si>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</si>
  <si>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</si>
  <si>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</si>
  <si>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</si>
  <si>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</si>
  <si>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</si>
  <si>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</si>
  <si>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</si>
  <si>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</si>
  <si>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</si>
  <si>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</si>
  <si>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</si>
  <si>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</si>
  <si>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</si>
  <si>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</si>
  <si>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</si>
  <si>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</si>
  <si>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</si>
  <si>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</si>
  <si>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</si>
  <si>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</si>
  <si>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</si>
  <si>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</si>
  <si>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</si>
  <si>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</si>
  <si>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</si>
  <si>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</si>
  <si>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</si>
  <si>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</si>
  <si>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</si>
  <si>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</si>
  <si>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</si>
  <si>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</si>
  <si>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</si>
  <si>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</si>
  <si>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</si>
  <si>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</si>
  <si>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</si>
  <si>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</si>
  <si>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</si>
  <si>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</si>
  <si>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</si>
  <si>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</si>
  <si>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</si>
  <si>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</si>
  <si>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</si>
  <si>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</si>
  <si>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</si>
  <si>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</si>
  <si>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</si>
  <si>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</si>
  <si>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</si>
  <si>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</si>
  <si>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</si>
  <si>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</si>
  <si>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</si>
  <si>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</si>
  <si>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</si>
  <si>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</si>
  <si>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</si>
  <si>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</si>
  <si>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</si>
  <si>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</si>
  <si>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</si>
  <si>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</si>
  <si>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</si>
  <si>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</si>
  <si>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</si>
  <si>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</si>
  <si>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</si>
  <si>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</si>
  <si>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</si>
  <si>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</si>
  <si>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</si>
  <si>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</si>
  <si>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</si>
  <si>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</si>
  <si>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</si>
  <si>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</si>
  <si>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</si>
  <si>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</si>
  <si>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</si>
  <si>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</si>
  <si>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</si>
  <si>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</si>
  <si>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</si>
  <si>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</si>
  <si>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</si>
  <si>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</si>
  <si>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</si>
  <si>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</si>
  <si>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</si>
  <si>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</si>
  <si>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</si>
  <si>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</si>
  <si>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</si>
  <si>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</si>
  <si>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</si>
  <si>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</si>
  <si>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</si>
  <si>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</si>
  <si>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</si>
  <si>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</si>
  <si>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</si>
  <si>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</si>
  <si>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</si>
  <si>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</si>
  <si>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</si>
  <si>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</si>
  <si>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</si>
  <si>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</si>
  <si>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</si>
  <si>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</si>
  <si>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</si>
  <si>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</si>
  <si>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</si>
  <si>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</si>
  <si>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</si>
  <si>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</si>
  <si>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</si>
  <si>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</si>
  <si>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</si>
  <si>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</si>
  <si>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</si>
  <si>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</si>
  <si>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</si>
  <si>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</si>
  <si>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</si>
  <si>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</si>
  <si>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</si>
  <si>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</si>
  <si>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</si>
  <si>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</si>
  <si>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</si>
  <si>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</si>
  <si>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</si>
  <si>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</si>
  <si>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</si>
  <si>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</si>
  <si>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</si>
  <si>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</si>
  <si>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</si>
  <si>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</si>
  <si>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</si>
  <si>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</si>
  <si>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</si>
  <si>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</si>
  <si>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</si>
  <si>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</si>
  <si>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</si>
  <si>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</si>
  <si>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</si>
  <si>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</si>
  <si>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</si>
  <si>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</si>
  <si>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</si>
  <si>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</si>
  <si>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</si>
  <si>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</si>
  <si>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</si>
  <si>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</si>
  <si>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</si>
  <si>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</si>
  <si>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</si>
  <si>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</si>
  <si>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</si>
  <si>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</si>
  <si>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</si>
  <si>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</si>
  <si>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</si>
  <si>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</si>
  <si>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</si>
  <si>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</si>
  <si>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</si>
  <si>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</si>
  <si>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</si>
  <si>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</si>
  <si>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</si>
  <si>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</si>
  <si>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</si>
  <si>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</si>
  <si>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</si>
  <si>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</si>
  <si>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</si>
  <si>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</si>
  <si>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</si>
  <si>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</si>
  <si>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</si>
  <si>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</si>
  <si>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</si>
  <si>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</si>
  <si>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</si>
  <si>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</si>
  <si>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</si>
  <si>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</si>
  <si>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</si>
  <si>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</si>
  <si>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</si>
  <si>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</si>
  <si>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</si>
  <si>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</si>
  <si>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</si>
  <si>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</si>
  <si>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</si>
  <si>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</si>
  <si>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Pleasant View Cemetery</t>
  </si>
  <si>
    <t>17-1330</t>
  </si>
  <si>
    <t>Pleasant View Church</t>
  </si>
  <si>
    <t>Improvement</t>
  </si>
  <si>
    <t>August 12, 2012</t>
  </si>
  <si>
    <t>12:30 PM</t>
  </si>
  <si>
    <t>Stanley Creitz</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</si>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</sst>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Pleasant View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8">
      <selection activeCell="E29" sqref="E2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Pleasant View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503</v>
      </c>
      <c r="D7" s="370">
        <f>C38</f>
        <v>605</v>
      </c>
      <c r="E7" s="45">
        <f>D38</f>
        <v>364</v>
      </c>
    </row>
    <row r="8" spans="2:5" ht="15">
      <c r="B8" s="225" t="s">
        <v>122</v>
      </c>
      <c r="C8" s="226"/>
      <c r="D8" s="226"/>
      <c r="E8" s="122"/>
    </row>
    <row r="9" spans="2:5" ht="15">
      <c r="B9" s="118" t="s">
        <v>33</v>
      </c>
      <c r="C9" s="363">
        <v>2078</v>
      </c>
      <c r="D9" s="370">
        <f>IF(inputPrYr!H18&gt;0,inputPrYr!G19,inputPrYr!E19)</f>
        <v>2085</v>
      </c>
      <c r="E9" s="127" t="s">
        <v>28</v>
      </c>
    </row>
    <row r="10" spans="2:5" ht="15">
      <c r="B10" s="118" t="s">
        <v>34</v>
      </c>
      <c r="C10" s="363"/>
      <c r="D10" s="363"/>
      <c r="E10" s="197"/>
    </row>
    <row r="11" spans="2:5" ht="15">
      <c r="B11" s="118" t="s">
        <v>35</v>
      </c>
      <c r="C11" s="363">
        <v>101</v>
      </c>
      <c r="D11" s="363">
        <v>106</v>
      </c>
      <c r="E11" s="45">
        <f>mvalloc!D11</f>
        <v>117</v>
      </c>
    </row>
    <row r="12" spans="2:5" ht="15">
      <c r="B12" s="118" t="s">
        <v>36</v>
      </c>
      <c r="C12" s="363">
        <v>2</v>
      </c>
      <c r="D12" s="363">
        <v>2</v>
      </c>
      <c r="E12" s="45">
        <f>mvalloc!E11</f>
        <v>2</v>
      </c>
    </row>
    <row r="13" spans="2:5" ht="15">
      <c r="B13" s="226" t="s">
        <v>104</v>
      </c>
      <c r="C13" s="363">
        <v>77</v>
      </c>
      <c r="D13" s="363">
        <v>80</v>
      </c>
      <c r="E13" s="45">
        <f>mvalloc!F11</f>
        <v>94</v>
      </c>
    </row>
    <row r="14" spans="2:5" ht="15">
      <c r="B14" s="226" t="s">
        <v>153</v>
      </c>
      <c r="C14" s="363"/>
      <c r="D14" s="363"/>
      <c r="E14" s="45">
        <f>inputOth!E30</f>
        <v>0</v>
      </c>
    </row>
    <row r="15" spans="2:5" ht="15">
      <c r="B15" s="227"/>
      <c r="C15" s="363"/>
      <c r="D15" s="363"/>
      <c r="E15" s="197"/>
    </row>
    <row r="16" spans="2:5" ht="15">
      <c r="B16" s="227" t="s">
        <v>786</v>
      </c>
      <c r="C16" s="363">
        <v>25</v>
      </c>
      <c r="D16" s="363"/>
      <c r="E16" s="197"/>
    </row>
    <row r="17" spans="2:5" ht="15">
      <c r="B17" s="227" t="s">
        <v>787</v>
      </c>
      <c r="C17" s="363"/>
      <c r="D17" s="363"/>
      <c r="E17" s="197"/>
    </row>
    <row r="18" spans="2:5" ht="15">
      <c r="B18" s="227"/>
      <c r="C18" s="363"/>
      <c r="D18" s="363"/>
      <c r="E18" s="197"/>
    </row>
    <row r="19" spans="2:5" ht="15">
      <c r="B19" s="228" t="s">
        <v>37</v>
      </c>
      <c r="C19" s="363">
        <v>3</v>
      </c>
      <c r="D19" s="363"/>
      <c r="E19" s="197"/>
    </row>
    <row r="20" spans="2:5" ht="15">
      <c r="B20" s="229" t="s">
        <v>212</v>
      </c>
      <c r="C20" s="227"/>
      <c r="D20" s="227"/>
      <c r="E20" s="197"/>
    </row>
    <row r="21" spans="2:5" ht="15">
      <c r="B21" s="229" t="s">
        <v>556</v>
      </c>
      <c r="C21" s="364">
        <f>IF(C22*0.1&lt;C20,"Exceed 10% Rule","")</f>
      </c>
      <c r="D21" s="364">
        <f>IF(D22*0.1&lt;D20,"Exceed 10% Rule","")</f>
      </c>
      <c r="E21" s="383">
        <f>IF(E22*0.1+E44&lt;E20,"Exceed 10% Rule","")</f>
      </c>
    </row>
    <row r="22" spans="2:5" ht="15">
      <c r="B22" s="232" t="s">
        <v>38</v>
      </c>
      <c r="C22" s="365">
        <f>SUM(C9:C20)</f>
        <v>2286</v>
      </c>
      <c r="D22" s="365">
        <f>SUM(D9:D20)</f>
        <v>2273</v>
      </c>
      <c r="E22" s="233">
        <f>SUM(E9:E20)</f>
        <v>213</v>
      </c>
    </row>
    <row r="23" spans="2:5" ht="15">
      <c r="B23" s="232" t="s">
        <v>39</v>
      </c>
      <c r="C23" s="365">
        <f>C7+C22</f>
        <v>2789</v>
      </c>
      <c r="D23" s="365">
        <f>D7+D22</f>
        <v>2878</v>
      </c>
      <c r="E23" s="233">
        <f>E7+E22</f>
        <v>577</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2150</v>
      </c>
      <c r="D27" s="363">
        <v>2000</v>
      </c>
      <c r="E27" s="197">
        <v>2000</v>
      </c>
    </row>
    <row r="28" spans="2:5" ht="15">
      <c r="B28" s="227" t="s">
        <v>792</v>
      </c>
      <c r="C28" s="363"/>
      <c r="D28" s="363">
        <v>454</v>
      </c>
      <c r="E28" s="197">
        <f>2101-1524</f>
        <v>577</v>
      </c>
    </row>
    <row r="29" spans="2:5" ht="15">
      <c r="B29" s="227" t="s">
        <v>785</v>
      </c>
      <c r="C29" s="363"/>
      <c r="D29" s="363"/>
      <c r="E29" s="197"/>
    </row>
    <row r="30" spans="2:5" ht="15">
      <c r="B30" s="227" t="s">
        <v>784</v>
      </c>
      <c r="C30" s="363">
        <v>34</v>
      </c>
      <c r="D30" s="363">
        <v>60</v>
      </c>
      <c r="E30" s="197">
        <v>60</v>
      </c>
    </row>
    <row r="31" spans="2:5" ht="15">
      <c r="B31" s="227"/>
      <c r="C31" s="363"/>
      <c r="D31" s="363"/>
      <c r="E31" s="197"/>
    </row>
    <row r="32" spans="2:5" ht="15">
      <c r="B32" s="227"/>
      <c r="C32" s="363"/>
      <c r="D32" s="363"/>
      <c r="E32" s="197"/>
    </row>
    <row r="33" spans="2:11" ht="15">
      <c r="B33" s="227"/>
      <c r="C33" s="363"/>
      <c r="D33" s="363"/>
      <c r="E33" s="197"/>
      <c r="F33" s="16"/>
      <c r="G33" s="569" t="s">
        <v>723</v>
      </c>
      <c r="H33" s="570"/>
      <c r="I33" s="570"/>
      <c r="J33" s="571" t="e">
        <f>IF(#REF!&gt;0,#REF!-E41,0)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3" t="str">
        <f>CONCATENATE("Projected Carryover Into ",E3+1,"")</f>
        <v>Projected Carryover Into 2014</v>
      </c>
      <c r="H35" s="674"/>
      <c r="I35" s="674"/>
      <c r="J35" s="675"/>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SUM(C25:C35)</f>
        <v>2184</v>
      </c>
      <c r="D37" s="365">
        <f>SUM(D25:D35)</f>
        <v>2514</v>
      </c>
      <c r="E37" s="233">
        <f>SUM(E25:E35)</f>
        <v>2637</v>
      </c>
      <c r="F37" s="16"/>
      <c r="G37" s="485">
        <f>D38</f>
        <v>364</v>
      </c>
      <c r="H37" s="484" t="str">
        <f>CONCATENATE("",E3-1," Ending Cash Balance (est.)")</f>
        <v>2012 Ending Cash Balance (est.)</v>
      </c>
      <c r="I37" s="572"/>
      <c r="J37" s="479"/>
      <c r="K37" s="16"/>
    </row>
    <row r="38" spans="2:11" ht="15">
      <c r="B38" s="118" t="s">
        <v>121</v>
      </c>
      <c r="C38" s="366">
        <f>C23-C37</f>
        <v>605</v>
      </c>
      <c r="D38" s="366">
        <f>D23-D37</f>
        <v>364</v>
      </c>
      <c r="E38" s="127" t="s">
        <v>28</v>
      </c>
      <c r="F38" s="16"/>
      <c r="G38" s="485">
        <f>E22</f>
        <v>213</v>
      </c>
      <c r="H38" s="478" t="str">
        <f>CONCATENATE("",E3," Non-AV Receipts (est.)")</f>
        <v>2013 Non-AV Receipts (est.)</v>
      </c>
      <c r="I38" s="572"/>
      <c r="J38" s="479"/>
      <c r="K38" s="16"/>
    </row>
    <row r="39" spans="2:11" ht="15">
      <c r="B39" s="137" t="str">
        <f>CONCATENATE("",E3-2,"/",E3-1," Budget Authority Amount:")</f>
        <v>2011/2012 Budget Authority Amount:</v>
      </c>
      <c r="C39" s="119">
        <f>inputOth!B41</f>
        <v>2522</v>
      </c>
      <c r="D39" s="384">
        <f>inputPrYr!D19</f>
        <v>2514</v>
      </c>
      <c r="E39" s="127" t="s">
        <v>28</v>
      </c>
      <c r="F39" s="250"/>
      <c r="G39" s="477">
        <f>IF(E43&gt;0,E42,E44)</f>
        <v>2060</v>
      </c>
      <c r="H39" s="478" t="str">
        <f>CONCATENATE("",E3," Ad Valorem Tax (est.)")</f>
        <v>2013 Ad Valorem Tax (est.)</v>
      </c>
      <c r="I39" s="478"/>
      <c r="J39" s="479"/>
      <c r="K39" s="573">
        <f>IF(G39=E44,"","Note: Does not include Delinquent Taxes")</f>
      </c>
    </row>
    <row r="40" spans="2:11" ht="15">
      <c r="B40" s="137"/>
      <c r="C40" s="669" t="s">
        <v>652</v>
      </c>
      <c r="D40" s="670"/>
      <c r="E40" s="35"/>
      <c r="F40" s="574">
        <f>IF(E37/0.95-E37&lt;E40,"Exceeds 5%","")</f>
      </c>
      <c r="G40" s="485">
        <f>SUM(G37:G39)</f>
        <v>2637</v>
      </c>
      <c r="H40" s="478" t="str">
        <f>CONCATENATE("Total ",E3," Resources Available")</f>
        <v>Total 2013 Resources Available</v>
      </c>
      <c r="I40" s="572"/>
      <c r="J40" s="479"/>
      <c r="K40" s="16"/>
    </row>
    <row r="41" spans="2:11" ht="15">
      <c r="B41" s="382" t="str">
        <f>CONCATENATE(C57,"     ",D57)</f>
        <v>     </v>
      </c>
      <c r="C41" s="671" t="s">
        <v>653</v>
      </c>
      <c r="D41" s="672"/>
      <c r="E41" s="45">
        <f>E37+E40</f>
        <v>2637</v>
      </c>
      <c r="F41" s="16"/>
      <c r="G41" s="476"/>
      <c r="H41" s="478"/>
      <c r="I41" s="478"/>
      <c r="J41" s="479"/>
      <c r="K41" s="16"/>
    </row>
    <row r="42" spans="2:11" ht="15">
      <c r="B42" s="382" t="str">
        <f>CONCATENATE(C58,"     ",D58)</f>
        <v>     </v>
      </c>
      <c r="C42" s="489"/>
      <c r="D42" s="488" t="s">
        <v>654</v>
      </c>
      <c r="E42" s="42">
        <f>IF(E41-E23&gt;0,E41-E23,0)</f>
        <v>2060</v>
      </c>
      <c r="F42" s="16"/>
      <c r="G42" s="477">
        <f>ROUND(C37*0.05+C37,0)</f>
        <v>2293</v>
      </c>
      <c r="H42" s="478" t="str">
        <f>CONCATENATE("Less ",E3-2," Expenditures + 5%")</f>
        <v>Less 2011 Expenditures + 5%</v>
      </c>
      <c r="I42" s="572"/>
      <c r="J42" s="479"/>
      <c r="K42" s="16"/>
    </row>
    <row r="43" spans="2:11" ht="15">
      <c r="B43" s="154"/>
      <c r="C43" s="487" t="s">
        <v>655</v>
      </c>
      <c r="D43" s="584">
        <f>inputOth!$E$35</f>
        <v>0</v>
      </c>
      <c r="E43" s="45">
        <f>ROUND(IF(D43&gt;0,(E42*D43),0),0)</f>
        <v>0</v>
      </c>
      <c r="F43" s="16"/>
      <c r="G43" s="475">
        <f>G40-G42</f>
        <v>344</v>
      </c>
      <c r="H43" s="474" t="str">
        <f>CONCATENATE("Projected ",E3+1," Carryover (est.)")</f>
        <v>Projected 2014 Carryover (est.)</v>
      </c>
      <c r="I43" s="575"/>
      <c r="J43" s="473"/>
      <c r="K43" s="16"/>
    </row>
    <row r="44" spans="2:11" ht="15">
      <c r="B44" s="18"/>
      <c r="C44" s="667" t="str">
        <f>CONCATENATE("Amount of  ",$E$3-1," Ad Valorem Tax")</f>
        <v>Amount of  2012 Ad Valorem Tax</v>
      </c>
      <c r="D44" s="668"/>
      <c r="E44" s="42">
        <f>E42+E43</f>
        <v>2060</v>
      </c>
      <c r="F44" s="16"/>
      <c r="G44" s="16"/>
      <c r="H44" s="16"/>
      <c r="I44" s="16"/>
      <c r="J44" s="16"/>
      <c r="K44" s="16"/>
    </row>
    <row r="45" spans="2:11" ht="15">
      <c r="B45" s="18"/>
      <c r="C45" s="18"/>
      <c r="D45" s="18"/>
      <c r="E45" s="18"/>
      <c r="F45" s="16"/>
      <c r="G45" s="664" t="s">
        <v>724</v>
      </c>
      <c r="H45" s="665"/>
      <c r="I45" s="665"/>
      <c r="J45" s="666"/>
      <c r="K45" s="16"/>
    </row>
    <row r="46" spans="2:11" ht="15">
      <c r="B46" s="18"/>
      <c r="C46" s="18"/>
      <c r="D46" s="18"/>
      <c r="E46" s="18"/>
      <c r="F46" s="16"/>
      <c r="G46" s="576"/>
      <c r="H46" s="484"/>
      <c r="I46" s="558"/>
      <c r="J46" s="577"/>
      <c r="K46" s="16"/>
    </row>
    <row r="47" spans="2:11" ht="15">
      <c r="B47" s="18"/>
      <c r="C47" s="18"/>
      <c r="D47" s="18"/>
      <c r="E47" s="18"/>
      <c r="F47" s="16"/>
      <c r="G47" s="578">
        <f>summ!H16</f>
        <v>1.52</v>
      </c>
      <c r="H47" s="484" t="str">
        <f>CONCATENATE("",E3," Fund Mill Rate")</f>
        <v>2013 Fund Mill Rate</v>
      </c>
      <c r="I47" s="558"/>
      <c r="J47" s="577"/>
      <c r="K47" s="16"/>
    </row>
    <row r="48" spans="2:11" ht="15">
      <c r="B48" s="18"/>
      <c r="C48" s="18"/>
      <c r="D48" s="18"/>
      <c r="E48" s="18"/>
      <c r="F48" s="579"/>
      <c r="G48" s="580">
        <f>summ!E16</f>
        <v>1.66</v>
      </c>
      <c r="H48" s="484" t="str">
        <f>CONCATENATE("",E3-1," Fund Mill Rate")</f>
        <v>2012 Fund Mill Rate</v>
      </c>
      <c r="I48" s="558"/>
      <c r="J48" s="577"/>
      <c r="K48" s="16"/>
    </row>
    <row r="49" spans="2:11" ht="15">
      <c r="B49" s="18"/>
      <c r="C49" s="221"/>
      <c r="D49" s="221"/>
      <c r="E49" s="221"/>
      <c r="F49" s="564"/>
      <c r="G49" s="581">
        <f>summ!H18</f>
        <v>1.52</v>
      </c>
      <c r="H49" s="484" t="str">
        <f>CONCATENATE("Total ",E3," Mill Rate")</f>
        <v>Total 2013 Mill Rate</v>
      </c>
      <c r="I49" s="558"/>
      <c r="J49" s="577"/>
      <c r="K49" s="16"/>
    </row>
    <row r="50" spans="2:11" ht="15">
      <c r="B50" s="137"/>
      <c r="C50" s="18" t="s">
        <v>221</v>
      </c>
      <c r="D50" s="18"/>
      <c r="E50" s="18"/>
      <c r="F50" s="564"/>
      <c r="G50" s="580">
        <f>summ!E18</f>
        <v>1.66</v>
      </c>
      <c r="H50" s="582" t="str">
        <f>CONCATENATE("Total ",E3-1," Mill Rate")</f>
        <v>Total 2012 Mill Rate</v>
      </c>
      <c r="I50" s="583"/>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Pleasant View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0">
      <selection activeCell="H20" sqref="H2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86"/>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Pleasant View Cemetery</v>
      </c>
      <c r="B4" s="625"/>
      <c r="C4" s="625"/>
      <c r="D4" s="625"/>
      <c r="E4" s="625"/>
      <c r="F4" s="625"/>
      <c r="G4" s="625"/>
      <c r="H4" s="625"/>
    </row>
    <row r="5" spans="1:8" ht="15">
      <c r="A5" s="689" t="str">
        <f>inputPrYr!D4</f>
        <v>Mitchell County</v>
      </c>
      <c r="B5" s="689"/>
      <c r="C5" s="689"/>
      <c r="D5" s="689"/>
      <c r="E5" s="689"/>
      <c r="F5" s="689"/>
      <c r="G5" s="689"/>
      <c r="H5" s="689"/>
    </row>
    <row r="6" spans="1:8" ht="15">
      <c r="A6" s="643" t="str">
        <f>CONCATENATE("will meet on ",inputBudSum!B7," at ",inputBudSum!B9," at ",inputBudSum!B11," for the purpose of hearing and")</f>
        <v>will meet on August 12, 2012 at 12:30 PM at Pleasant View Church for the purpose of hearing and</v>
      </c>
      <c r="B6" s="643"/>
      <c r="C6" s="643"/>
      <c r="D6" s="643"/>
      <c r="E6" s="643"/>
      <c r="F6" s="643"/>
      <c r="G6" s="643"/>
      <c r="H6" s="643"/>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78" t="str">
        <f>CONCATENATE("Estimated Value Of One Mill For ",I3,"")</f>
        <v>Estimated Value Of One Mill For 2013</v>
      </c>
      <c r="K12" s="679"/>
      <c r="L12" s="679"/>
      <c r="M12" s="680"/>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87" t="str">
        <f>CONCATENATE("Amount of ",I3-1," Ad Valorem Tax")</f>
        <v>Amount of 2012 Ad Valorem Tax</v>
      </c>
      <c r="H14" s="292" t="s">
        <v>559</v>
      </c>
      <c r="J14" s="496" t="s">
        <v>659</v>
      </c>
      <c r="K14" s="497"/>
      <c r="L14" s="497"/>
      <c r="M14" s="498">
        <f>ROUND(F22/1000,0)</f>
        <v>1355</v>
      </c>
    </row>
    <row r="15" spans="1:13" ht="15">
      <c r="A15" s="168" t="s">
        <v>51</v>
      </c>
      <c r="B15" s="113" t="s">
        <v>52</v>
      </c>
      <c r="C15" s="293" t="s">
        <v>191</v>
      </c>
      <c r="D15" s="113" t="s">
        <v>52</v>
      </c>
      <c r="E15" s="293" t="s">
        <v>191</v>
      </c>
      <c r="F15" s="113" t="s">
        <v>554</v>
      </c>
      <c r="G15" s="688"/>
      <c r="H15" s="293" t="s">
        <v>191</v>
      </c>
      <c r="J15" s="16"/>
      <c r="K15" s="16"/>
      <c r="L15" s="16"/>
      <c r="M15" s="16"/>
    </row>
    <row r="16" spans="1:13" ht="15">
      <c r="A16" s="36" t="str">
        <f>inputPrYr!B19</f>
        <v>General</v>
      </c>
      <c r="B16" s="122">
        <f>IF(gen!$C$37&lt;&gt;0,gen!$C$37,"  ")</f>
        <v>2184</v>
      </c>
      <c r="C16" s="610">
        <f>IF(inputPrYr!D38&gt;0,inputPrYr!D38,"  ")</f>
        <v>1.68</v>
      </c>
      <c r="D16" s="548">
        <f>IF(gen!$D$37&lt;&gt;0,gen!$D$37,"  ")</f>
        <v>2514</v>
      </c>
      <c r="E16" s="613">
        <f>IF(inputOth!D16&gt;0,inputOth!D16,"  ")</f>
        <v>1.66</v>
      </c>
      <c r="F16" s="548">
        <f>IF(gen!$E$37&lt;&gt;0,gen!$E$37,"  ")</f>
        <v>2637</v>
      </c>
      <c r="G16" s="242">
        <f>IF(gen!$E$44&lt;&gt;0,gen!$E$44,"  ")</f>
        <v>2060</v>
      </c>
      <c r="H16" s="610">
        <f>IF(gen!E44&gt;0,ROUND(G16/$F$22*1000,3)," ")</f>
        <v>1.52</v>
      </c>
      <c r="J16" s="678" t="str">
        <f>CONCATENATE("Want The Mill Rate The Same As For ",I3-1,"?")</f>
        <v>Want The Mill Rate The Same As For 2012?</v>
      </c>
      <c r="K16" s="681"/>
      <c r="L16" s="681"/>
      <c r="M16" s="682"/>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2184</v>
      </c>
      <c r="C18" s="612">
        <f aca="true" t="shared" si="0" ref="C18:H18">SUM(C16:C16)</f>
        <v>1.68</v>
      </c>
      <c r="D18" s="607">
        <f t="shared" si="0"/>
        <v>2514</v>
      </c>
      <c r="E18" s="615">
        <f t="shared" si="0"/>
        <v>1.66</v>
      </c>
      <c r="F18" s="607">
        <f t="shared" si="0"/>
        <v>2637</v>
      </c>
      <c r="G18" s="607">
        <f t="shared" si="0"/>
        <v>2060</v>
      </c>
      <c r="H18" s="615">
        <f t="shared" si="0"/>
        <v>1.52</v>
      </c>
      <c r="J18" s="678" t="str">
        <f>CONCATENATE("Impact On Keeping The Same Mill Rate As For ",I3-1,"")</f>
        <v>Impact On Keeping The Same Mill Rate As For 2012</v>
      </c>
      <c r="K18" s="683"/>
      <c r="L18" s="683"/>
      <c r="M18" s="684"/>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2184</v>
      </c>
      <c r="C20" s="295"/>
      <c r="D20" s="128">
        <f>SUM(D18-D19)</f>
        <v>2514</v>
      </c>
      <c r="E20" s="295"/>
      <c r="F20" s="480">
        <f>SUM(F18-F19)</f>
        <v>2637</v>
      </c>
      <c r="G20" s="237"/>
      <c r="H20" s="294"/>
      <c r="J20" s="499" t="str">
        <f>CONCATENATE("",I3," Ad Valorem Tax Revenue:")</f>
        <v>2013 Ad Valorem Tax Revenue:</v>
      </c>
      <c r="K20" s="494"/>
      <c r="L20" s="494"/>
      <c r="M20" s="495">
        <f>G18</f>
        <v>2060</v>
      </c>
    </row>
    <row r="21" spans="1:13" ht="15.75" thickTop="1">
      <c r="A21" s="33" t="s">
        <v>53</v>
      </c>
      <c r="B21" s="607">
        <f>inputPrYr!E44</f>
        <v>2079</v>
      </c>
      <c r="C21" s="214"/>
      <c r="D21" s="607">
        <f>inputPrYr!E24</f>
        <v>2085</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1238064</v>
      </c>
      <c r="C22" s="214"/>
      <c r="D22" s="42">
        <f>inputOth!E24</f>
        <v>1256719</v>
      </c>
      <c r="E22" s="214"/>
      <c r="F22" s="42">
        <f>inputOth!E7</f>
        <v>1355029</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85" t="str">
        <f>inputBudSum!B3</f>
        <v>Stanley Creitz</v>
      </c>
      <c r="B27" s="651"/>
      <c r="C27" s="98"/>
      <c r="D27" s="18"/>
      <c r="E27" s="18"/>
      <c r="F27" s="18"/>
      <c r="G27" s="18"/>
      <c r="H27" s="52"/>
    </row>
    <row r="28" spans="1:8" ht="15">
      <c r="A28" s="690" t="str">
        <f>inputBudSum!B5</f>
        <v>Trustee</v>
      </c>
      <c r="B28" s="691"/>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A28:B28"/>
    <mergeCell ref="A6:H6"/>
    <mergeCell ref="J12:M12"/>
    <mergeCell ref="J16:M16"/>
    <mergeCell ref="J18:M18"/>
    <mergeCell ref="A27:B27"/>
    <mergeCell ref="A1:H1"/>
    <mergeCell ref="G14:G15"/>
    <mergeCell ref="A3:H3"/>
    <mergeCell ref="A4:H4"/>
    <mergeCell ref="A5:H5"/>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Pleasant View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2" t="str">
        <f>CONCATENATE("",F1," Neighborhood Revitalization Rebate")</f>
        <v>2013 Neighborhood Revitalization Rebate</v>
      </c>
      <c r="C4" s="694"/>
      <c r="D4" s="694"/>
      <c r="E4" s="686"/>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1355029</v>
      </c>
      <c r="E16" s="18"/>
      <c r="F16" s="52"/>
    </row>
    <row r="17" spans="1:6" ht="15">
      <c r="A17" s="18"/>
      <c r="B17" s="18"/>
      <c r="C17" s="18"/>
      <c r="D17" s="18"/>
      <c r="E17" s="18"/>
      <c r="F17" s="52"/>
    </row>
    <row r="18" spans="1:6" ht="15">
      <c r="A18" s="18"/>
      <c r="B18" s="695" t="s">
        <v>312</v>
      </c>
      <c r="C18" s="695"/>
      <c r="D18" s="305">
        <f>IF(D16&gt;0,(D16*0.001),"")</f>
        <v>1355.029</v>
      </c>
      <c r="E18" s="18"/>
      <c r="F18" s="52"/>
    </row>
    <row r="19" spans="1:6" ht="15">
      <c r="A19" s="18"/>
      <c r="B19" s="137"/>
      <c r="C19" s="137"/>
      <c r="D19" s="306"/>
      <c r="E19" s="18"/>
      <c r="F19" s="52"/>
    </row>
    <row r="20" spans="1:6" ht="15">
      <c r="A20" s="692" t="s">
        <v>310</v>
      </c>
      <c r="B20" s="686"/>
      <c r="C20" s="686"/>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04" t="s">
        <v>134</v>
      </c>
      <c r="C1" s="704"/>
      <c r="D1" s="704"/>
      <c r="E1" s="704"/>
      <c r="F1" s="704"/>
      <c r="G1" s="704"/>
      <c r="H1" s="704"/>
    </row>
    <row r="2" spans="2:8" ht="15">
      <c r="B2" s="6"/>
      <c r="C2"/>
      <c r="D2"/>
      <c r="E2"/>
      <c r="F2"/>
      <c r="G2"/>
      <c r="H2"/>
    </row>
    <row r="3" spans="2:8" ht="15">
      <c r="B3" s="705" t="s">
        <v>131</v>
      </c>
      <c r="C3" s="705"/>
      <c r="D3" s="705"/>
      <c r="E3" s="705"/>
      <c r="F3" s="705"/>
      <c r="G3" s="705"/>
      <c r="H3" s="705"/>
    </row>
    <row r="4" spans="2:8" ht="15">
      <c r="B4" s="7"/>
      <c r="C4"/>
      <c r="D4"/>
      <c r="E4"/>
      <c r="F4"/>
      <c r="G4"/>
      <c r="H4"/>
    </row>
    <row r="5" spans="2:8" ht="15">
      <c r="B5" s="697"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View Cemetery District with respect to financing the 2013 annual budget for Pleasant View Cemetery , Mitchell County , Kansas.</v>
      </c>
      <c r="C5" s="698"/>
      <c r="D5" s="698"/>
      <c r="E5" s="698"/>
      <c r="F5" s="698"/>
      <c r="G5" s="698"/>
      <c r="H5" s="698"/>
    </row>
    <row r="6" spans="2:10" ht="15">
      <c r="B6" s="698"/>
      <c r="C6" s="698"/>
      <c r="D6" s="698"/>
      <c r="E6" s="698"/>
      <c r="F6" s="698"/>
      <c r="G6" s="698"/>
      <c r="H6" s="698"/>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Pleasant View Cemetery district budget exceed the amount levied to finance the</v>
      </c>
      <c r="C9"/>
      <c r="D9"/>
      <c r="E9"/>
      <c r="F9"/>
      <c r="G9"/>
      <c r="H9"/>
    </row>
    <row r="10" spans="2:8" ht="15">
      <c r="B10" s="12" t="str">
        <f>CONCATENATE("",inputPrYr!D6-1," ",inputPrYr!D3," except with regard to revenue produced and attributable to the")</f>
        <v>2012 Pleasant View Cemetery except with regard to revenue produced and attributable to the</v>
      </c>
      <c r="C10"/>
      <c r="D10"/>
      <c r="E10"/>
      <c r="F10"/>
      <c r="G10"/>
      <c r="H10"/>
    </row>
    <row r="11" spans="2:8" ht="15">
      <c r="B11" s="701" t="s">
        <v>169</v>
      </c>
      <c r="C11" s="706"/>
      <c r="D11" s="706"/>
      <c r="E11" s="706"/>
      <c r="F11" s="706"/>
      <c r="G11" s="706"/>
      <c r="H11" s="706"/>
    </row>
    <row r="12" spans="2:8" ht="15">
      <c r="B12" s="706"/>
      <c r="C12" s="706"/>
      <c r="D12" s="706"/>
      <c r="E12" s="706"/>
      <c r="F12" s="706"/>
      <c r="G12" s="706"/>
      <c r="H12" s="706"/>
    </row>
    <row r="13" spans="2:8" ht="15">
      <c r="B13" s="706"/>
      <c r="C13" s="706"/>
      <c r="D13" s="706"/>
      <c r="E13" s="706"/>
      <c r="F13" s="706"/>
      <c r="G13" s="706"/>
      <c r="H13" s="706"/>
    </row>
    <row r="14" spans="2:8" ht="15">
      <c r="B14" s="706"/>
      <c r="C14" s="706"/>
      <c r="D14" s="706"/>
      <c r="E14" s="706"/>
      <c r="F14" s="706"/>
      <c r="G14" s="706"/>
      <c r="H14" s="706"/>
    </row>
    <row r="15" spans="2:8" ht="15">
      <c r="B15" s="1"/>
      <c r="C15" s="1"/>
      <c r="D15" s="1"/>
      <c r="E15" s="1"/>
      <c r="F15" s="1"/>
      <c r="G15" s="1"/>
      <c r="H15" s="1"/>
    </row>
    <row r="16" spans="2:8" ht="15">
      <c r="B16" s="699" t="s">
        <v>143</v>
      </c>
      <c r="C16" s="700"/>
      <c r="D16" s="700"/>
      <c r="E16" s="700"/>
      <c r="F16" s="700"/>
      <c r="G16" s="700"/>
      <c r="H16" s="700"/>
    </row>
    <row r="17" spans="2:8" ht="15">
      <c r="B17" s="700"/>
      <c r="C17" s="700"/>
      <c r="D17" s="700"/>
      <c r="E17" s="700"/>
      <c r="F17" s="700"/>
      <c r="G17" s="700"/>
      <c r="H17" s="700"/>
    </row>
    <row r="18" spans="2:8" ht="15">
      <c r="B18" s="12"/>
      <c r="C18"/>
      <c r="D18"/>
      <c r="E18"/>
      <c r="F18"/>
      <c r="G18"/>
      <c r="H18"/>
    </row>
    <row r="19" spans="2:8" ht="15">
      <c r="B19" s="12" t="str">
        <f>CONCATENATE("Whereas, ",(inputPrYr!D3)," provides essential services to district residents; and")</f>
        <v>Whereas, Pleasant View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View Cemetery that is our desire to notify the public of the possibility of increased property taxes to finance the 2013 Pleasant View Cemetery  budget as defined above.</v>
      </c>
      <c r="C23" s="702"/>
      <c r="D23" s="702"/>
      <c r="E23" s="702"/>
      <c r="F23" s="702"/>
      <c r="G23" s="702"/>
      <c r="H23" s="702"/>
    </row>
    <row r="24" spans="2:8" ht="15">
      <c r="B24" s="702"/>
      <c r="C24" s="702"/>
      <c r="D24" s="702"/>
      <c r="E24" s="702"/>
      <c r="F24" s="702"/>
      <c r="G24" s="702"/>
      <c r="H24" s="702"/>
    </row>
    <row r="25" spans="2:8" ht="15">
      <c r="B25" s="702"/>
      <c r="C25" s="702"/>
      <c r="D25" s="702"/>
      <c r="E25" s="702"/>
      <c r="F25" s="702"/>
      <c r="G25" s="702"/>
      <c r="H25" s="702"/>
    </row>
    <row r="26" spans="2:8" ht="15">
      <c r="B26" s="12"/>
      <c r="C26"/>
      <c r="D26"/>
      <c r="E26"/>
      <c r="F26"/>
      <c r="G26"/>
      <c r="H26"/>
    </row>
    <row r="27" spans="2:8" ht="15">
      <c r="B27" s="699" t="str">
        <f>CONCATENATE("Adopted this _________ day of ___________, ",inputPrYr!D6-1," by the ",(inputPrYr!D3)," District Board, ",(inputPrYr!D4),", Kansas.")</f>
        <v>Adopted this _________ day of ___________, 2012 by the Pleasant View Cemetery District Board, Mitchell County, Kansas.</v>
      </c>
      <c r="C27" s="698"/>
      <c r="D27" s="698"/>
      <c r="E27" s="698"/>
      <c r="F27" s="698"/>
      <c r="G27" s="698"/>
      <c r="H27" s="698"/>
    </row>
    <row r="28" spans="2:8" ht="15">
      <c r="B28" s="698"/>
      <c r="C28" s="698"/>
      <c r="D28" s="698"/>
      <c r="E28" s="698"/>
      <c r="F28" s="698"/>
      <c r="G28" s="698"/>
      <c r="H28" s="698"/>
    </row>
    <row r="29" spans="2:8" ht="15">
      <c r="B29" s="8"/>
      <c r="C29"/>
      <c r="D29"/>
      <c r="E29"/>
      <c r="F29"/>
      <c r="G29"/>
      <c r="H29"/>
    </row>
    <row r="30" spans="2:8" ht="15">
      <c r="B30" s="8"/>
      <c r="C30"/>
      <c r="D30"/>
      <c r="E30"/>
      <c r="F30"/>
      <c r="G30"/>
      <c r="H30"/>
    </row>
    <row r="31" spans="2:8" ht="15">
      <c r="B31" s="9" t="str">
        <f>CONCATENATE(" ",(inputPrYr!D3)," District Board")</f>
        <v> Pleasant View Cemetery District Board</v>
      </c>
      <c r="C31"/>
      <c r="D31"/>
      <c r="E31"/>
      <c r="F31"/>
      <c r="G31"/>
      <c r="H31"/>
    </row>
    <row r="32" spans="2:8" ht="15">
      <c r="B32" s="8"/>
      <c r="C32"/>
      <c r="D32"/>
      <c r="E32"/>
      <c r="F32"/>
      <c r="G32"/>
      <c r="H32"/>
    </row>
    <row r="33" spans="2:8" ht="15">
      <c r="B33"/>
      <c r="C33"/>
      <c r="D33"/>
      <c r="E33" s="703" t="s">
        <v>132</v>
      </c>
      <c r="F33" s="703"/>
      <c r="G33" s="703"/>
      <c r="H33" s="703"/>
    </row>
    <row r="34" spans="2:8" ht="15">
      <c r="B34"/>
      <c r="C34"/>
      <c r="D34"/>
      <c r="E34" s="703" t="s">
        <v>135</v>
      </c>
      <c r="F34" s="703"/>
      <c r="G34" s="703"/>
      <c r="H34" s="703"/>
    </row>
    <row r="35" spans="2:8" ht="15">
      <c r="B35" s="8"/>
      <c r="C35"/>
      <c r="D35"/>
      <c r="E35" s="703"/>
      <c r="F35" s="703"/>
      <c r="G35" s="703"/>
      <c r="H35" s="703"/>
    </row>
    <row r="36" spans="2:8" ht="15">
      <c r="B36"/>
      <c r="C36"/>
      <c r="D36"/>
      <c r="E36" s="703" t="s">
        <v>132</v>
      </c>
      <c r="F36" s="703"/>
      <c r="G36" s="703"/>
      <c r="H36" s="703"/>
    </row>
    <row r="37" spans="2:8" ht="15">
      <c r="B37"/>
      <c r="C37"/>
      <c r="D37"/>
      <c r="E37" s="703" t="s">
        <v>136</v>
      </c>
      <c r="F37" s="703"/>
      <c r="G37" s="703"/>
      <c r="H37" s="703"/>
    </row>
    <row r="38" spans="2:8" ht="15">
      <c r="B38" s="8"/>
      <c r="C38"/>
      <c r="D38"/>
      <c r="E38" s="703"/>
      <c r="F38" s="703"/>
      <c r="G38" s="703"/>
      <c r="H38" s="703"/>
    </row>
    <row r="39" spans="2:8" ht="15">
      <c r="B39"/>
      <c r="C39"/>
      <c r="D39"/>
      <c r="E39" s="703" t="s">
        <v>132</v>
      </c>
      <c r="F39" s="703"/>
      <c r="G39" s="703"/>
      <c r="H39" s="703"/>
    </row>
    <row r="40" spans="2:8" ht="15">
      <c r="B40"/>
      <c r="C40"/>
      <c r="D40"/>
      <c r="E40" s="703" t="s">
        <v>137</v>
      </c>
      <c r="F40" s="703"/>
      <c r="G40" s="703"/>
      <c r="H40" s="703"/>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696"/>
      <c r="F46" s="696"/>
      <c r="G46" s="696"/>
      <c r="H46" s="696"/>
    </row>
    <row r="47" spans="2:8" ht="15">
      <c r="B47" s="3"/>
      <c r="E47" s="696"/>
      <c r="F47" s="696"/>
      <c r="G47" s="696"/>
      <c r="H47" s="696"/>
    </row>
    <row r="48" spans="5:8" ht="15">
      <c r="E48" s="696"/>
      <c r="F48" s="696"/>
      <c r="G48" s="696"/>
      <c r="H48" s="696"/>
    </row>
    <row r="49" spans="5:8" ht="15">
      <c r="E49" s="696"/>
      <c r="F49" s="696"/>
      <c r="G49" s="696"/>
      <c r="H49" s="696"/>
    </row>
    <row r="50" spans="2:8" ht="15">
      <c r="B50" s="3"/>
      <c r="E50" s="696"/>
      <c r="F50" s="696"/>
      <c r="G50" s="696"/>
      <c r="H50" s="696"/>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789</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790</v>
      </c>
      <c r="D19" s="35">
        <v>2514</v>
      </c>
      <c r="E19" s="35">
        <v>2085</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2085</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2514</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1.68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1.68</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2079</v>
      </c>
    </row>
    <row r="45" spans="1:5" ht="15">
      <c r="A45" s="49" t="str">
        <f>CONCATENATE("Assessed Valuation (",D6-2," budget column)")</f>
        <v>Assessed Valuation (2011 budget column)</v>
      </c>
      <c r="B45" s="27"/>
      <c r="C45" s="18"/>
      <c r="D45" s="18"/>
      <c r="E45" s="51">
        <v>1238064</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07" t="s">
        <v>560</v>
      </c>
      <c r="C6" s="708"/>
      <c r="D6" s="708"/>
      <c r="E6" s="708"/>
      <c r="F6" s="708"/>
      <c r="G6" s="708"/>
      <c r="H6" s="708"/>
      <c r="I6" s="708"/>
      <c r="J6" s="708"/>
      <c r="K6" s="708"/>
      <c r="L6" s="393"/>
    </row>
    <row r="7" spans="1:12" ht="40.5" customHeight="1">
      <c r="A7" s="390"/>
      <c r="B7" s="709" t="s">
        <v>561</v>
      </c>
      <c r="C7" s="710"/>
      <c r="D7" s="710"/>
      <c r="E7" s="710"/>
      <c r="F7" s="710"/>
      <c r="G7" s="710"/>
      <c r="H7" s="710"/>
      <c r="I7" s="710"/>
      <c r="J7" s="710"/>
      <c r="K7" s="710"/>
      <c r="L7" s="390"/>
    </row>
    <row r="8" spans="1:12" ht="13.5">
      <c r="A8" s="390"/>
      <c r="B8" s="711" t="s">
        <v>562</v>
      </c>
      <c r="C8" s="711"/>
      <c r="D8" s="711"/>
      <c r="E8" s="711"/>
      <c r="F8" s="711"/>
      <c r="G8" s="711"/>
      <c r="H8" s="711"/>
      <c r="I8" s="711"/>
      <c r="J8" s="711"/>
      <c r="K8" s="711"/>
      <c r="L8" s="390"/>
    </row>
    <row r="9" spans="1:12" ht="13.5">
      <c r="A9" s="390"/>
      <c r="L9" s="390"/>
    </row>
    <row r="10" spans="1:12" ht="13.5">
      <c r="A10" s="390"/>
      <c r="B10" s="711" t="s">
        <v>563</v>
      </c>
      <c r="C10" s="711"/>
      <c r="D10" s="711"/>
      <c r="E10" s="711"/>
      <c r="F10" s="711"/>
      <c r="G10" s="711"/>
      <c r="H10" s="711"/>
      <c r="I10" s="711"/>
      <c r="J10" s="711"/>
      <c r="K10" s="711"/>
      <c r="L10" s="390"/>
    </row>
    <row r="11" spans="1:12" ht="13.5">
      <c r="A11" s="390"/>
      <c r="B11" s="520"/>
      <c r="C11" s="520"/>
      <c r="D11" s="520"/>
      <c r="E11" s="520"/>
      <c r="F11" s="520"/>
      <c r="G11" s="520"/>
      <c r="H11" s="520"/>
      <c r="I11" s="520"/>
      <c r="J11" s="520"/>
      <c r="K11" s="520"/>
      <c r="L11" s="390"/>
    </row>
    <row r="12" spans="1:12" ht="32.25" customHeight="1">
      <c r="A12" s="390"/>
      <c r="B12" s="712" t="s">
        <v>564</v>
      </c>
      <c r="C12" s="712"/>
      <c r="D12" s="712"/>
      <c r="E12" s="712"/>
      <c r="F12" s="712"/>
      <c r="G12" s="712"/>
      <c r="H12" s="712"/>
      <c r="I12" s="712"/>
      <c r="J12" s="712"/>
      <c r="K12" s="712"/>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3">
        <v>312000000</v>
      </c>
      <c r="G23" s="713"/>
      <c r="L23" s="390"/>
    </row>
    <row r="24" spans="1:12" ht="13.5">
      <c r="A24" s="390"/>
      <c r="L24" s="390"/>
    </row>
    <row r="25" spans="1:12" ht="13.5">
      <c r="A25" s="390"/>
      <c r="C25" s="714">
        <f>F23</f>
        <v>312000000</v>
      </c>
      <c r="D25" s="71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15" t="s">
        <v>561</v>
      </c>
      <c r="C30" s="715"/>
      <c r="D30" s="715"/>
      <c r="E30" s="715"/>
      <c r="F30" s="715"/>
      <c r="G30" s="715"/>
      <c r="H30" s="715"/>
      <c r="I30" s="715"/>
      <c r="J30" s="715"/>
      <c r="K30" s="715"/>
      <c r="L30" s="390"/>
    </row>
    <row r="31" spans="1:12" ht="13.5">
      <c r="A31" s="390"/>
      <c r="B31" s="711" t="s">
        <v>573</v>
      </c>
      <c r="C31" s="711"/>
      <c r="D31" s="711"/>
      <c r="E31" s="711"/>
      <c r="F31" s="711"/>
      <c r="G31" s="711"/>
      <c r="H31" s="711"/>
      <c r="I31" s="711"/>
      <c r="J31" s="711"/>
      <c r="K31" s="711"/>
      <c r="L31" s="390"/>
    </row>
    <row r="32" spans="1:12" ht="13.5">
      <c r="A32" s="390"/>
      <c r="L32" s="390"/>
    </row>
    <row r="33" spans="1:12" ht="13.5">
      <c r="A33" s="390"/>
      <c r="B33" s="711" t="s">
        <v>574</v>
      </c>
      <c r="C33" s="711"/>
      <c r="D33" s="711"/>
      <c r="E33" s="711"/>
      <c r="F33" s="711"/>
      <c r="G33" s="711"/>
      <c r="H33" s="711"/>
      <c r="I33" s="711"/>
      <c r="J33" s="711"/>
      <c r="K33" s="711"/>
      <c r="L33" s="390"/>
    </row>
    <row r="34" spans="1:12" ht="13.5">
      <c r="A34" s="390"/>
      <c r="L34" s="390"/>
    </row>
    <row r="35" spans="1:12" ht="89.25" customHeight="1">
      <c r="A35" s="390"/>
      <c r="B35" s="712" t="s">
        <v>575</v>
      </c>
      <c r="C35" s="716"/>
      <c r="D35" s="716"/>
      <c r="E35" s="716"/>
      <c r="F35" s="716"/>
      <c r="G35" s="716"/>
      <c r="H35" s="716"/>
      <c r="I35" s="716"/>
      <c r="J35" s="716"/>
      <c r="K35" s="716"/>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17">
        <v>312000000</v>
      </c>
      <c r="D41" s="717"/>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18">
        <v>312000000</v>
      </c>
      <c r="C48" s="713"/>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19" t="s">
        <v>583</v>
      </c>
      <c r="H50" s="720"/>
      <c r="I50" s="516" t="s">
        <v>569</v>
      </c>
      <c r="J50" s="410">
        <f>B50/F50</f>
        <v>0.16025641025641027</v>
      </c>
      <c r="K50" s="402"/>
      <c r="L50" s="390"/>
    </row>
    <row r="51" spans="1:15" ht="14.25" thickBot="1">
      <c r="A51" s="390"/>
      <c r="B51" s="403"/>
      <c r="C51" s="404"/>
      <c r="D51" s="404"/>
      <c r="E51" s="404"/>
      <c r="F51" s="404"/>
      <c r="G51" s="404"/>
      <c r="H51" s="404"/>
      <c r="I51" s="721" t="s">
        <v>584</v>
      </c>
      <c r="J51" s="721"/>
      <c r="K51" s="722"/>
      <c r="L51" s="390"/>
      <c r="O51" s="411"/>
    </row>
    <row r="52" spans="1:12" ht="40.5" customHeight="1">
      <c r="A52" s="390"/>
      <c r="B52" s="715" t="s">
        <v>561</v>
      </c>
      <c r="C52" s="715"/>
      <c r="D52" s="715"/>
      <c r="E52" s="715"/>
      <c r="F52" s="715"/>
      <c r="G52" s="715"/>
      <c r="H52" s="715"/>
      <c r="I52" s="715"/>
      <c r="J52" s="715"/>
      <c r="K52" s="715"/>
      <c r="L52" s="390"/>
    </row>
    <row r="53" spans="1:12" ht="13.5">
      <c r="A53" s="390"/>
      <c r="B53" s="711" t="s">
        <v>585</v>
      </c>
      <c r="C53" s="711"/>
      <c r="D53" s="711"/>
      <c r="E53" s="711"/>
      <c r="F53" s="711"/>
      <c r="G53" s="711"/>
      <c r="H53" s="711"/>
      <c r="I53" s="711"/>
      <c r="J53" s="711"/>
      <c r="K53" s="711"/>
      <c r="L53" s="390"/>
    </row>
    <row r="54" spans="1:12" ht="13.5">
      <c r="A54" s="390"/>
      <c r="B54" s="520"/>
      <c r="C54" s="520"/>
      <c r="D54" s="520"/>
      <c r="E54" s="520"/>
      <c r="F54" s="520"/>
      <c r="G54" s="520"/>
      <c r="H54" s="520"/>
      <c r="I54" s="520"/>
      <c r="J54" s="520"/>
      <c r="K54" s="520"/>
      <c r="L54" s="390"/>
    </row>
    <row r="55" spans="1:12" ht="13.5">
      <c r="A55" s="390"/>
      <c r="B55" s="707" t="s">
        <v>586</v>
      </c>
      <c r="C55" s="707"/>
      <c r="D55" s="707"/>
      <c r="E55" s="707"/>
      <c r="F55" s="707"/>
      <c r="G55" s="707"/>
      <c r="H55" s="707"/>
      <c r="I55" s="707"/>
      <c r="J55" s="707"/>
      <c r="K55" s="707"/>
      <c r="L55" s="390"/>
    </row>
    <row r="56" spans="1:12" ht="15" customHeight="1">
      <c r="A56" s="390"/>
      <c r="L56" s="390"/>
    </row>
    <row r="57" spans="1:24" ht="74.25" customHeight="1">
      <c r="A57" s="390"/>
      <c r="B57" s="712" t="s">
        <v>587</v>
      </c>
      <c r="C57" s="716"/>
      <c r="D57" s="716"/>
      <c r="E57" s="716"/>
      <c r="F57" s="716"/>
      <c r="G57" s="716"/>
      <c r="H57" s="716"/>
      <c r="I57" s="716"/>
      <c r="J57" s="716"/>
      <c r="K57" s="716"/>
      <c r="L57" s="390"/>
      <c r="M57" s="412"/>
      <c r="N57" s="413"/>
      <c r="O57" s="413"/>
      <c r="P57" s="413"/>
      <c r="Q57" s="413"/>
      <c r="R57" s="413"/>
      <c r="S57" s="413"/>
      <c r="T57" s="413"/>
      <c r="U57" s="413"/>
      <c r="V57" s="413"/>
      <c r="W57" s="413"/>
      <c r="X57" s="413"/>
    </row>
    <row r="58" spans="1:24" ht="15" customHeight="1">
      <c r="A58" s="390"/>
      <c r="B58" s="712"/>
      <c r="C58" s="716"/>
      <c r="D58" s="716"/>
      <c r="E58" s="716"/>
      <c r="F58" s="716"/>
      <c r="G58" s="716"/>
      <c r="H58" s="716"/>
      <c r="I58" s="716"/>
      <c r="J58" s="716"/>
      <c r="K58" s="716"/>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3">
        <v>312000000</v>
      </c>
      <c r="D74" s="713"/>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3">
        <v>50000</v>
      </c>
      <c r="D77" s="713"/>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3">
        <v>100000</v>
      </c>
      <c r="D80" s="713"/>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3">
        <f>H80</f>
        <v>11500</v>
      </c>
      <c r="D83" s="723"/>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15" t="s">
        <v>561</v>
      </c>
      <c r="C85" s="715"/>
      <c r="D85" s="715"/>
      <c r="E85" s="715"/>
      <c r="F85" s="715"/>
      <c r="G85" s="715"/>
      <c r="H85" s="715"/>
      <c r="I85" s="715"/>
      <c r="J85" s="715"/>
      <c r="K85" s="715"/>
      <c r="L85" s="390"/>
    </row>
    <row r="86" spans="1:12" ht="13.5">
      <c r="A86" s="390"/>
      <c r="B86" s="707" t="s">
        <v>603</v>
      </c>
      <c r="C86" s="707"/>
      <c r="D86" s="707"/>
      <c r="E86" s="707"/>
      <c r="F86" s="707"/>
      <c r="G86" s="707"/>
      <c r="H86" s="707"/>
      <c r="I86" s="707"/>
      <c r="J86" s="707"/>
      <c r="K86" s="707"/>
      <c r="L86" s="390"/>
    </row>
    <row r="87" spans="1:12" ht="13.5">
      <c r="A87" s="390"/>
      <c r="B87" s="424"/>
      <c r="C87" s="424"/>
      <c r="D87" s="424"/>
      <c r="E87" s="424"/>
      <c r="F87" s="424"/>
      <c r="G87" s="424"/>
      <c r="H87" s="424"/>
      <c r="I87" s="424"/>
      <c r="J87" s="424"/>
      <c r="K87" s="424"/>
      <c r="L87" s="390"/>
    </row>
    <row r="88" spans="1:12" ht="13.5">
      <c r="A88" s="390"/>
      <c r="B88" s="707" t="s">
        <v>604</v>
      </c>
      <c r="C88" s="707"/>
      <c r="D88" s="707"/>
      <c r="E88" s="707"/>
      <c r="F88" s="707"/>
      <c r="G88" s="707"/>
      <c r="H88" s="707"/>
      <c r="I88" s="707"/>
      <c r="J88" s="707"/>
      <c r="K88" s="707"/>
      <c r="L88" s="390"/>
    </row>
    <row r="89" spans="1:12" ht="13.5">
      <c r="A89" s="390"/>
      <c r="B89" s="515"/>
      <c r="C89" s="515"/>
      <c r="D89" s="515"/>
      <c r="E89" s="515"/>
      <c r="F89" s="515"/>
      <c r="G89" s="515"/>
      <c r="H89" s="515"/>
      <c r="I89" s="515"/>
      <c r="J89" s="515"/>
      <c r="K89" s="515"/>
      <c r="L89" s="390"/>
    </row>
    <row r="90" spans="1:12" ht="45" customHeight="1">
      <c r="A90" s="390"/>
      <c r="B90" s="712" t="s">
        <v>605</v>
      </c>
      <c r="C90" s="712"/>
      <c r="D90" s="712"/>
      <c r="E90" s="712"/>
      <c r="F90" s="712"/>
      <c r="G90" s="712"/>
      <c r="H90" s="712"/>
      <c r="I90" s="712"/>
      <c r="J90" s="712"/>
      <c r="K90" s="712"/>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3">
        <v>312000000</v>
      </c>
      <c r="D94" s="713"/>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3">
        <v>50000</v>
      </c>
      <c r="D97" s="713"/>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3">
        <v>2500000</v>
      </c>
      <c r="D100" s="713"/>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3">
        <f>H100</f>
        <v>750000</v>
      </c>
      <c r="D103" s="723"/>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5" t="s">
        <v>561</v>
      </c>
      <c r="C105" s="724"/>
      <c r="D105" s="724"/>
      <c r="E105" s="724"/>
      <c r="F105" s="724"/>
      <c r="G105" s="724"/>
      <c r="H105" s="724"/>
      <c r="I105" s="724"/>
      <c r="J105" s="724"/>
      <c r="K105" s="724"/>
      <c r="L105" s="390"/>
    </row>
    <row r="106" spans="1:12" ht="15" customHeight="1">
      <c r="A106" s="390"/>
      <c r="B106" s="725" t="s">
        <v>607</v>
      </c>
      <c r="C106" s="708"/>
      <c r="D106" s="708"/>
      <c r="E106" s="708"/>
      <c r="F106" s="708"/>
      <c r="G106" s="708"/>
      <c r="H106" s="708"/>
      <c r="I106" s="708"/>
      <c r="J106" s="708"/>
      <c r="K106" s="708"/>
      <c r="L106" s="390"/>
    </row>
    <row r="107" spans="1:12" ht="15" customHeight="1">
      <c r="A107" s="390"/>
      <c r="B107" s="518"/>
      <c r="C107" s="435"/>
      <c r="D107" s="435"/>
      <c r="E107" s="516"/>
      <c r="F107" s="410"/>
      <c r="G107" s="516"/>
      <c r="H107" s="516"/>
      <c r="I107" s="516"/>
      <c r="J107" s="514"/>
      <c r="K107" s="518"/>
      <c r="L107" s="390"/>
    </row>
    <row r="108" spans="1:12" ht="15" customHeight="1">
      <c r="A108" s="390"/>
      <c r="B108" s="725" t="s">
        <v>608</v>
      </c>
      <c r="C108" s="726"/>
      <c r="D108" s="726"/>
      <c r="E108" s="726"/>
      <c r="F108" s="726"/>
      <c r="G108" s="726"/>
      <c r="H108" s="726"/>
      <c r="I108" s="726"/>
      <c r="J108" s="726"/>
      <c r="K108" s="726"/>
      <c r="L108" s="390"/>
    </row>
    <row r="109" spans="1:12" ht="15" customHeight="1">
      <c r="A109" s="390"/>
      <c r="B109" s="518"/>
      <c r="C109" s="435"/>
      <c r="D109" s="435"/>
      <c r="E109" s="516"/>
      <c r="F109" s="410"/>
      <c r="G109" s="516"/>
      <c r="H109" s="516"/>
      <c r="I109" s="516"/>
      <c r="J109" s="514"/>
      <c r="K109" s="518"/>
      <c r="L109" s="390"/>
    </row>
    <row r="110" spans="1:12" ht="59.25" customHeight="1">
      <c r="A110" s="390"/>
      <c r="B110" s="727" t="s">
        <v>609</v>
      </c>
      <c r="C110" s="716"/>
      <c r="D110" s="716"/>
      <c r="E110" s="716"/>
      <c r="F110" s="716"/>
      <c r="G110" s="716"/>
      <c r="H110" s="716"/>
      <c r="I110" s="716"/>
      <c r="J110" s="716"/>
      <c r="K110" s="716"/>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3">
        <v>312000000</v>
      </c>
      <c r="D114" s="713"/>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3">
        <v>50000</v>
      </c>
      <c r="D117" s="713"/>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3">
        <v>2500000</v>
      </c>
      <c r="D120" s="713"/>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3">
        <f>H120</f>
        <v>625000</v>
      </c>
      <c r="D123" s="723"/>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15" t="s">
        <v>561</v>
      </c>
      <c r="C125" s="715"/>
      <c r="D125" s="715"/>
      <c r="E125" s="715"/>
      <c r="F125" s="715"/>
      <c r="G125" s="715"/>
      <c r="H125" s="715"/>
      <c r="I125" s="715"/>
      <c r="J125" s="715"/>
      <c r="K125" s="715"/>
      <c r="L125" s="436"/>
    </row>
    <row r="126" spans="1:12" ht="13.5">
      <c r="A126" s="390"/>
      <c r="B126" s="707" t="s">
        <v>610</v>
      </c>
      <c r="C126" s="707"/>
      <c r="D126" s="707"/>
      <c r="E126" s="707"/>
      <c r="F126" s="707"/>
      <c r="G126" s="707"/>
      <c r="H126" s="707"/>
      <c r="I126" s="707"/>
      <c r="J126" s="707"/>
      <c r="K126" s="707"/>
      <c r="L126" s="436"/>
    </row>
    <row r="127" spans="1:12" ht="13.5">
      <c r="A127" s="390"/>
      <c r="B127" s="520"/>
      <c r="C127" s="520"/>
      <c r="D127" s="520"/>
      <c r="E127" s="520"/>
      <c r="F127" s="520"/>
      <c r="G127" s="520"/>
      <c r="H127" s="520"/>
      <c r="I127" s="520"/>
      <c r="J127" s="520"/>
      <c r="K127" s="520"/>
      <c r="L127" s="436"/>
    </row>
    <row r="128" spans="1:12" ht="13.5">
      <c r="A128" s="390"/>
      <c r="B128" s="707" t="s">
        <v>611</v>
      </c>
      <c r="C128" s="707"/>
      <c r="D128" s="707"/>
      <c r="E128" s="707"/>
      <c r="F128" s="707"/>
      <c r="G128" s="707"/>
      <c r="H128" s="707"/>
      <c r="I128" s="707"/>
      <c r="J128" s="707"/>
      <c r="K128" s="707"/>
      <c r="L128" s="436"/>
    </row>
    <row r="129" spans="1:12" ht="13.5">
      <c r="A129" s="390"/>
      <c r="B129" s="515"/>
      <c r="C129" s="515"/>
      <c r="D129" s="515"/>
      <c r="E129" s="515"/>
      <c r="F129" s="515"/>
      <c r="G129" s="515"/>
      <c r="H129" s="515"/>
      <c r="I129" s="515"/>
      <c r="J129" s="515"/>
      <c r="K129" s="515"/>
      <c r="L129" s="436"/>
    </row>
    <row r="130" spans="1:12" ht="74.25" customHeight="1">
      <c r="A130" s="390"/>
      <c r="B130" s="712" t="s">
        <v>612</v>
      </c>
      <c r="C130" s="712"/>
      <c r="D130" s="712"/>
      <c r="E130" s="712"/>
      <c r="F130" s="712"/>
      <c r="G130" s="712"/>
      <c r="H130" s="712"/>
      <c r="I130" s="712"/>
      <c r="J130" s="712"/>
      <c r="K130" s="712"/>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28" t="s">
        <v>613</v>
      </c>
      <c r="D133" s="728"/>
      <c r="E133" s="400"/>
      <c r="F133" s="516" t="s">
        <v>614</v>
      </c>
      <c r="G133" s="400"/>
      <c r="H133" s="728" t="s">
        <v>599</v>
      </c>
      <c r="I133" s="728"/>
      <c r="J133" s="400"/>
      <c r="K133" s="402"/>
      <c r="L133" s="390"/>
    </row>
    <row r="134" spans="1:12" ht="13.5">
      <c r="A134" s="390"/>
      <c r="B134" s="408" t="s">
        <v>592</v>
      </c>
      <c r="C134" s="713">
        <v>100000</v>
      </c>
      <c r="D134" s="713"/>
      <c r="E134" s="516" t="s">
        <v>28</v>
      </c>
      <c r="F134" s="516">
        <v>0.115</v>
      </c>
      <c r="G134" s="516" t="s">
        <v>569</v>
      </c>
      <c r="H134" s="729">
        <f>C134*F134</f>
        <v>11500</v>
      </c>
      <c r="I134" s="729"/>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30" t="s">
        <v>599</v>
      </c>
      <c r="D136" s="730"/>
      <c r="E136" s="418"/>
      <c r="F136" s="512" t="s">
        <v>615</v>
      </c>
      <c r="G136" s="512"/>
      <c r="H136" s="418"/>
      <c r="I136" s="418"/>
      <c r="J136" s="418" t="s">
        <v>616</v>
      </c>
      <c r="K136" s="419"/>
      <c r="L136" s="390"/>
    </row>
    <row r="137" spans="1:12" ht="13.5">
      <c r="A137" s="390"/>
      <c r="B137" s="408" t="s">
        <v>595</v>
      </c>
      <c r="C137" s="729">
        <f>H134</f>
        <v>11500</v>
      </c>
      <c r="D137" s="729"/>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31" t="s">
        <v>619</v>
      </c>
      <c r="C144" s="732"/>
      <c r="D144" s="732"/>
      <c r="E144" s="732"/>
      <c r="F144" s="732"/>
      <c r="G144" s="732"/>
      <c r="H144" s="732"/>
      <c r="I144" s="732"/>
      <c r="J144" s="732"/>
      <c r="K144" s="733"/>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29" t="s">
        <v>620</v>
      </c>
      <c r="D147" s="729"/>
      <c r="E147" s="516"/>
      <c r="F147" s="454" t="s">
        <v>621</v>
      </c>
      <c r="G147" s="516"/>
      <c r="H147" s="516"/>
      <c r="I147" s="516"/>
      <c r="J147" s="734" t="s">
        <v>622</v>
      </c>
      <c r="K147" s="735"/>
      <c r="L147" s="390"/>
    </row>
    <row r="148" spans="1:12" ht="13.5">
      <c r="A148" s="390"/>
      <c r="B148" s="408"/>
      <c r="C148" s="736">
        <v>52.869</v>
      </c>
      <c r="D148" s="736"/>
      <c r="E148" s="516" t="s">
        <v>28</v>
      </c>
      <c r="F148" s="517">
        <v>312000000</v>
      </c>
      <c r="G148" s="459" t="s">
        <v>570</v>
      </c>
      <c r="H148" s="516">
        <v>1000</v>
      </c>
      <c r="I148" s="516" t="s">
        <v>569</v>
      </c>
      <c r="J148" s="734">
        <f>C148*(F148/1000)</f>
        <v>16495128</v>
      </c>
      <c r="K148" s="737"/>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Pleasant View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1.52</v>
      </c>
      <c r="H65" s="484" t="str">
        <f>CONCATENATE("Total ",E1," Mill Rate")</f>
        <v>Total 2013 Mill Rate</v>
      </c>
      <c r="I65" s="558"/>
      <c r="J65" s="577"/>
      <c r="K65" s="585"/>
    </row>
    <row r="66" spans="6:11" ht="15">
      <c r="F66"/>
      <c r="G66" s="580">
        <f>summ!E18</f>
        <v>1.66</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Pleasant View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1.52</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1.66</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1.52</v>
      </c>
      <c r="H86" s="484" t="str">
        <f>CONCATENATE("Total ",E3," Mill Rate")</f>
        <v>Total 2013 Mill Rate</v>
      </c>
      <c r="I86" s="558"/>
      <c r="J86" s="577"/>
      <c r="K86" s="16"/>
    </row>
    <row r="87" spans="3:11" ht="19.5" customHeight="1">
      <c r="C87" s="95">
        <f>IF(C33&gt;C35,"See Tab A","")</f>
      </c>
      <c r="D87" s="95">
        <f>IF(D33&gt;D35,"See Tab C","")</f>
      </c>
      <c r="F87" s="16"/>
      <c r="G87" s="580">
        <f>summ!E18</f>
        <v>1.66</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Pleasant View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Pleasant View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1355029</v>
      </c>
    </row>
    <row r="8" spans="1:5" ht="15">
      <c r="A8" s="66" t="str">
        <f>CONCATENATE("New Improvements for ",inputPrYr!D6-1,"")</f>
        <v>New Improvements for 2012</v>
      </c>
      <c r="B8" s="67"/>
      <c r="C8" s="67"/>
      <c r="D8" s="67"/>
      <c r="E8" s="68">
        <v>2590</v>
      </c>
    </row>
    <row r="9" spans="1:5" ht="15">
      <c r="A9" s="66" t="str">
        <f>CONCATENATE("Personal Property excluding oil, gas, and mobile homes- ",inputPrYr!D6-1,"")</f>
        <v>Personal Property excluding oil, gas, and mobile homes- 2012</v>
      </c>
      <c r="B9" s="67"/>
      <c r="C9" s="67"/>
      <c r="D9" s="67"/>
      <c r="E9" s="68">
        <v>48792</v>
      </c>
    </row>
    <row r="10" spans="1:5" ht="15">
      <c r="A10" s="66" t="str">
        <f>CONCATENATE("Property that has changed in use for ",inputPrYr!D6-1,"")</f>
        <v>Property that has changed in use for 2012</v>
      </c>
      <c r="B10" s="67"/>
      <c r="C10" s="67"/>
      <c r="D10" s="67"/>
      <c r="E10" s="68">
        <v>2539</v>
      </c>
    </row>
    <row r="11" spans="1:5" ht="15">
      <c r="A11" s="65" t="str">
        <f>CONCATENATE("Personal Property excluding oil, gas, and mobile homes- ",inputPrYr!D6-2,"")</f>
        <v>Personal Property excluding oil, gas, and mobile homes- 2011</v>
      </c>
      <c r="B11" s="40"/>
      <c r="C11" s="40"/>
      <c r="D11" s="40"/>
      <c r="E11" s="68">
        <v>43487</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1.66</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1.66</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1256719</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117</v>
      </c>
    </row>
    <row r="28" spans="1:5" ht="15">
      <c r="A28" s="66" t="s">
        <v>15</v>
      </c>
      <c r="B28" s="67"/>
      <c r="C28" s="67"/>
      <c r="D28" s="84"/>
      <c r="E28" s="35">
        <v>2</v>
      </c>
    </row>
    <row r="29" spans="1:5" ht="15">
      <c r="A29" s="66" t="s">
        <v>164</v>
      </c>
      <c r="B29" s="67"/>
      <c r="C29" s="67"/>
      <c r="D29" s="84"/>
      <c r="E29" s="35">
        <v>94</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2522</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795</v>
      </c>
      <c r="C3" s="526"/>
      <c r="J3" s="527" t="s">
        <v>705</v>
      </c>
    </row>
    <row r="4" spans="1:10" ht="15">
      <c r="A4" s="336"/>
      <c r="B4" s="336"/>
      <c r="C4" s="336"/>
      <c r="D4" s="337"/>
      <c r="E4" s="336"/>
      <c r="F4" s="336"/>
      <c r="J4" s="527" t="s">
        <v>706</v>
      </c>
    </row>
    <row r="5" spans="1:10" ht="15">
      <c r="A5" s="525" t="s">
        <v>702</v>
      </c>
      <c r="B5" s="526" t="s">
        <v>796</v>
      </c>
      <c r="C5" s="336"/>
      <c r="D5" s="337"/>
      <c r="E5" s="336"/>
      <c r="F5" s="336"/>
      <c r="J5" s="527" t="s">
        <v>707</v>
      </c>
    </row>
    <row r="6" spans="1:10" ht="15">
      <c r="A6" s="336"/>
      <c r="B6" s="336"/>
      <c r="C6" s="336"/>
      <c r="D6" s="337"/>
      <c r="E6" s="336"/>
      <c r="F6" s="336"/>
      <c r="J6" s="527" t="s">
        <v>708</v>
      </c>
    </row>
    <row r="7" spans="1:10" ht="15">
      <c r="A7" s="338" t="s">
        <v>314</v>
      </c>
      <c r="B7" s="339" t="s">
        <v>793</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August 2, 2012</v>
      </c>
      <c r="E8" s="336"/>
      <c r="F8" s="336"/>
      <c r="J8" s="527" t="s">
        <v>710</v>
      </c>
    </row>
    <row r="9" spans="1:10" ht="15">
      <c r="A9" s="338" t="s">
        <v>315</v>
      </c>
      <c r="B9" s="339" t="s">
        <v>794</v>
      </c>
      <c r="C9" s="343"/>
      <c r="D9" s="338"/>
      <c r="E9" s="336"/>
      <c r="F9" s="336"/>
      <c r="J9" s="527" t="s">
        <v>711</v>
      </c>
    </row>
    <row r="10" spans="1:10" ht="15">
      <c r="A10" s="338"/>
      <c r="B10" s="338"/>
      <c r="C10" s="338"/>
      <c r="D10" s="338"/>
      <c r="E10" s="336"/>
      <c r="F10" s="336"/>
      <c r="J10" s="527" t="s">
        <v>712</v>
      </c>
    </row>
    <row r="11" spans="1:10" ht="15">
      <c r="A11" s="338" t="s">
        <v>316</v>
      </c>
      <c r="B11" s="344" t="s">
        <v>791</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788</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August</v>
      </c>
    </row>
    <row r="19" spans="1:7" ht="15">
      <c r="A19" s="338" t="s">
        <v>314</v>
      </c>
      <c r="B19" s="341" t="s">
        <v>319</v>
      </c>
      <c r="C19" s="338"/>
      <c r="D19" s="338"/>
      <c r="E19" s="338"/>
      <c r="G19" s="529" t="str">
        <f>IF(B7="","",CONCATENATE("J",G21))</f>
        <v>J8</v>
      </c>
    </row>
    <row r="20" spans="1:7" ht="15">
      <c r="A20" s="338"/>
      <c r="B20" s="338"/>
      <c r="C20" s="338"/>
      <c r="D20" s="338"/>
      <c r="E20" s="338"/>
      <c r="G20" s="530">
        <f>B7-10</f>
        <v>41123</v>
      </c>
    </row>
    <row r="21" spans="1:7" ht="15">
      <c r="A21" s="338" t="s">
        <v>315</v>
      </c>
      <c r="B21" s="338" t="s">
        <v>320</v>
      </c>
      <c r="C21" s="338"/>
      <c r="D21" s="338"/>
      <c r="E21" s="338"/>
      <c r="G21" s="531">
        <f>IF(B7="","",MONTH(G20))</f>
        <v>8</v>
      </c>
    </row>
    <row r="22" spans="1:7" ht="15">
      <c r="A22" s="338"/>
      <c r="B22" s="338"/>
      <c r="C22" s="338"/>
      <c r="D22" s="338"/>
      <c r="E22" s="338"/>
      <c r="G22" s="532">
        <f>IF(B7="","",DAY(G20))</f>
        <v>2</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2" t="s">
        <v>74</v>
      </c>
      <c r="B2" s="642"/>
      <c r="C2" s="642"/>
      <c r="D2" s="642"/>
      <c r="E2" s="642"/>
      <c r="F2" s="642"/>
      <c r="G2" s="642"/>
    </row>
    <row r="3" spans="1:7" ht="15">
      <c r="A3" s="18"/>
      <c r="B3" s="18"/>
      <c r="C3" s="18"/>
      <c r="D3" s="18"/>
      <c r="E3" s="18"/>
      <c r="F3" s="18"/>
      <c r="G3" s="60">
        <f>inputPrYr!D6</f>
        <v>2013</v>
      </c>
    </row>
    <row r="4" spans="1:7" ht="15">
      <c r="A4" s="643" t="str">
        <f>CONCATENATE("To the Clerk of ",inputPrYr!D4,", State of Kansas")</f>
        <v>To the Clerk of Mitchell County, State of Kansas</v>
      </c>
      <c r="B4" s="643"/>
      <c r="C4" s="643"/>
      <c r="D4" s="643"/>
      <c r="E4" s="643"/>
      <c r="F4" s="643"/>
      <c r="G4" s="643"/>
    </row>
    <row r="5" spans="1:7" ht="15">
      <c r="A5" s="97" t="s">
        <v>150</v>
      </c>
      <c r="B5" s="24"/>
      <c r="C5" s="24"/>
      <c r="D5" s="24"/>
      <c r="E5" s="24"/>
      <c r="F5" s="24"/>
      <c r="G5" s="24"/>
    </row>
    <row r="6" spans="1:7" ht="15">
      <c r="A6" s="625" t="str">
        <f>inputPrYr!D3</f>
        <v>Pleasant View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4" t="str">
        <f>CONCATENATE("",G3," Adopted Budget")</f>
        <v>2013 Adopted Budget</v>
      </c>
      <c r="F13" s="645"/>
      <c r="G13" s="646"/>
    </row>
    <row r="14" spans="1:8" ht="15">
      <c r="A14" s="17"/>
      <c r="B14" s="18"/>
      <c r="C14" s="18"/>
      <c r="D14" s="40"/>
      <c r="E14" s="100" t="s">
        <v>18</v>
      </c>
      <c r="F14" s="101"/>
      <c r="G14" s="102" t="s">
        <v>19</v>
      </c>
      <c r="H14" s="103"/>
    </row>
    <row r="15" spans="1:7" ht="15">
      <c r="A15" s="18"/>
      <c r="B15" s="18"/>
      <c r="C15" s="18"/>
      <c r="D15" s="101" t="s">
        <v>20</v>
      </c>
      <c r="E15" s="104" t="s">
        <v>206</v>
      </c>
      <c r="F15" s="647" t="str">
        <f>CONCATENATE("Amount of ",G3-1," Ad Valorem Tax")</f>
        <v>Amount of 2012 Ad Valorem Tax</v>
      </c>
      <c r="G15" s="102" t="s">
        <v>21</v>
      </c>
    </row>
    <row r="16" spans="1:7" ht="15">
      <c r="A16" s="17" t="s">
        <v>22</v>
      </c>
      <c r="B16" s="18"/>
      <c r="C16" s="18"/>
      <c r="D16" s="104" t="s">
        <v>23</v>
      </c>
      <c r="E16" s="104" t="s">
        <v>554</v>
      </c>
      <c r="F16" s="647"/>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IF(gen!$E$37&lt;&gt;0,gen!$E$37,"  ")</f>
        <v>2637</v>
      </c>
      <c r="F23" s="546">
        <f>IF(gen!$E$44&lt;&gt;0,gen!$E$44,"  ")</f>
        <v>2060</v>
      </c>
      <c r="G23" s="547"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2637</v>
      </c>
      <c r="F30" s="553">
        <f>SUM(F23:F28)</f>
        <v>2060</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48" t="str">
        <f>CONCATENATE("Nov. 1, ",G3," Total Assessed Valuation")</f>
        <v>Nov. 1, 2013 Total Assessed Valuation</v>
      </c>
    </row>
    <row r="34" spans="1:7" ht="15">
      <c r="A34" s="20"/>
      <c r="B34" s="69"/>
      <c r="C34" s="18"/>
      <c r="D34" s="136"/>
      <c r="E34" s="60"/>
      <c r="F34" s="69"/>
      <c r="G34" s="649"/>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0"/>
      <c r="B49" s="651"/>
      <c r="C49" s="18"/>
      <c r="D49" s="69" t="s">
        <v>721</v>
      </c>
      <c r="E49" s="69"/>
      <c r="F49" s="69"/>
      <c r="G49" s="69"/>
    </row>
    <row r="50" spans="1:7" ht="15">
      <c r="A50" s="24" t="s">
        <v>30</v>
      </c>
      <c r="B50" s="24"/>
      <c r="C50" s="18"/>
      <c r="D50" s="652" t="s">
        <v>29</v>
      </c>
      <c r="E50" s="653"/>
      <c r="F50" s="653"/>
      <c r="G50" s="653"/>
    </row>
    <row r="51" spans="1:7" ht="15">
      <c r="A51" s="654"/>
      <c r="B51" s="654"/>
      <c r="C51" s="654"/>
      <c r="D51" s="654"/>
      <c r="E51" s="654"/>
      <c r="F51" s="654"/>
      <c r="G51" s="654"/>
    </row>
    <row r="52" spans="1:7" ht="15">
      <c r="A52" s="655"/>
      <c r="B52" s="655"/>
      <c r="C52" s="655"/>
      <c r="D52" s="655"/>
      <c r="E52" s="655"/>
      <c r="F52" s="655"/>
      <c r="G52" s="655"/>
    </row>
    <row r="53" spans="1:7" ht="15">
      <c r="A53" s="16"/>
      <c r="B53" s="16"/>
      <c r="C53" s="16"/>
      <c r="D53" s="16"/>
      <c r="E53" s="16"/>
      <c r="F53" s="16"/>
      <c r="G53" s="641"/>
    </row>
    <row r="54" spans="1:7" ht="15">
      <c r="A54" s="16"/>
      <c r="B54" s="16"/>
      <c r="C54" s="16"/>
      <c r="D54" s="16"/>
      <c r="E54" s="16"/>
      <c r="F54" s="16"/>
      <c r="G54" s="641"/>
    </row>
    <row r="55" spans="1:7" ht="15">
      <c r="A55" s="16"/>
      <c r="B55" s="16"/>
      <c r="C55" s="16"/>
      <c r="D55" s="16"/>
      <c r="E55" s="16"/>
      <c r="F55" s="16"/>
      <c r="G55" s="641"/>
    </row>
    <row r="56" spans="1:7" ht="15">
      <c r="A56" s="16"/>
      <c r="B56" s="16"/>
      <c r="C56" s="16"/>
      <c r="D56" s="16"/>
      <c r="E56" s="16"/>
      <c r="F56" s="16"/>
      <c r="G56" s="641"/>
    </row>
    <row r="57" spans="1:7" ht="15">
      <c r="A57" s="16"/>
      <c r="B57" s="16"/>
      <c r="C57" s="16"/>
      <c r="D57" s="141"/>
      <c r="E57" s="16"/>
      <c r="F57" s="16"/>
      <c r="G57" s="641"/>
    </row>
    <row r="58" ht="15">
      <c r="G58" s="641"/>
    </row>
    <row r="59" ht="15">
      <c r="G59" s="641"/>
    </row>
    <row r="60" ht="15">
      <c r="G60" s="641"/>
    </row>
    <row r="61" ht="15">
      <c r="G61" s="641"/>
    </row>
    <row r="62" ht="15">
      <c r="G62" s="641"/>
    </row>
    <row r="63" ht="15">
      <c r="G63" s="641"/>
    </row>
    <row r="64" ht="15">
      <c r="G64" s="641"/>
    </row>
    <row r="65" ht="15">
      <c r="G65" s="641"/>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Pleasant View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2"/>
      <c r="C3" s="642"/>
      <c r="D3" s="642"/>
      <c r="E3" s="642"/>
      <c r="F3" s="642"/>
      <c r="G3" s="642"/>
      <c r="H3" s="642"/>
      <c r="I3" s="642"/>
      <c r="J3" s="642"/>
    </row>
    <row r="4" spans="1:10" ht="15">
      <c r="A4" s="18"/>
      <c r="B4" s="18"/>
      <c r="C4" s="18"/>
      <c r="D4" s="18"/>
      <c r="E4" s="642"/>
      <c r="F4" s="642"/>
      <c r="G4" s="642"/>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2085</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2085</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2590</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48792</v>
      </c>
      <c r="F14" s="145"/>
      <c r="G14" s="37"/>
      <c r="H14" s="37"/>
      <c r="I14" s="148"/>
      <c r="J14" s="37"/>
    </row>
    <row r="15" spans="1:10" ht="15">
      <c r="A15" s="144"/>
      <c r="B15" s="18" t="s">
        <v>94</v>
      </c>
      <c r="C15" s="18" t="str">
        <f>CONCATENATE("Personal Property ",J1-2,"")</f>
        <v>Personal Property 2011</v>
      </c>
      <c r="D15" s="144" t="s">
        <v>90</v>
      </c>
      <c r="E15" s="41">
        <f>inputOth!E11</f>
        <v>43487</v>
      </c>
      <c r="F15" s="145"/>
      <c r="G15" s="148"/>
      <c r="H15" s="148"/>
      <c r="I15" s="37"/>
      <c r="J15" s="37"/>
    </row>
    <row r="16" spans="1:10" ht="15">
      <c r="A16" s="144"/>
      <c r="B16" s="18" t="s">
        <v>95</v>
      </c>
      <c r="C16" s="18" t="s">
        <v>109</v>
      </c>
      <c r="D16" s="18"/>
      <c r="E16" s="37"/>
      <c r="F16" s="37" t="s">
        <v>87</v>
      </c>
      <c r="G16" s="147">
        <f>IF(E14&gt;E15,E14-E15,0)</f>
        <v>5305</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2539</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10434</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1355029</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1344595</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0.007759957459309309</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16</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2101</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2101</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Pleasant View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4"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2085</v>
      </c>
      <c r="D11" s="122">
        <f>IF(E17=0,0,E17-D12-D13-D14)</f>
        <v>117</v>
      </c>
      <c r="E11" s="122">
        <f>IF(E19=0,0,E19-E12-E13-E14)</f>
        <v>2</v>
      </c>
      <c r="F11" s="122">
        <f>IF(E21=0,0,E21-F12-F13-F14)</f>
        <v>94</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2085</v>
      </c>
      <c r="D15" s="129">
        <f>SUM(D11:D14)</f>
        <v>117</v>
      </c>
      <c r="E15" s="129">
        <f>SUM(E11:E14)</f>
        <v>2</v>
      </c>
      <c r="F15" s="202">
        <f>SUM(F11:F14)</f>
        <v>94</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117</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2</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94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0.05611510791366906</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0.0009592326139088729</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0.04508393285371703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Pleasant View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2" t="s">
        <v>139</v>
      </c>
      <c r="B5" s="642"/>
      <c r="C5" s="642"/>
      <c r="D5" s="642"/>
      <c r="E5" s="642"/>
      <c r="F5" s="642"/>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2012-07-18T13:14:38Z</cp:lastPrinted>
  <dcterms:created xsi:type="dcterms:W3CDTF">1999-08-06T13:59:57Z</dcterms:created>
  <dcterms:modified xsi:type="dcterms:W3CDTF">2012-08-07T16:10:17Z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