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'gen'!$B$1:$F$49</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<sst xmlns="http://schemas.openxmlformats.org/spreadsheetml/2006/main" count="1171" uniqueCount="798">
  <si>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</si>
  <si>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</si>
  <si>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</si>
  <si>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</si>
  <si>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</si>
  <si>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</si>
  <si>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</si>
  <si>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</si>
  <si>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</si>
  <si>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</si>
  <si>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</si>
  <si>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</si>
  <si>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</si>
  <si>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</si>
  <si>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</si>
  <si>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</si>
  <si>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</si>
  <si>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</si>
  <si>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</si>
  <si>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</si>
  <si>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</si>
  <si>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</si>
  <si>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</si>
  <si>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</si>
  <si>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</si>
  <si>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</si>
  <si>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</si>
  <si>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</si>
  <si>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</si>
  <si>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</si>
  <si>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</si>
  <si>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</si>
  <si>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</si>
  <si>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</si>
  <si>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</si>
  <si>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</si>
  <si>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</si>
  <si>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</si>
  <si>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</si>
  <si>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</si>
  <si>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</si>
  <si>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</si>
  <si>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</si>
  <si>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</si>
  <si>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</si>
  <si>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</si>
  <si>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</si>
  <si>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</si>
  <si>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</si>
  <si>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</si>
  <si>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</si>
  <si>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</si>
  <si>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</si>
  <si>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</si>
  <si>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</si>
  <si>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</si>
  <si>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</si>
  <si>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</si>
  <si>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</si>
  <si>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</si>
  <si>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</si>
  <si>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</si>
  <si>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</si>
  <si>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</si>
  <si>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</si>
  <si>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</si>
  <si>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</si>
  <si>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</si>
  <si>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</si>
  <si>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</si>
  <si>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</si>
  <si>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</si>
  <si>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</si>
  <si>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</si>
  <si>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</si>
  <si>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</si>
  <si>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</si>
  <si>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</si>
  <si>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</si>
  <si>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</si>
  <si>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</si>
  <si>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</si>
  <si>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</si>
  <si>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</si>
  <si>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</si>
  <si>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</si>
  <si>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</si>
  <si>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</si>
  <si>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</si>
  <si>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</si>
  <si>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</si>
  <si>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</si>
  <si>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</si>
  <si>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</si>
  <si>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</si>
  <si>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</si>
  <si>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</si>
  <si>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</si>
  <si>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</si>
  <si>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</si>
  <si>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</si>
  <si>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</si>
  <si>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</si>
  <si>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</si>
  <si>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</si>
  <si>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</si>
  <si>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</si>
  <si>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</si>
  <si>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</si>
  <si>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</si>
  <si>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</si>
  <si>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</si>
  <si>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</si>
  <si>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</si>
  <si>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</si>
  <si>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</si>
  <si>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</si>
  <si>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</si>
  <si>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</si>
  <si>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</si>
  <si>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</si>
  <si>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</si>
  <si>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</si>
  <si>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</si>
  <si>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</si>
  <si>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</si>
  <si>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</si>
  <si>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</si>
  <si>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</si>
  <si>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</si>
  <si>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</si>
  <si>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</si>
  <si>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</si>
  <si>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</si>
  <si>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</si>
  <si>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</si>
  <si>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</si>
  <si>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</si>
  <si>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</si>
  <si>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</si>
  <si>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</si>
  <si>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</si>
  <si>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</si>
  <si>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</si>
  <si>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</si>
  <si>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</si>
  <si>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</si>
  <si>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</si>
  <si>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</si>
  <si>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</si>
  <si>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</si>
  <si>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</si>
  <si>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</si>
  <si>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</si>
  <si>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</si>
  <si>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</si>
  <si>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</si>
  <si>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</si>
  <si>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</si>
  <si>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</si>
  <si>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</si>
  <si>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</si>
  <si>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</si>
  <si>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</si>
  <si>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</si>
  <si>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</si>
  <si>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</si>
  <si>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</si>
  <si>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</si>
  <si>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</si>
  <si>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</si>
  <si>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</si>
  <si>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</si>
  <si>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</si>
  <si>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</si>
  <si>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</si>
  <si>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</si>
  <si>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</si>
  <si>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</si>
  <si>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</si>
  <si>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</si>
  <si>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</si>
  <si>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</si>
  <si>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</si>
  <si>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</si>
  <si>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</si>
  <si>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</si>
  <si>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</si>
  <si>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</si>
  <si>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</si>
  <si>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</si>
  <si>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</si>
  <si>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</si>
  <si>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</si>
  <si>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</si>
  <si>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</si>
  <si>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</si>
  <si>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</si>
  <si>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</si>
  <si>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</si>
  <si>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</si>
  <si>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</si>
  <si>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</si>
  <si>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</si>
  <si>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</si>
  <si>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</si>
  <si>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</si>
  <si>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</si>
  <si>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</si>
  <si>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</si>
  <si>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</si>
  <si>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</si>
  <si>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</si>
  <si>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</si>
  <si>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</si>
  <si>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</si>
  <si>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</si>
  <si>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</si>
  <si>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</si>
  <si>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</si>
  <si>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</si>
  <si>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</si>
  <si>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</si>
  <si>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</si>
  <si>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</si>
  <si>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</si>
  <si>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</si>
  <si>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</si>
  <si>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</si>
  <si>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</si>
  <si>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</si>
  <si>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</si>
  <si>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</si>
  <si>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</si>
  <si>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</si>
  <si>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</si>
  <si>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</si>
  <si>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</si>
  <si>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</si>
  <si>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</si>
  <si>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</si>
  <si>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</si>
  <si>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</si>
  <si>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</si>
  <si>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</si>
  <si>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</si>
  <si>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</si>
  <si>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</si>
  <si>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</si>
  <si>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</si>
  <si>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</si>
  <si>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</si>
  <si>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</si>
  <si>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</si>
  <si>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</si>
  <si>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</si>
  <si>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</si>
  <si>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</si>
  <si>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</si>
  <si>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</si>
  <si>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</si>
  <si>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</si>
  <si>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</si>
  <si>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</si>
  <si>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</si>
  <si>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</si>
  <si>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</si>
  <si>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</si>
  <si>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</si>
  <si>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</si>
  <si>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</si>
  <si>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</si>
  <si>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</si>
  <si>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</si>
  <si>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</si>
  <si>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</si>
  <si>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</si>
  <si>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</si>
  <si>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</si>
  <si>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</si>
  <si>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</si>
  <si>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</si>
  <si>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</si>
  <si>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</si>
  <si>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</si>
  <si>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</si>
  <si>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</si>
  <si>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</si>
  <si>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</si>
  <si>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</si>
  <si>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</si>
  <si>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</si>
  <si>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</si>
  <si>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</si>
  <si>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</si>
  <si>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</si>
  <si>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</si>
  <si>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</si>
  <si>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</si>
  <si>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</si>
  <si>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</si>
  <si>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</si>
  <si>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</si>
  <si>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</si>
  <si>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</si>
  <si>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</si>
  <si>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</si>
  <si>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</si>
  <si>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</si>
  <si>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</si>
  <si>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</si>
  <si>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</si>
  <si>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</si>
  <si>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</si>
  <si>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</si>
  <si>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</si>
  <si>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</si>
  <si>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</si>
  <si>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</si>
  <si>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</si>
  <si>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</si>
  <si>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</si>
  <si>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</si>
  <si>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</si>
  <si>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</si>
  <si>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</si>
  <si>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</si>
  <si>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</si>
  <si>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</si>
  <si>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</si>
  <si>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</si>
  <si>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</si>
  <si>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</si>
  <si>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</si>
  <si>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</si>
  <si>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</si>
  <si>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</si>
  <si>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</si>
  <si>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</si>
  <si>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</si>
  <si>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</si>
  <si>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</si>
  <si>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</si>
  <si>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</si>
  <si>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</si>
  <si>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</si>
  <si>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</si>
  <si>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</si>
  <si>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</si>
  <si>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</si>
  <si>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</si>
  <si>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</si>
  <si>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</si>
  <si>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</si>
  <si>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</si>
  <si>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</si>
  <si>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</si>
  <si>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</si>
  <si>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</si>
  <si>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</si>
  <si>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</si>
  <si>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</si>
  <si>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</si>
  <si>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</si>
  <si>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</si>
  <si>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</si>
  <si>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</si>
  <si>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</si>
  <si>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</si>
  <si>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</si>
  <si>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</si>
  <si>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</si>
  <si>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</si>
  <si>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</si>
  <si>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</si>
  <si>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</si>
  <si>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</si>
  <si>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</si>
  <si>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</si>
  <si>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</si>
  <si>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</si>
  <si>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</si>
  <si>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</si>
  <si>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</si>
  <si>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</si>
  <si>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</si>
  <si>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</si>
  <si>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</si>
  <si>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</si>
  <si>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</si>
  <si>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</si>
  <si>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</si>
  <si>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</si>
  <si>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</si>
  <si>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</si>
  <si>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</si>
  <si>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</si>
  <si>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</si>
  <si>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</si>
  <si>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</si>
  <si>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</si>
  <si>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</si>
  <si>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</si>
  <si>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</si>
  <si>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</si>
  <si>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</si>
  <si>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</si>
  <si>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</si>
  <si>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</si>
  <si>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</si>
  <si>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</si>
  <si>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</si>
  <si>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</si>
  <si>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</si>
  <si>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</si>
  <si>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</si>
  <si>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</si>
  <si>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</si>
  <si>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</si>
  <si>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</si>
  <si>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</si>
  <si>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</si>
  <si>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</si>
  <si>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</si>
  <si>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</si>
  <si>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</si>
  <si>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</si>
  <si>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</si>
  <si>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</si>
  <si>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</si>
  <si>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</si>
  <si>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</si>
  <si>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</si>
  <si>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</si>
  <si>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</si>
  <si>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</si>
  <si>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</si>
  <si>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</si>
  <si>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</si>
  <si>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</si>
  <si>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</si>
  <si>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</si>
  <si>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</si>
  <si>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</si>
  <si>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</si>
  <si>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</si>
  <si>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</si>
  <si>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</si>
  <si>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</si>
  <si>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</si>
  <si>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</si>
  <si>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</si>
  <si>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</si>
  <si>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</si>
  <si>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</si>
  <si>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</si>
  <si>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</si>
  <si>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</si>
  <si>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</si>
  <si>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</si>
  <si>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</si>
  <si>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</si>
  <si>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</si>
  <si>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</si>
  <si>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</si>
  <si>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</si>
  <si>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</si>
  <si>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</si>
  <si>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</si>
  <si>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</si>
  <si>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</si>
  <si>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</si>
  <si>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</si>
  <si>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</si>
  <si>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</si>
  <si>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</si>
  <si>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</si>
  <si>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</si>
  <si>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</si>
  <si>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</si>
  <si>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</si>
  <si>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</si>
  <si>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</si>
  <si>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</si>
  <si>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</si>
  <si>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</si>
  <si>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</si>
  <si>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</si>
  <si>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</si>
  <si>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</si>
  <si>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</si>
  <si>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</si>
  <si>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</si>
  <si>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</si>
  <si>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</si>
  <si>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</si>
  <si>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</si>
  <si>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</si>
  <si>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</si>
  <si>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</si>
  <si>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</si>
  <si>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</si>
  <si>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</si>
  <si>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</si>
  <si>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</si>
  <si>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</si>
  <si>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</si>
  <si>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</si>
  <si>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</si>
  <si>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</si>
  <si>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</si>
  <si>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</si>
  <si>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</si>
  <si>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</si>
  <si>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</si>
  <si>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</si>
  <si>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</si>
  <si>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</si>
  <si>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</si>
  <si>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</si>
  <si>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</si>
  <si>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</si>
  <si>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</si>
  <si>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</si>
  <si>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</si>
  <si>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</si>
  <si>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</si>
  <si>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</si>
  <si>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</si>
  <si>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</si>
  <si>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</si>
  <si>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</si>
  <si>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</si>
  <si>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</si>
  <si>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</si>
  <si>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</si>
  <si>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</si>
  <si>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</si>
  <si>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</si>
  <si>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</si>
  <si>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</si>
  <si>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</si>
  <si>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</si>
  <si>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</si>
  <si>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</si>
  <si>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</si>
  <si>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</si>
  <si>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</si>
  <si>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</si>
  <si>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</si>
  <si>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</si>
  <si>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</si>
  <si>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</si>
  <si>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</si>
  <si>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</si>
  <si>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</si>
  <si>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</si>
  <si>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</si>
  <si>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</si>
  <si>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</si>
  <si>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</si>
  <si>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</si>
  <si>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</si>
  <si>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</si>
  <si>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</si>
  <si>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</si>
  <si>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</si>
  <si>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</si>
  <si>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</si>
  <si>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</si>
  <si>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</si>
  <si>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</si>
  <si>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</si>
  <si>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</si>
  <si>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</si>
  <si>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</si>
  <si>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</si>
  <si>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</si>
  <si>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</si>
  <si>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</si>
  <si>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</si>
  <si>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</si>
  <si>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</si>
  <si>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</si>
  <si>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</si>
  <si>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</si>
  <si>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</si>
  <si>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</si>
  <si>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</si>
  <si>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</si>
  <si>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</si>
  <si>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</si>
  <si>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</si>
  <si>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</si>
  <si>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</si>
  <si>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</si>
  <si>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</si>
  <si>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</si>
  <si>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</si>
  <si>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</si>
  <si>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</si>
  <si>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</si>
  <si>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</si>
  <si>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</si>
  <si>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</si>
  <si>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</si>
  <si>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</si>
  <si>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</si>
  <si>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</si>
  <si>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</si>
  <si>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</si>
  <si>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</si>
  <si>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</si>
  <si>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</si>
  <si>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</si>
  <si>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</si>
  <si>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</si>
  <si>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</si>
  <si>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</si>
  <si>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</si>
  <si>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</si>
  <si>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</si>
  <si>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</si>
  <si>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</si>
  <si>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</si>
  <si>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</si>
  <si>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</si>
  <si>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</si>
  <si>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</si>
  <si>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</si>
  <si>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</si>
  <si>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</si>
  <si>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</si>
  <si>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</si>
  <si>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</si>
  <si>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</si>
  <si>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</si>
  <si>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</si>
  <si>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</si>
  <si>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</si>
  <si>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</si>
  <si>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</si>
  <si>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</si>
  <si>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</si>
  <si>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</si>
  <si>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</si>
  <si>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</si>
  <si>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</si>
  <si>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</si>
  <si>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</si>
  <si>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</si>
  <si>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</si>
  <si>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</si>
  <si>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</si>
  <si>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</si>
  <si>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</si>
  <si>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</si>
  <si>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</si>
  <si>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</si>
  <si>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</si>
  <si>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</si>
  <si>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</si>
  <si>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</si>
  <si>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</si>
  <si>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</si>
  <si>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</si>
  <si>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</si>
  <si>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</si>
  <si>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</si>
  <si>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</si>
  <si>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</si>
  <si>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</si>
  <si>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</si>
  <si>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</si>
  <si>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</si>
  <si>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</si>
  <si>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</si>
  <si>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</si>
  <si>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</si>
  <si>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</si>
  <si>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</si>
  <si>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</si>
  <si>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</si>
  <si>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</si>
  <si>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</si>
  <si>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</si>
  <si>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</si>
  <si>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</si>
  <si>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</si>
  <si>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</si>
  <si>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</si>
  <si>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</si>
  <si>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</si>
  <si>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</si>
  <si>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</si>
  <si>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</si>
  <si>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</si>
  <si>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</si>
  <si>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</si>
  <si>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</si>
  <si>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</si>
  <si>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</si>
  <si>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</si>
  <si>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</si>
  <si>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</si>
  <si>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</si>
  <si>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</si>
  <si>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</si>
  <si>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</si>
  <si>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</si>
  <si>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</si>
  <si>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</si>
  <si>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</si>
  <si>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</si>
  <si>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</si>
  <si>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</si>
  <si>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</si>
  <si>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</si>
  <si>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</si>
  <si>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</si>
  <si>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</si>
  <si>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</si>
  <si>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</si>
  <si>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</si>
  <si>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</si>
  <si>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</si>
  <si>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</si>
  <si>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</si>
  <si>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</si>
  <si>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</si>
  <si>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</si>
  <si>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</si>
  <si>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</si>
  <si>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</si>
  <si>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</si>
  <si>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</si>
  <si>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</si>
  <si>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</si>
  <si>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</si>
  <si>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</si>
  <si>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</si>
  <si>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</si>
  <si>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</si>
  <si>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</si>
  <si>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</si>
  <si>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</si>
  <si>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</si>
  <si>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</si>
  <si>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</si>
  <si>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</si>
  <si>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</si>
  <si>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</si>
  <si>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</si>
  <si>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</si>
  <si>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</si>
  <si>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</si>
  <si>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</si>
  <si>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</si>
  <si>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</si>
  <si>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</si>
  <si>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</si>
  <si>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</si>
  <si>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</si>
  <si>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</si>
  <si>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</si>
  <si>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</si>
  <si>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</si>
  <si>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</si>
  <si>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</si>
  <si>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</si>
  <si>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</si>
  <si>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</si>
  <si>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</si>
  <si>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</si>
  <si>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</si>
  <si>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</si>
  <si>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</si>
  <si>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</si>
  <si>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</si>
  <si>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</si>
  <si>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</si>
  <si>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</si>
  <si>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Mowing</t>
  </si>
  <si>
    <t>Publications</t>
  </si>
  <si>
    <t>Lot Sales</t>
  </si>
  <si>
    <t>Donations</t>
  </si>
  <si>
    <t>Mitchell County Clerk's office</t>
  </si>
  <si>
    <t>Honey Creek Cemetery</t>
  </si>
  <si>
    <t>17-1330</t>
  </si>
  <si>
    <t>316 N Vellette, Glen Elder</t>
  </si>
  <si>
    <t>Equipment Repairs</t>
  </si>
  <si>
    <t>Improvements</t>
  </si>
  <si>
    <t>Fuel</t>
  </si>
  <si>
    <t>Mower</t>
  </si>
  <si>
    <t>August 7, 2012</t>
  </si>
  <si>
    <t>7:30  PM</t>
  </si>
  <si>
    <t>Brad Weidenhaft</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</si>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</sst>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Honey Creek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3" t="s">
        <v>75</v>
      </c>
      <c r="C23" s="628"/>
      <c r="D23" s="628"/>
      <c r="E23" s="628"/>
      <c r="F23" s="628"/>
      <c r="G23" s="628"/>
      <c r="H23" s="628"/>
      <c r="I23" s="628"/>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7"/>
  <sheetViews>
    <sheetView zoomScalePageLayoutView="0" workbookViewId="0" topLeftCell="A11">
      <selection activeCell="E12" sqref="E12"/>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Honey Creek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3293</v>
      </c>
      <c r="D7" s="370">
        <f>C37</f>
        <v>4653</v>
      </c>
      <c r="E7" s="45">
        <f>D37</f>
        <v>455</v>
      </c>
    </row>
    <row r="8" spans="2:5" ht="15">
      <c r="B8" s="225" t="s">
        <v>122</v>
      </c>
      <c r="C8" s="226"/>
      <c r="D8" s="226"/>
      <c r="E8" s="122"/>
    </row>
    <row r="9" spans="2:5" ht="15">
      <c r="B9" s="118" t="s">
        <v>33</v>
      </c>
      <c r="C9" s="363">
        <v>1757</v>
      </c>
      <c r="D9" s="370">
        <f>IF(inputPrYr!H18&gt;0,inputPrYr!G19,inputPrYr!E19)</f>
        <v>1771</v>
      </c>
      <c r="E9" s="127" t="s">
        <v>28</v>
      </c>
    </row>
    <row r="10" spans="2:5" ht="15">
      <c r="B10" s="118" t="s">
        <v>34</v>
      </c>
      <c r="C10" s="363"/>
      <c r="D10" s="363"/>
      <c r="E10" s="197"/>
    </row>
    <row r="11" spans="2:5" ht="15">
      <c r="B11" s="118" t="s">
        <v>35</v>
      </c>
      <c r="C11" s="363">
        <v>69</v>
      </c>
      <c r="D11" s="363">
        <v>142</v>
      </c>
      <c r="E11" s="45">
        <f>mvalloc!D11</f>
        <v>150</v>
      </c>
    </row>
    <row r="12" spans="2:5" ht="15">
      <c r="B12" s="118" t="s">
        <v>36</v>
      </c>
      <c r="C12" s="363">
        <v>2</v>
      </c>
      <c r="D12" s="363">
        <v>5</v>
      </c>
      <c r="E12" s="45">
        <f>mvalloc!E11</f>
        <v>5</v>
      </c>
    </row>
    <row r="13" spans="2:5" ht="15">
      <c r="B13" s="226" t="s">
        <v>104</v>
      </c>
      <c r="C13" s="363">
        <v>35</v>
      </c>
      <c r="D13" s="363">
        <v>35</v>
      </c>
      <c r="E13" s="45">
        <f>mvalloc!F11</f>
        <v>77</v>
      </c>
    </row>
    <row r="14" spans="2:5" ht="15">
      <c r="B14" s="226" t="s">
        <v>153</v>
      </c>
      <c r="C14" s="363"/>
      <c r="D14" s="363"/>
      <c r="E14" s="45">
        <f>inputOth!E30</f>
        <v>0</v>
      </c>
    </row>
    <row r="15" spans="2:5" ht="15">
      <c r="B15" s="227"/>
      <c r="C15" s="363"/>
      <c r="D15" s="363"/>
      <c r="E15" s="197"/>
    </row>
    <row r="16" spans="2:5" ht="15">
      <c r="B16" s="227" t="s">
        <v>784</v>
      </c>
      <c r="C16" s="363"/>
      <c r="D16" s="363"/>
      <c r="E16" s="197"/>
    </row>
    <row r="17" spans="2:5" ht="15">
      <c r="B17" s="227" t="s">
        <v>785</v>
      </c>
      <c r="C17" s="363"/>
      <c r="D17" s="363"/>
      <c r="E17" s="197"/>
    </row>
    <row r="18" spans="2:5" ht="15">
      <c r="B18" s="227"/>
      <c r="C18" s="363"/>
      <c r="D18" s="363"/>
      <c r="E18" s="197"/>
    </row>
    <row r="19" spans="2:5" ht="15">
      <c r="B19" s="228" t="s">
        <v>37</v>
      </c>
      <c r="C19" s="363"/>
      <c r="D19" s="363"/>
      <c r="E19" s="197"/>
    </row>
    <row r="20" spans="2:5" ht="15">
      <c r="B20" s="229" t="s">
        <v>212</v>
      </c>
      <c r="C20" s="227"/>
      <c r="D20" s="227"/>
      <c r="E20" s="197"/>
    </row>
    <row r="21" spans="2:5" ht="15">
      <c r="B21" s="229" t="s">
        <v>556</v>
      </c>
      <c r="C21" s="364">
        <f>IF(C22*0.1&lt;C20,"Exceed 10% Rule","")</f>
      </c>
      <c r="D21" s="364">
        <f>IF(D22*0.1&lt;D20,"Exceed 10% Rule","")</f>
      </c>
      <c r="E21" s="383">
        <f>IF(E22*0.1+E43&lt;E20,"Exceed 10% Rule","")</f>
      </c>
    </row>
    <row r="22" spans="2:5" ht="15">
      <c r="B22" s="232" t="s">
        <v>38</v>
      </c>
      <c r="C22" s="365">
        <f>SUM(C9:C20)</f>
        <v>1863</v>
      </c>
      <c r="D22" s="365">
        <f>SUM(D9:D20)</f>
        <v>1953</v>
      </c>
      <c r="E22" s="233">
        <f>SUM(E9:E20)</f>
        <v>232</v>
      </c>
    </row>
    <row r="23" spans="2:5" ht="15">
      <c r="B23" s="232" t="s">
        <v>39</v>
      </c>
      <c r="C23" s="365">
        <f>C7+C22</f>
        <v>5156</v>
      </c>
      <c r="D23" s="365">
        <f>D7+D22</f>
        <v>6606</v>
      </c>
      <c r="E23" s="233">
        <f>E7+E22</f>
        <v>687</v>
      </c>
    </row>
    <row r="24" spans="2:5" ht="15">
      <c r="B24" s="118" t="s">
        <v>40</v>
      </c>
      <c r="C24" s="120"/>
      <c r="D24" s="120"/>
      <c r="E24" s="36"/>
    </row>
    <row r="25" spans="2:5" ht="15">
      <c r="B25" s="227"/>
      <c r="C25" s="363"/>
      <c r="D25" s="363"/>
      <c r="E25" s="197"/>
    </row>
    <row r="26" spans="2:5" ht="15">
      <c r="B26" s="227" t="s">
        <v>782</v>
      </c>
      <c r="C26" s="363">
        <v>242</v>
      </c>
      <c r="D26" s="363">
        <v>600</v>
      </c>
      <c r="E26" s="197">
        <v>600</v>
      </c>
    </row>
    <row r="27" spans="2:5" ht="15">
      <c r="B27" s="227" t="s">
        <v>791</v>
      </c>
      <c r="C27" s="363"/>
      <c r="D27" s="363">
        <v>500</v>
      </c>
      <c r="E27" s="197">
        <f>1823-563</f>
        <v>1260</v>
      </c>
    </row>
    <row r="28" spans="2:5" ht="15">
      <c r="B28" s="227" t="s">
        <v>790</v>
      </c>
      <c r="C28" s="363">
        <v>261</v>
      </c>
      <c r="D28" s="363">
        <v>400</v>
      </c>
      <c r="E28" s="197">
        <v>400</v>
      </c>
    </row>
    <row r="29" spans="2:5" ht="15">
      <c r="B29" s="227" t="s">
        <v>783</v>
      </c>
      <c r="C29" s="363"/>
      <c r="D29" s="363">
        <v>50</v>
      </c>
      <c r="E29" s="197">
        <v>50</v>
      </c>
    </row>
    <row r="30" spans="2:5" ht="15">
      <c r="B30" s="227" t="s">
        <v>792</v>
      </c>
      <c r="C30" s="363"/>
      <c r="D30" s="363">
        <v>100</v>
      </c>
      <c r="E30" s="197">
        <v>200</v>
      </c>
    </row>
    <row r="31" spans="2:5" ht="15">
      <c r="B31" s="227" t="s">
        <v>793</v>
      </c>
      <c r="C31" s="363"/>
      <c r="D31" s="363">
        <v>4501</v>
      </c>
      <c r="E31" s="197"/>
    </row>
    <row r="32" spans="2:11" ht="15">
      <c r="B32" s="227"/>
      <c r="C32" s="363"/>
      <c r="D32" s="363"/>
      <c r="E32" s="197"/>
      <c r="F32" s="16"/>
      <c r="G32" s="569" t="s">
        <v>723</v>
      </c>
      <c r="H32" s="570"/>
      <c r="I32" s="570"/>
      <c r="J32" s="571" t="e">
        <f>IF(#REF!&gt;0,#REF!-E40,0)</f>
        <v>#REF!</v>
      </c>
      <c r="K32" s="16"/>
    </row>
    <row r="33" spans="2:11" ht="15">
      <c r="B33" s="120" t="s">
        <v>213</v>
      </c>
      <c r="C33" s="363"/>
      <c r="D33" s="363"/>
      <c r="E33" s="202">
        <f>Nhood!E7</f>
      </c>
      <c r="F33" s="16"/>
      <c r="G33" s="16"/>
      <c r="H33" s="16"/>
      <c r="I33" s="16"/>
      <c r="J33" s="16"/>
      <c r="K33" s="16"/>
    </row>
    <row r="34" spans="2:11" ht="15">
      <c r="B34" s="120" t="s">
        <v>212</v>
      </c>
      <c r="C34" s="363"/>
      <c r="D34" s="363"/>
      <c r="E34" s="35"/>
      <c r="F34" s="16"/>
      <c r="G34" s="673" t="str">
        <f>CONCATENATE("Projected Carryover Into ",E3+1,"")</f>
        <v>Projected Carryover Into 2014</v>
      </c>
      <c r="H34" s="674"/>
      <c r="I34" s="674"/>
      <c r="J34" s="675"/>
      <c r="K34" s="16"/>
    </row>
    <row r="35" spans="2:11" ht="15">
      <c r="B35" s="120" t="s">
        <v>555</v>
      </c>
      <c r="C35" s="364">
        <f>IF(C36*0.1&lt;C34,"Exceed 10% Rule","")</f>
      </c>
      <c r="D35" s="364">
        <f>IF(D36*0.1&lt;D34,"Exceed 10% Rule","")</f>
      </c>
      <c r="E35" s="383">
        <f>IF(E36*0.1&lt;E34,"Exceed 10% Rule","")</f>
      </c>
      <c r="F35" s="16"/>
      <c r="G35" s="490"/>
      <c r="H35" s="69"/>
      <c r="I35" s="69"/>
      <c r="J35" s="479"/>
      <c r="K35" s="16"/>
    </row>
    <row r="36" spans="2:11" ht="15">
      <c r="B36" s="232" t="s">
        <v>41</v>
      </c>
      <c r="C36" s="365">
        <f>SUM(C25:C34)</f>
        <v>503</v>
      </c>
      <c r="D36" s="365">
        <f>SUM(D25:D34)</f>
        <v>6151</v>
      </c>
      <c r="E36" s="233">
        <f>SUM(E25:E34)</f>
        <v>2510</v>
      </c>
      <c r="F36" s="16"/>
      <c r="G36" s="485">
        <f>D37</f>
        <v>455</v>
      </c>
      <c r="H36" s="484" t="str">
        <f>CONCATENATE("",E3-1," Ending Cash Balance (est.)")</f>
        <v>2012 Ending Cash Balance (est.)</v>
      </c>
      <c r="I36" s="572"/>
      <c r="J36" s="479"/>
      <c r="K36" s="16"/>
    </row>
    <row r="37" spans="2:11" ht="15">
      <c r="B37" s="118" t="s">
        <v>121</v>
      </c>
      <c r="C37" s="366">
        <f>C23-C36</f>
        <v>4653</v>
      </c>
      <c r="D37" s="366">
        <f>D23-D36</f>
        <v>455</v>
      </c>
      <c r="E37" s="127" t="s">
        <v>28</v>
      </c>
      <c r="F37" s="16"/>
      <c r="G37" s="485">
        <f>E22</f>
        <v>232</v>
      </c>
      <c r="H37" s="478" t="str">
        <f>CONCATENATE("",E3," Non-AV Receipts (est.)")</f>
        <v>2013 Non-AV Receipts (est.)</v>
      </c>
      <c r="I37" s="572"/>
      <c r="J37" s="479"/>
      <c r="K37" s="16"/>
    </row>
    <row r="38" spans="2:11" ht="15">
      <c r="B38" s="137" t="str">
        <f>CONCATENATE("",E3-2,"/",E3-1," Budget Authority Amount:")</f>
        <v>2011/2012 Budget Authority Amount:</v>
      </c>
      <c r="C38" s="119">
        <f>inputOth!B41</f>
        <v>950</v>
      </c>
      <c r="D38" s="384">
        <f>inputPrYr!D19</f>
        <v>6151</v>
      </c>
      <c r="E38" s="127" t="s">
        <v>28</v>
      </c>
      <c r="F38" s="250"/>
      <c r="G38" s="477">
        <f>IF(E42&gt;0,E41,E43)</f>
        <v>1823</v>
      </c>
      <c r="H38" s="478" t="str">
        <f>CONCATENATE("",E3," Ad Valorem Tax (est.)")</f>
        <v>2013 Ad Valorem Tax (est.)</v>
      </c>
      <c r="I38" s="478"/>
      <c r="J38" s="479"/>
      <c r="K38" s="573">
        <f>IF(G38=E43,"","Note: Does not include Delinquent Taxes")</f>
      </c>
    </row>
    <row r="39" spans="2:11" ht="15">
      <c r="B39" s="137"/>
      <c r="C39" s="669" t="s">
        <v>652</v>
      </c>
      <c r="D39" s="670"/>
      <c r="E39" s="35"/>
      <c r="F39" s="574">
        <f>IF(E36/0.95-E36&lt;E39,"Exceeds 5%","")</f>
      </c>
      <c r="G39" s="485">
        <f>SUM(G36:G38)</f>
        <v>2510</v>
      </c>
      <c r="H39" s="478" t="str">
        <f>CONCATENATE("Total ",E3," Resources Available")</f>
        <v>Total 2013 Resources Available</v>
      </c>
      <c r="I39" s="572"/>
      <c r="J39" s="479"/>
      <c r="K39" s="16"/>
    </row>
    <row r="40" spans="2:11" ht="15">
      <c r="B40" s="382" t="str">
        <f>CONCATENATE(C56,"     ",D56)</f>
        <v>     </v>
      </c>
      <c r="C40" s="671" t="s">
        <v>653</v>
      </c>
      <c r="D40" s="672"/>
      <c r="E40" s="45">
        <f>E36+E39</f>
        <v>2510</v>
      </c>
      <c r="F40" s="16"/>
      <c r="G40" s="476"/>
      <c r="H40" s="478"/>
      <c r="I40" s="478"/>
      <c r="J40" s="479"/>
      <c r="K40" s="16"/>
    </row>
    <row r="41" spans="2:11" ht="15">
      <c r="B41" s="382" t="str">
        <f>CONCATENATE(C57,"     ",D57)</f>
        <v>     </v>
      </c>
      <c r="C41" s="489"/>
      <c r="D41" s="488" t="s">
        <v>654</v>
      </c>
      <c r="E41" s="42">
        <f>IF(E40-E23&gt;0,E40-E23,0)</f>
        <v>1823</v>
      </c>
      <c r="F41" s="16"/>
      <c r="G41" s="477">
        <f>ROUND(C36*0.05+C36,0)</f>
        <v>528</v>
      </c>
      <c r="H41" s="478" t="str">
        <f>CONCATENATE("Less ",E3-2," Expenditures + 5%")</f>
        <v>Less 2011 Expenditures + 5%</v>
      </c>
      <c r="I41" s="572"/>
      <c r="J41" s="479"/>
      <c r="K41" s="16"/>
    </row>
    <row r="42" spans="2:11" ht="15">
      <c r="B42" s="154"/>
      <c r="C42" s="487" t="s">
        <v>655</v>
      </c>
      <c r="D42" s="584">
        <f>inputOth!$E$35</f>
        <v>0</v>
      </c>
      <c r="E42" s="45">
        <f>ROUND(IF(D42&gt;0,(E41*D42),0),0)</f>
        <v>0</v>
      </c>
      <c r="F42" s="16"/>
      <c r="G42" s="475">
        <f>G39-G41</f>
        <v>1982</v>
      </c>
      <c r="H42" s="474" t="str">
        <f>CONCATENATE("Projected ",E3+1," Carryover (est.)")</f>
        <v>Projected 2014 Carryover (est.)</v>
      </c>
      <c r="I42" s="575"/>
      <c r="J42" s="473"/>
      <c r="K42" s="16"/>
    </row>
    <row r="43" spans="2:11" ht="15">
      <c r="B43" s="18"/>
      <c r="C43" s="667" t="str">
        <f>CONCATENATE("Amount of  ",$E$3-1," Ad Valorem Tax")</f>
        <v>Amount of  2012 Ad Valorem Tax</v>
      </c>
      <c r="D43" s="668"/>
      <c r="E43" s="42">
        <f>E41+E42</f>
        <v>1823</v>
      </c>
      <c r="F43" s="16"/>
      <c r="G43" s="16"/>
      <c r="H43" s="16"/>
      <c r="I43" s="16"/>
      <c r="J43" s="16"/>
      <c r="K43" s="16"/>
    </row>
    <row r="44" spans="2:11" ht="15">
      <c r="B44" s="18"/>
      <c r="C44" s="18"/>
      <c r="D44" s="18"/>
      <c r="E44" s="18"/>
      <c r="F44" s="16"/>
      <c r="G44" s="664" t="s">
        <v>724</v>
      </c>
      <c r="H44" s="665"/>
      <c r="I44" s="665"/>
      <c r="J44" s="666"/>
      <c r="K44" s="16"/>
    </row>
    <row r="45" spans="2:11" ht="15">
      <c r="B45" s="18"/>
      <c r="C45" s="18"/>
      <c r="D45" s="18"/>
      <c r="E45" s="18"/>
      <c r="F45" s="16"/>
      <c r="G45" s="576"/>
      <c r="H45" s="484"/>
      <c r="I45" s="558"/>
      <c r="J45" s="577"/>
      <c r="K45" s="16"/>
    </row>
    <row r="46" spans="2:11" ht="15">
      <c r="B46" s="18"/>
      <c r="C46" s="18"/>
      <c r="D46" s="18"/>
      <c r="E46" s="18"/>
      <c r="F46" s="16"/>
      <c r="G46" s="578">
        <f>summ!H16</f>
        <v>2.291</v>
      </c>
      <c r="H46" s="484" t="str">
        <f>CONCATENATE("",E3," Fund Mill Rate")</f>
        <v>2013 Fund Mill Rate</v>
      </c>
      <c r="I46" s="558"/>
      <c r="J46" s="577"/>
      <c r="K46" s="16"/>
    </row>
    <row r="47" spans="2:11" ht="15">
      <c r="B47" s="18"/>
      <c r="C47" s="18"/>
      <c r="D47" s="18"/>
      <c r="E47" s="18"/>
      <c r="F47" s="579"/>
      <c r="G47" s="580">
        <f>summ!E16</f>
        <v>2.473</v>
      </c>
      <c r="H47" s="484" t="str">
        <f>CONCATENATE("",E3-1," Fund Mill Rate")</f>
        <v>2012 Fund Mill Rate</v>
      </c>
      <c r="I47" s="558"/>
      <c r="J47" s="577"/>
      <c r="K47" s="16"/>
    </row>
    <row r="48" spans="2:11" ht="15">
      <c r="B48" s="18"/>
      <c r="C48" s="221"/>
      <c r="D48" s="221"/>
      <c r="E48" s="221"/>
      <c r="F48" s="564"/>
      <c r="G48" s="581">
        <f>summ!H18</f>
        <v>2.291</v>
      </c>
      <c r="H48" s="484" t="str">
        <f>CONCATENATE("Total ",E3," Mill Rate")</f>
        <v>Total 2013 Mill Rate</v>
      </c>
      <c r="I48" s="558"/>
      <c r="J48" s="577"/>
      <c r="K48" s="16"/>
    </row>
    <row r="49" spans="2:11" ht="15">
      <c r="B49" s="137"/>
      <c r="C49" s="18" t="s">
        <v>221</v>
      </c>
      <c r="D49" s="18"/>
      <c r="E49" s="18"/>
      <c r="F49" s="564"/>
      <c r="G49" s="580">
        <f>summ!E18</f>
        <v>2.473</v>
      </c>
      <c r="H49" s="582" t="str">
        <f>CONCATENATE("Total ",E3-1," Mill Rate")</f>
        <v>Total 2012 Mill Rate</v>
      </c>
      <c r="I49" s="583"/>
      <c r="J49" s="78"/>
      <c r="K49" s="16"/>
    </row>
    <row r="51" ht="15">
      <c r="B51" s="61"/>
    </row>
    <row r="56" spans="3:4" ht="15" hidden="1">
      <c r="C56" s="95">
        <f>IF(C36&gt;C38,"See Tab A","")</f>
      </c>
      <c r="D56" s="95">
        <f>IF(D36&gt;D38,"See Tab C","")</f>
      </c>
    </row>
    <row r="57" spans="3:4" ht="15" hidden="1">
      <c r="C57" s="95">
        <f>IF(C37&lt;0,"See Tab B","")</f>
      </c>
      <c r="D57" s="95">
        <f>IF(D37&lt;0,"See Tab D","")</f>
      </c>
    </row>
  </sheetData>
  <sheetProtection/>
  <mergeCells count="5">
    <mergeCell ref="G44:J44"/>
    <mergeCell ref="C43:D43"/>
    <mergeCell ref="C39:D39"/>
    <mergeCell ref="C40:D40"/>
    <mergeCell ref="G34:J34"/>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20">
    <cfRule type="cellIs" priority="40" dxfId="62" operator="greaterThan" stopIfTrue="1">
      <formula>$E$22*0.1+$E$43</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Honey Creek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6">
        <f>inputPrYr!B30</f>
        <v>0</v>
      </c>
      <c r="B5" s="677"/>
      <c r="C5" s="676">
        <f>inputPrYr!B31</f>
        <v>0</v>
      </c>
      <c r="D5" s="677"/>
      <c r="E5" s="676">
        <f>inputPrYr!B32</f>
        <v>0</v>
      </c>
      <c r="F5" s="677"/>
      <c r="G5" s="676">
        <f>inputPrYr!B33</f>
        <v>0</v>
      </c>
      <c r="H5" s="677"/>
      <c r="I5" s="676">
        <f>inputPrYr!B34</f>
        <v>0</v>
      </c>
      <c r="J5" s="677"/>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6">
      <selection activeCell="E29" sqref="E29"/>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7" t="s">
        <v>78</v>
      </c>
      <c r="B1" s="627"/>
      <c r="C1" s="627"/>
      <c r="D1" s="627"/>
      <c r="E1" s="627"/>
      <c r="F1" s="627"/>
      <c r="G1" s="627"/>
      <c r="H1" s="678"/>
    </row>
    <row r="2" spans="1:8" ht="15">
      <c r="A2" s="18"/>
      <c r="B2" s="18"/>
      <c r="C2" s="18"/>
      <c r="D2" s="18"/>
      <c r="E2" s="18"/>
      <c r="F2" s="18"/>
      <c r="G2" s="18"/>
      <c r="H2" s="18"/>
    </row>
    <row r="3" spans="1:9" ht="15">
      <c r="A3" s="656" t="s">
        <v>105</v>
      </c>
      <c r="B3" s="656"/>
      <c r="C3" s="656"/>
      <c r="D3" s="656"/>
      <c r="E3" s="656"/>
      <c r="F3" s="656"/>
      <c r="G3" s="656"/>
      <c r="H3" s="656"/>
      <c r="I3" s="52">
        <f>inputPrYr!D6</f>
        <v>2013</v>
      </c>
    </row>
    <row r="4" spans="1:8" ht="15">
      <c r="A4" s="625" t="str">
        <f>inputPrYr!D3</f>
        <v>Honey Creek Cemetery</v>
      </c>
      <c r="B4" s="625"/>
      <c r="C4" s="625"/>
      <c r="D4" s="625"/>
      <c r="E4" s="625"/>
      <c r="F4" s="625"/>
      <c r="G4" s="625"/>
      <c r="H4" s="625"/>
    </row>
    <row r="5" spans="1:8" ht="15">
      <c r="A5" s="681" t="str">
        <f>inputPrYr!D4</f>
        <v>Mitchell County</v>
      </c>
      <c r="B5" s="681"/>
      <c r="C5" s="681"/>
      <c r="D5" s="681"/>
      <c r="E5" s="681"/>
      <c r="F5" s="681"/>
      <c r="G5" s="681"/>
      <c r="H5" s="681"/>
    </row>
    <row r="6" spans="1:8" ht="15">
      <c r="A6" s="645" t="str">
        <f>CONCATENATE("will meet on ",inputBudSum!B7," at ",inputBudSum!B9," at ",inputBudSum!B11," for the purpose of hearing and")</f>
        <v>will meet on August 7, 2012 at 7:30  PM at 316 N Vellette, Glen Elder for the purpose of hearing and</v>
      </c>
      <c r="B6" s="645"/>
      <c r="C6" s="645"/>
      <c r="D6" s="645"/>
      <c r="E6" s="645"/>
      <c r="F6" s="645"/>
      <c r="G6" s="645"/>
      <c r="H6" s="645"/>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4" t="str">
        <f>CONCATENATE("Estimated Value Of One Mill For ",I3,"")</f>
        <v>Estimated Value Of One Mill For 2013</v>
      </c>
      <c r="K12" s="685"/>
      <c r="L12" s="685"/>
      <c r="M12" s="686"/>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79" t="str">
        <f>CONCATENATE("Amount of ",I3-1," Ad Valorem Tax")</f>
        <v>Amount of 2012 Ad Valorem Tax</v>
      </c>
      <c r="H14" s="292" t="s">
        <v>559</v>
      </c>
      <c r="J14" s="496" t="s">
        <v>659</v>
      </c>
      <c r="K14" s="497"/>
      <c r="L14" s="497"/>
      <c r="M14" s="498">
        <f>ROUND(F22/1000,0)</f>
        <v>796</v>
      </c>
    </row>
    <row r="15" spans="1:13" ht="15">
      <c r="A15" s="168" t="s">
        <v>51</v>
      </c>
      <c r="B15" s="113" t="s">
        <v>52</v>
      </c>
      <c r="C15" s="293" t="s">
        <v>191</v>
      </c>
      <c r="D15" s="113" t="s">
        <v>52</v>
      </c>
      <c r="E15" s="293" t="s">
        <v>191</v>
      </c>
      <c r="F15" s="113" t="s">
        <v>554</v>
      </c>
      <c r="G15" s="680"/>
      <c r="H15" s="293" t="s">
        <v>191</v>
      </c>
      <c r="J15" s="16"/>
      <c r="K15" s="16"/>
      <c r="L15" s="16"/>
      <c r="M15" s="16"/>
    </row>
    <row r="16" spans="1:13" ht="15">
      <c r="A16" s="36" t="str">
        <f>inputPrYr!B19</f>
        <v>General</v>
      </c>
      <c r="B16" s="122">
        <f>IF(gen!$C$36&lt;&gt;0,gen!$C$36,"  ")</f>
        <v>503</v>
      </c>
      <c r="C16" s="610">
        <f>IF(inputPrYr!D38&gt;0,inputPrYr!D38,"  ")</f>
        <v>2.613</v>
      </c>
      <c r="D16" s="548">
        <f>IF(gen!$D$36&lt;&gt;0,gen!$D$36,"  ")</f>
        <v>6151</v>
      </c>
      <c r="E16" s="613">
        <f>IF(inputOth!D16&gt;0,inputOth!D16,"  ")</f>
        <v>2.473</v>
      </c>
      <c r="F16" s="548">
        <f>IF(gen!$E$36&lt;&gt;0,gen!$E$36,"  ")</f>
        <v>2510</v>
      </c>
      <c r="G16" s="242">
        <f>IF(gen!$E$43&lt;&gt;0,gen!$E$43,"  ")</f>
        <v>1823</v>
      </c>
      <c r="H16" s="610">
        <f>IF(gen!E43&gt;0,ROUND(G16/$F$22*1000,3)," ")</f>
        <v>2.291</v>
      </c>
      <c r="J16" s="684" t="str">
        <f>CONCATENATE("Want The Mill Rate The Same As For ",I3-1,"?")</f>
        <v>Want The Mill Rate The Same As For 2012?</v>
      </c>
      <c r="K16" s="687"/>
      <c r="L16" s="687"/>
      <c r="M16" s="688"/>
    </row>
    <row r="17" spans="1:13" ht="15.75" thickBot="1">
      <c r="A17" s="123">
        <f>IF((inputPrYr!$B$30&gt;" "),(NonBud!$A$3),"")</f>
      </c>
      <c r="B17" s="481">
        <f>IF(NonBud!K28&gt;0,NonBud!K28,"")</f>
      </c>
      <c r="C17" s="611"/>
      <c r="D17" s="609"/>
      <c r="E17" s="614"/>
      <c r="F17" s="609"/>
      <c r="G17" s="616"/>
      <c r="H17" s="611"/>
      <c r="J17" s="501"/>
      <c r="K17" s="501"/>
      <c r="L17" s="501"/>
      <c r="M17" s="501"/>
    </row>
    <row r="18" spans="1:13" ht="15">
      <c r="A18" s="33" t="s">
        <v>129</v>
      </c>
      <c r="B18" s="607">
        <f>SUM(B16:B17)</f>
        <v>503</v>
      </c>
      <c r="C18" s="612">
        <f aca="true" t="shared" si="0" ref="C18:H18">SUM(C16:C16)</f>
        <v>2.613</v>
      </c>
      <c r="D18" s="607">
        <f t="shared" si="0"/>
        <v>6151</v>
      </c>
      <c r="E18" s="615">
        <f t="shared" si="0"/>
        <v>2.473</v>
      </c>
      <c r="F18" s="607">
        <f t="shared" si="0"/>
        <v>2510</v>
      </c>
      <c r="G18" s="607">
        <f t="shared" si="0"/>
        <v>1823</v>
      </c>
      <c r="H18" s="615">
        <f t="shared" si="0"/>
        <v>2.291</v>
      </c>
      <c r="J18" s="684" t="str">
        <f>CONCATENATE("Impact On Keeping The Same Mill Rate As For ",I3-1,"")</f>
        <v>Impact On Keeping The Same Mill Rate As For 2012</v>
      </c>
      <c r="K18" s="689"/>
      <c r="L18" s="689"/>
      <c r="M18" s="690"/>
    </row>
    <row r="19" spans="1:13" ht="15">
      <c r="A19" s="33" t="s">
        <v>161</v>
      </c>
      <c r="B19" s="42">
        <f>transfers!C26</f>
        <v>0</v>
      </c>
      <c r="C19" s="125"/>
      <c r="D19" s="42">
        <f>transfers!D26</f>
        <v>0</v>
      </c>
      <c r="E19" s="125"/>
      <c r="F19" s="608">
        <f>transfers!E26</f>
        <v>0</v>
      </c>
      <c r="G19" s="237"/>
      <c r="H19" s="294"/>
      <c r="J19" s="499"/>
      <c r="K19" s="494"/>
      <c r="L19" s="494"/>
      <c r="M19" s="500"/>
    </row>
    <row r="20" spans="1:13" ht="15.75" thickBot="1">
      <c r="A20" s="33" t="s">
        <v>162</v>
      </c>
      <c r="B20" s="128">
        <f>SUM(B18-B19)</f>
        <v>503</v>
      </c>
      <c r="C20" s="295"/>
      <c r="D20" s="128">
        <f>SUM(D18-D19)</f>
        <v>6151</v>
      </c>
      <c r="E20" s="295"/>
      <c r="F20" s="480">
        <f>SUM(F18-F19)</f>
        <v>2510</v>
      </c>
      <c r="G20" s="237"/>
      <c r="H20" s="294"/>
      <c r="J20" s="499" t="str">
        <f>CONCATENATE("",I3," Ad Valorem Tax Revenue:")</f>
        <v>2013 Ad Valorem Tax Revenue:</v>
      </c>
      <c r="K20" s="494"/>
      <c r="L20" s="494"/>
      <c r="M20" s="495">
        <f>G18</f>
        <v>1823</v>
      </c>
    </row>
    <row r="21" spans="1:13" ht="15.75" thickTop="1">
      <c r="A21" s="33" t="s">
        <v>53</v>
      </c>
      <c r="B21" s="607">
        <f>inputPrYr!E44</f>
        <v>1757</v>
      </c>
      <c r="C21" s="214"/>
      <c r="D21" s="607">
        <f>inputPrYr!E24</f>
        <v>1771</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672558</v>
      </c>
      <c r="C22" s="214"/>
      <c r="D22" s="42">
        <f>inputOth!E24</f>
        <v>716361</v>
      </c>
      <c r="E22" s="214"/>
      <c r="F22" s="42">
        <f>inputOth!E7</f>
        <v>795867</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91" t="str">
        <f>inputBudSum!B3</f>
        <v>Brad Weidenhaft</v>
      </c>
      <c r="B27" s="653"/>
      <c r="C27" s="98"/>
      <c r="D27" s="18"/>
      <c r="E27" s="18"/>
      <c r="F27" s="18"/>
      <c r="G27" s="18"/>
      <c r="H27" s="52"/>
    </row>
    <row r="28" spans="1:8" ht="15">
      <c r="A28" s="682" t="str">
        <f>inputBudSum!B5</f>
        <v>Treasurer</v>
      </c>
      <c r="B28" s="683"/>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Honey Creek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4" t="str">
        <f>CONCATENATE("",F1," Neighborhood Revitalization Rebate")</f>
        <v>2013 Neighborhood Revitalization Rebate</v>
      </c>
      <c r="C4" s="694"/>
      <c r="D4" s="694"/>
      <c r="E4" s="678"/>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5" t="str">
        <f>CONCATENATE("",F1-1," July 1 Valuation:")</f>
        <v>2012 July 1 Valuation:</v>
      </c>
      <c r="B16" s="693"/>
      <c r="C16" s="695"/>
      <c r="D16" s="304">
        <f>inputOth!E7</f>
        <v>795867</v>
      </c>
      <c r="E16" s="18"/>
      <c r="F16" s="52"/>
    </row>
    <row r="17" spans="1:6" ht="15">
      <c r="A17" s="18"/>
      <c r="B17" s="18"/>
      <c r="C17" s="18"/>
      <c r="D17" s="18"/>
      <c r="E17" s="18"/>
      <c r="F17" s="52"/>
    </row>
    <row r="18" spans="1:6" ht="15">
      <c r="A18" s="18"/>
      <c r="B18" s="695" t="s">
        <v>312</v>
      </c>
      <c r="C18" s="695"/>
      <c r="D18" s="305">
        <f>IF(D16&gt;0,(D16*0.001),"")</f>
        <v>795.867</v>
      </c>
      <c r="E18" s="18"/>
      <c r="F18" s="52"/>
    </row>
    <row r="19" spans="1:6" ht="15">
      <c r="A19" s="18"/>
      <c r="B19" s="137"/>
      <c r="C19" s="137"/>
      <c r="D19" s="306"/>
      <c r="E19" s="18"/>
      <c r="F19" s="52"/>
    </row>
    <row r="20" spans="1:6" ht="15">
      <c r="A20" s="692" t="s">
        <v>310</v>
      </c>
      <c r="B20" s="678"/>
      <c r="C20" s="678"/>
      <c r="D20" s="307">
        <f>inputOth!E12</f>
        <v>0</v>
      </c>
      <c r="E20" s="62"/>
      <c r="F20" s="62"/>
    </row>
    <row r="21" spans="1:6" ht="15">
      <c r="A21" s="62"/>
      <c r="B21" s="62"/>
      <c r="C21" s="62"/>
      <c r="D21" s="308"/>
      <c r="E21" s="62"/>
      <c r="F21" s="62"/>
    </row>
    <row r="22" spans="1:6" ht="1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6" t="s">
        <v>134</v>
      </c>
      <c r="C1" s="696"/>
      <c r="D1" s="696"/>
      <c r="E1" s="696"/>
      <c r="F1" s="696"/>
      <c r="G1" s="696"/>
      <c r="H1" s="696"/>
    </row>
    <row r="2" spans="2:8" ht="15">
      <c r="B2" s="6"/>
      <c r="C2"/>
      <c r="D2"/>
      <c r="E2"/>
      <c r="F2"/>
      <c r="G2"/>
      <c r="H2"/>
    </row>
    <row r="3" spans="2:8" ht="15">
      <c r="B3" s="697" t="s">
        <v>131</v>
      </c>
      <c r="C3" s="697"/>
      <c r="D3" s="697"/>
      <c r="E3" s="697"/>
      <c r="F3" s="697"/>
      <c r="G3" s="697"/>
      <c r="H3" s="697"/>
    </row>
    <row r="4" spans="2:8" ht="15">
      <c r="B4" s="7"/>
      <c r="C4"/>
      <c r="D4"/>
      <c r="E4"/>
      <c r="F4"/>
      <c r="G4"/>
      <c r="H4"/>
    </row>
    <row r="5" spans="2:8" ht="1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Honey Creek Cemetery District with respect to financing the 2013 annual budget for Honey Creek Cemetery , Mitchell County , Kansas.</v>
      </c>
      <c r="C5" s="703"/>
      <c r="D5" s="703"/>
      <c r="E5" s="703"/>
      <c r="F5" s="703"/>
      <c r="G5" s="703"/>
      <c r="H5" s="703"/>
    </row>
    <row r="6" spans="2:10" ht="15">
      <c r="B6" s="703"/>
      <c r="C6" s="703"/>
      <c r="D6" s="703"/>
      <c r="E6" s="703"/>
      <c r="F6" s="703"/>
      <c r="G6" s="703"/>
      <c r="H6" s="703"/>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Honey Creek Cemetery district budget exceed the amount levied to finance the</v>
      </c>
      <c r="C9"/>
      <c r="D9"/>
      <c r="E9"/>
      <c r="F9"/>
      <c r="G9"/>
      <c r="H9"/>
    </row>
    <row r="10" spans="2:8" ht="15">
      <c r="B10" s="12" t="str">
        <f>CONCATENATE("",inputPrYr!D6-1," ",inputPrYr!D3," except with regard to revenue produced and attributable to the")</f>
        <v>2012 Honey Creek Cemetery except with regard to revenue produced and attributable to the</v>
      </c>
      <c r="C10"/>
      <c r="D10"/>
      <c r="E10"/>
      <c r="F10"/>
      <c r="G10"/>
      <c r="H10"/>
    </row>
    <row r="11" spans="2:8" ht="15">
      <c r="B11" s="698" t="s">
        <v>169</v>
      </c>
      <c r="C11" s="699"/>
      <c r="D11" s="699"/>
      <c r="E11" s="699"/>
      <c r="F11" s="699"/>
      <c r="G11" s="699"/>
      <c r="H11" s="699"/>
    </row>
    <row r="12" spans="2:8" ht="15">
      <c r="B12" s="699"/>
      <c r="C12" s="699"/>
      <c r="D12" s="699"/>
      <c r="E12" s="699"/>
      <c r="F12" s="699"/>
      <c r="G12" s="699"/>
      <c r="H12" s="699"/>
    </row>
    <row r="13" spans="2:8" ht="15">
      <c r="B13" s="699"/>
      <c r="C13" s="699"/>
      <c r="D13" s="699"/>
      <c r="E13" s="699"/>
      <c r="F13" s="699"/>
      <c r="G13" s="699"/>
      <c r="H13" s="699"/>
    </row>
    <row r="14" spans="2:8" ht="15">
      <c r="B14" s="699"/>
      <c r="C14" s="699"/>
      <c r="D14" s="699"/>
      <c r="E14" s="699"/>
      <c r="F14" s="699"/>
      <c r="G14" s="699"/>
      <c r="H14" s="699"/>
    </row>
    <row r="15" spans="2:8" ht="15">
      <c r="B15" s="1"/>
      <c r="C15" s="1"/>
      <c r="D15" s="1"/>
      <c r="E15" s="1"/>
      <c r="F15" s="1"/>
      <c r="G15" s="1"/>
      <c r="H15" s="1"/>
    </row>
    <row r="16" spans="2:8" ht="15">
      <c r="B16" s="704" t="s">
        <v>143</v>
      </c>
      <c r="C16" s="705"/>
      <c r="D16" s="705"/>
      <c r="E16" s="705"/>
      <c r="F16" s="705"/>
      <c r="G16" s="705"/>
      <c r="H16" s="705"/>
    </row>
    <row r="17" spans="2:8" ht="15">
      <c r="B17" s="705"/>
      <c r="C17" s="705"/>
      <c r="D17" s="705"/>
      <c r="E17" s="705"/>
      <c r="F17" s="705"/>
      <c r="G17" s="705"/>
      <c r="H17" s="705"/>
    </row>
    <row r="18" spans="2:8" ht="15">
      <c r="B18" s="12"/>
      <c r="C18"/>
      <c r="D18"/>
      <c r="E18"/>
      <c r="F18"/>
      <c r="G18"/>
      <c r="H18"/>
    </row>
    <row r="19" spans="2:8" ht="15">
      <c r="B19" s="12" t="str">
        <f>CONCATENATE("Whereas, ",(inputPrYr!D3)," provides essential services to district residents; and")</f>
        <v>Whereas, Honey Creek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Honey Creek Cemetery that is our desire to notify the public of the possibility of increased property taxes to finance the 2013 Honey Creek Cemetery  budget as defined above.</v>
      </c>
      <c r="C23" s="706"/>
      <c r="D23" s="706"/>
      <c r="E23" s="706"/>
      <c r="F23" s="706"/>
      <c r="G23" s="706"/>
      <c r="H23" s="706"/>
    </row>
    <row r="24" spans="2:8" ht="15">
      <c r="B24" s="706"/>
      <c r="C24" s="706"/>
      <c r="D24" s="706"/>
      <c r="E24" s="706"/>
      <c r="F24" s="706"/>
      <c r="G24" s="706"/>
      <c r="H24" s="706"/>
    </row>
    <row r="25" spans="2:8" ht="15">
      <c r="B25" s="706"/>
      <c r="C25" s="706"/>
      <c r="D25" s="706"/>
      <c r="E25" s="706"/>
      <c r="F25" s="706"/>
      <c r="G25" s="706"/>
      <c r="H25" s="706"/>
    </row>
    <row r="26" spans="2:8" ht="15">
      <c r="B26" s="12"/>
      <c r="C26"/>
      <c r="D26"/>
      <c r="E26"/>
      <c r="F26"/>
      <c r="G26"/>
      <c r="H26"/>
    </row>
    <row r="27" spans="2:8" ht="15">
      <c r="B27" s="704" t="str">
        <f>CONCATENATE("Adopted this _________ day of ___________, ",inputPrYr!D6-1," by the ",(inputPrYr!D3)," District Board, ",(inputPrYr!D4),", Kansas.")</f>
        <v>Adopted this _________ day of ___________, 2012 by the Honey Creek Cemetery District Board, Mitchell County, Kansas.</v>
      </c>
      <c r="C27" s="703"/>
      <c r="D27" s="703"/>
      <c r="E27" s="703"/>
      <c r="F27" s="703"/>
      <c r="G27" s="703"/>
      <c r="H27" s="703"/>
    </row>
    <row r="28" spans="2:8" ht="15">
      <c r="B28" s="703"/>
      <c r="C28" s="703"/>
      <c r="D28" s="703"/>
      <c r="E28" s="703"/>
      <c r="F28" s="703"/>
      <c r="G28" s="703"/>
      <c r="H28" s="703"/>
    </row>
    <row r="29" spans="2:8" ht="15">
      <c r="B29" s="8"/>
      <c r="C29"/>
      <c r="D29"/>
      <c r="E29"/>
      <c r="F29"/>
      <c r="G29"/>
      <c r="H29"/>
    </row>
    <row r="30" spans="2:8" ht="15">
      <c r="B30" s="8"/>
      <c r="C30"/>
      <c r="D30"/>
      <c r="E30"/>
      <c r="F30"/>
      <c r="G30"/>
      <c r="H30"/>
    </row>
    <row r="31" spans="2:8" ht="15">
      <c r="B31" s="9" t="str">
        <f>CONCATENATE(" ",(inputPrYr!D3)," District Board")</f>
        <v> Honey Creek Cemetery District Board</v>
      </c>
      <c r="C31"/>
      <c r="D31"/>
      <c r="E31"/>
      <c r="F31"/>
      <c r="G31"/>
      <c r="H31"/>
    </row>
    <row r="32" spans="2:8" ht="15">
      <c r="B32" s="8"/>
      <c r="C32"/>
      <c r="D32"/>
      <c r="E32"/>
      <c r="F32"/>
      <c r="G32"/>
      <c r="H32"/>
    </row>
    <row r="33" spans="2:8" ht="15">
      <c r="B33"/>
      <c r="C33"/>
      <c r="D33"/>
      <c r="E33" s="700" t="s">
        <v>132</v>
      </c>
      <c r="F33" s="700"/>
      <c r="G33" s="700"/>
      <c r="H33" s="700"/>
    </row>
    <row r="34" spans="2:8" ht="15">
      <c r="B34"/>
      <c r="C34"/>
      <c r="D34"/>
      <c r="E34" s="700" t="s">
        <v>135</v>
      </c>
      <c r="F34" s="700"/>
      <c r="G34" s="700"/>
      <c r="H34" s="700"/>
    </row>
    <row r="35" spans="2:8" ht="15">
      <c r="B35" s="8"/>
      <c r="C35"/>
      <c r="D35"/>
      <c r="E35" s="700"/>
      <c r="F35" s="700"/>
      <c r="G35" s="700"/>
      <c r="H35" s="700"/>
    </row>
    <row r="36" spans="2:8" ht="15">
      <c r="B36"/>
      <c r="C36"/>
      <c r="D36"/>
      <c r="E36" s="700" t="s">
        <v>132</v>
      </c>
      <c r="F36" s="700"/>
      <c r="G36" s="700"/>
      <c r="H36" s="700"/>
    </row>
    <row r="37" spans="2:8" ht="15">
      <c r="B37"/>
      <c r="C37"/>
      <c r="D37"/>
      <c r="E37" s="700" t="s">
        <v>136</v>
      </c>
      <c r="F37" s="700"/>
      <c r="G37" s="700"/>
      <c r="H37" s="700"/>
    </row>
    <row r="38" spans="2:8" ht="15">
      <c r="B38" s="8"/>
      <c r="C38"/>
      <c r="D38"/>
      <c r="E38" s="700"/>
      <c r="F38" s="700"/>
      <c r="G38" s="700"/>
      <c r="H38" s="700"/>
    </row>
    <row r="39" spans="2:8" ht="15">
      <c r="B39"/>
      <c r="C39"/>
      <c r="D39"/>
      <c r="E39" s="700" t="s">
        <v>132</v>
      </c>
      <c r="F39" s="700"/>
      <c r="G39" s="700"/>
      <c r="H39" s="700"/>
    </row>
    <row r="40" spans="2:8" ht="15">
      <c r="B40"/>
      <c r="C40"/>
      <c r="D40"/>
      <c r="E40" s="700" t="s">
        <v>137</v>
      </c>
      <c r="F40" s="700"/>
      <c r="G40" s="700"/>
      <c r="H40" s="70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1"/>
      <c r="F46" s="701"/>
      <c r="G46" s="701"/>
      <c r="H46" s="701"/>
    </row>
    <row r="47" spans="2:8" ht="15">
      <c r="B47" s="3"/>
      <c r="E47" s="701"/>
      <c r="F47" s="701"/>
      <c r="G47" s="701"/>
      <c r="H47" s="701"/>
    </row>
    <row r="48" spans="5:8" ht="15">
      <c r="E48" s="701"/>
      <c r="F48" s="701"/>
      <c r="G48" s="701"/>
      <c r="H48" s="701"/>
    </row>
    <row r="49" spans="5:8" ht="15">
      <c r="E49" s="701"/>
      <c r="F49" s="701"/>
      <c r="G49" s="701"/>
      <c r="H49" s="701"/>
    </row>
    <row r="50" spans="2:8" ht="15">
      <c r="B50" s="3"/>
      <c r="E50" s="701"/>
      <c r="F50" s="701"/>
      <c r="G50" s="701"/>
      <c r="H50" s="70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 sqref="E4"/>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5" t="s">
        <v>7</v>
      </c>
      <c r="B1" s="626"/>
      <c r="C1" s="626"/>
      <c r="D1" s="626"/>
      <c r="E1" s="626"/>
    </row>
    <row r="2" spans="1:5" ht="15">
      <c r="A2" s="17"/>
      <c r="B2" s="18"/>
      <c r="C2" s="18"/>
      <c r="D2" s="18"/>
      <c r="E2" s="18"/>
    </row>
    <row r="3" spans="1:5" ht="15">
      <c r="A3" s="19" t="s">
        <v>126</v>
      </c>
      <c r="B3" s="18"/>
      <c r="C3" s="18"/>
      <c r="D3" s="510" t="s">
        <v>787</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7" t="s">
        <v>201</v>
      </c>
      <c r="B8" s="628"/>
      <c r="C8" s="628"/>
      <c r="D8" s="628"/>
      <c r="E8" s="628"/>
    </row>
    <row r="9" spans="1:5" ht="15">
      <c r="A9" s="23" t="s">
        <v>73</v>
      </c>
      <c r="B9" s="24"/>
      <c r="C9" s="24"/>
      <c r="D9" s="24"/>
      <c r="E9" s="24"/>
    </row>
    <row r="10" spans="1:8" ht="15">
      <c r="A10" s="629" t="s">
        <v>200</v>
      </c>
      <c r="B10" s="630"/>
      <c r="C10" s="630"/>
      <c r="D10" s="630"/>
      <c r="E10" s="630"/>
      <c r="F10" s="18"/>
      <c r="G10" s="618" t="s">
        <v>697</v>
      </c>
      <c r="H10" s="619"/>
    </row>
    <row r="11" spans="1:8" ht="15">
      <c r="A11" s="25"/>
      <c r="B11" s="18"/>
      <c r="C11" s="18"/>
      <c r="D11" s="18"/>
      <c r="E11" s="18"/>
      <c r="F11" s="18"/>
      <c r="G11" s="620"/>
      <c r="H11" s="619"/>
    </row>
    <row r="12" spans="1:8" ht="15">
      <c r="A12" s="623" t="s">
        <v>189</v>
      </c>
      <c r="B12" s="624"/>
      <c r="C12" s="624"/>
      <c r="D12" s="624"/>
      <c r="E12" s="624"/>
      <c r="F12" s="18"/>
      <c r="G12" s="620"/>
      <c r="H12" s="619"/>
    </row>
    <row r="13" spans="1:8" ht="15">
      <c r="A13" s="25"/>
      <c r="B13" s="18"/>
      <c r="C13" s="18"/>
      <c r="D13" s="18"/>
      <c r="E13" s="18"/>
      <c r="F13" s="18"/>
      <c r="G13" s="620"/>
      <c r="H13" s="619"/>
    </row>
    <row r="14" spans="1:8" ht="15">
      <c r="A14" s="26" t="s">
        <v>149</v>
      </c>
      <c r="B14" s="27"/>
      <c r="C14" s="18"/>
      <c r="D14" s="18"/>
      <c r="E14" s="18"/>
      <c r="F14" s="18"/>
      <c r="G14" s="620"/>
      <c r="H14" s="619"/>
    </row>
    <row r="15" spans="1:8" ht="15">
      <c r="A15" s="28" t="str">
        <f>CONCATENATE("the ",D6-1," Budget, Certificate Page:")</f>
        <v>the 2012 Budget, Certificate Page:</v>
      </c>
      <c r="B15" s="29"/>
      <c r="C15" s="18"/>
      <c r="D15" s="18"/>
      <c r="E15" s="18"/>
      <c r="F15" s="18"/>
      <c r="G15" s="620"/>
      <c r="H15" s="619"/>
    </row>
    <row r="16" spans="1:8" ht="15">
      <c r="A16" s="28" t="s">
        <v>269</v>
      </c>
      <c r="B16" s="29"/>
      <c r="C16" s="18"/>
      <c r="D16" s="18"/>
      <c r="E16" s="18"/>
      <c r="F16" s="18"/>
      <c r="G16" s="69"/>
      <c r="H16" s="52"/>
    </row>
    <row r="17" spans="1:8" ht="15">
      <c r="A17" s="18"/>
      <c r="B17" s="18"/>
      <c r="C17" s="30"/>
      <c r="D17" s="31">
        <f>D6-1</f>
        <v>2012</v>
      </c>
      <c r="E17" s="631" t="str">
        <f>CONCATENATE("Amount of ",D6-2,"     Ad Valorem Tax")</f>
        <v>Amount of 2011     Ad Valorem Tax</v>
      </c>
      <c r="G17" s="101" t="s">
        <v>698</v>
      </c>
      <c r="H17" s="110" t="s">
        <v>42</v>
      </c>
    </row>
    <row r="18" spans="1:8" ht="15">
      <c r="A18" s="17" t="s">
        <v>8</v>
      </c>
      <c r="B18" s="18"/>
      <c r="C18" s="30" t="s">
        <v>9</v>
      </c>
      <c r="D18" s="32" t="s">
        <v>270</v>
      </c>
      <c r="E18" s="632"/>
      <c r="G18" s="113" t="str">
        <f>CONCATENATE("",D6-2," Ad Valorem Tax")</f>
        <v>2011 Ad Valorem Tax</v>
      </c>
      <c r="H18" s="522">
        <v>0</v>
      </c>
    </row>
    <row r="19" spans="1:7" ht="15">
      <c r="A19" s="18"/>
      <c r="B19" s="33" t="s">
        <v>10</v>
      </c>
      <c r="C19" s="597" t="s">
        <v>788</v>
      </c>
      <c r="D19" s="35">
        <v>6151</v>
      </c>
      <c r="E19" s="35">
        <v>1771</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1771</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6151</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1" t="str">
        <f>CONCATENATE("",D6-3," Tax Rate          (",D6-2," Column)")</f>
        <v>2010 Tax Rate          (2011 Column)</v>
      </c>
      <c r="E36" s="37"/>
    </row>
    <row r="37" spans="1:5" ht="15">
      <c r="A37" s="28" t="str">
        <f>CONCATENATE("the ",D6-1," Budget, Budget Summary Page:")</f>
        <v>the 2012 Budget, Budget Summary Page:</v>
      </c>
      <c r="B37" s="29"/>
      <c r="C37" s="18"/>
      <c r="D37" s="622"/>
      <c r="E37" s="37"/>
    </row>
    <row r="38" spans="1:5" ht="15">
      <c r="A38" s="18"/>
      <c r="B38" s="36" t="str">
        <f>B19</f>
        <v>General</v>
      </c>
      <c r="C38" s="18"/>
      <c r="D38" s="47">
        <v>2.613</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2.613</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1757</v>
      </c>
    </row>
    <row r="45" spans="1:5" ht="15">
      <c r="A45" s="49" t="str">
        <f>CONCATENATE("Assessed Valuation (",D6-2," budget column)")</f>
        <v>Assessed Valuation (2011 budget column)</v>
      </c>
      <c r="B45" s="27"/>
      <c r="C45" s="18"/>
      <c r="D45" s="18"/>
      <c r="E45" s="51">
        <v>672558</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3.5">
      <c r="A8" s="390"/>
      <c r="B8" s="733" t="s">
        <v>562</v>
      </c>
      <c r="C8" s="733"/>
      <c r="D8" s="733"/>
      <c r="E8" s="733"/>
      <c r="F8" s="733"/>
      <c r="G8" s="733"/>
      <c r="H8" s="733"/>
      <c r="I8" s="733"/>
      <c r="J8" s="733"/>
      <c r="K8" s="733"/>
      <c r="L8" s="390"/>
    </row>
    <row r="9" spans="1:12" ht="13.5">
      <c r="A9" s="390"/>
      <c r="L9" s="390"/>
    </row>
    <row r="10" spans="1:12" ht="13.5">
      <c r="A10" s="390"/>
      <c r="B10" s="733" t="s">
        <v>563</v>
      </c>
      <c r="C10" s="733"/>
      <c r="D10" s="733"/>
      <c r="E10" s="733"/>
      <c r="F10" s="733"/>
      <c r="G10" s="733"/>
      <c r="H10" s="733"/>
      <c r="I10" s="733"/>
      <c r="J10" s="733"/>
      <c r="K10" s="733"/>
      <c r="L10" s="390"/>
    </row>
    <row r="11" spans="1:12" ht="13.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9">
        <v>312000000</v>
      </c>
      <c r="G23" s="719"/>
      <c r="L23" s="390"/>
    </row>
    <row r="24" spans="1:12" ht="13.5">
      <c r="A24" s="390"/>
      <c r="L24" s="390"/>
    </row>
    <row r="25" spans="1:12" ht="13.5">
      <c r="A25" s="390"/>
      <c r="C25" s="734">
        <f>F23</f>
        <v>312000000</v>
      </c>
      <c r="D25" s="734"/>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3.5">
      <c r="A31" s="390"/>
      <c r="B31" s="733" t="s">
        <v>573</v>
      </c>
      <c r="C31" s="733"/>
      <c r="D31" s="733"/>
      <c r="E31" s="733"/>
      <c r="F31" s="733"/>
      <c r="G31" s="733"/>
      <c r="H31" s="733"/>
      <c r="I31" s="733"/>
      <c r="J31" s="733"/>
      <c r="K31" s="733"/>
      <c r="L31" s="390"/>
    </row>
    <row r="32" spans="1:12" ht="13.5">
      <c r="A32" s="390"/>
      <c r="L32" s="390"/>
    </row>
    <row r="33" spans="1:12" ht="13.5">
      <c r="A33" s="390"/>
      <c r="B33" s="733" t="s">
        <v>574</v>
      </c>
      <c r="C33" s="733"/>
      <c r="D33" s="733"/>
      <c r="E33" s="733"/>
      <c r="F33" s="733"/>
      <c r="G33" s="733"/>
      <c r="H33" s="733"/>
      <c r="I33" s="733"/>
      <c r="J33" s="733"/>
      <c r="K33" s="733"/>
      <c r="L33" s="390"/>
    </row>
    <row r="34" spans="1:12" ht="13.5">
      <c r="A34" s="390"/>
      <c r="L34" s="390"/>
    </row>
    <row r="35" spans="1:12" ht="89.25" customHeight="1">
      <c r="A35" s="390"/>
      <c r="B35" s="717" t="s">
        <v>575</v>
      </c>
      <c r="C35" s="727"/>
      <c r="D35" s="727"/>
      <c r="E35" s="727"/>
      <c r="F35" s="727"/>
      <c r="G35" s="727"/>
      <c r="H35" s="727"/>
      <c r="I35" s="727"/>
      <c r="J35" s="727"/>
      <c r="K35" s="727"/>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5">
        <v>312000000</v>
      </c>
      <c r="D41" s="735"/>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8">
        <v>312000000</v>
      </c>
      <c r="C48" s="719"/>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9" t="s">
        <v>583</v>
      </c>
      <c r="H50" s="730"/>
      <c r="I50" s="516" t="s">
        <v>569</v>
      </c>
      <c r="J50" s="410">
        <f>B50/F50</f>
        <v>0.16025641025641027</v>
      </c>
      <c r="K50" s="402"/>
      <c r="L50" s="390"/>
    </row>
    <row r="51" spans="1:15" ht="14.2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3.5">
      <c r="A53" s="390"/>
      <c r="B53" s="733" t="s">
        <v>585</v>
      </c>
      <c r="C53" s="733"/>
      <c r="D53" s="733"/>
      <c r="E53" s="733"/>
      <c r="F53" s="733"/>
      <c r="G53" s="733"/>
      <c r="H53" s="733"/>
      <c r="I53" s="733"/>
      <c r="J53" s="733"/>
      <c r="K53" s="733"/>
      <c r="L53" s="390"/>
    </row>
    <row r="54" spans="1:12" ht="13.5">
      <c r="A54" s="390"/>
      <c r="B54" s="520"/>
      <c r="C54" s="520"/>
      <c r="D54" s="520"/>
      <c r="E54" s="520"/>
      <c r="F54" s="520"/>
      <c r="G54" s="520"/>
      <c r="H54" s="520"/>
      <c r="I54" s="520"/>
      <c r="J54" s="520"/>
      <c r="K54" s="520"/>
      <c r="L54" s="390"/>
    </row>
    <row r="55" spans="1:12" ht="13.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9">
        <v>312000000</v>
      </c>
      <c r="D74" s="719"/>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19">
        <v>50000</v>
      </c>
      <c r="D77" s="719"/>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19">
        <v>100000</v>
      </c>
      <c r="D80" s="719"/>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3.5">
      <c r="A86" s="390"/>
      <c r="B86" s="716" t="s">
        <v>603</v>
      </c>
      <c r="C86" s="716"/>
      <c r="D86" s="716"/>
      <c r="E86" s="716"/>
      <c r="F86" s="716"/>
      <c r="G86" s="716"/>
      <c r="H86" s="716"/>
      <c r="I86" s="716"/>
      <c r="J86" s="716"/>
      <c r="K86" s="716"/>
      <c r="L86" s="390"/>
    </row>
    <row r="87" spans="1:12" ht="13.5">
      <c r="A87" s="390"/>
      <c r="B87" s="424"/>
      <c r="C87" s="424"/>
      <c r="D87" s="424"/>
      <c r="E87" s="424"/>
      <c r="F87" s="424"/>
      <c r="G87" s="424"/>
      <c r="H87" s="424"/>
      <c r="I87" s="424"/>
      <c r="J87" s="424"/>
      <c r="K87" s="424"/>
      <c r="L87" s="390"/>
    </row>
    <row r="88" spans="1:12" ht="13.5">
      <c r="A88" s="390"/>
      <c r="B88" s="716" t="s">
        <v>604</v>
      </c>
      <c r="C88" s="716"/>
      <c r="D88" s="716"/>
      <c r="E88" s="716"/>
      <c r="F88" s="716"/>
      <c r="G88" s="716"/>
      <c r="H88" s="716"/>
      <c r="I88" s="716"/>
      <c r="J88" s="716"/>
      <c r="K88" s="716"/>
      <c r="L88" s="390"/>
    </row>
    <row r="89" spans="1:12" ht="13.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9">
        <v>312000000</v>
      </c>
      <c r="D114" s="719"/>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19">
        <v>2500000</v>
      </c>
      <c r="D120" s="719"/>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3.5">
      <c r="A126" s="390"/>
      <c r="B126" s="716" t="s">
        <v>610</v>
      </c>
      <c r="C126" s="716"/>
      <c r="D126" s="716"/>
      <c r="E126" s="716"/>
      <c r="F126" s="716"/>
      <c r="G126" s="716"/>
      <c r="H126" s="716"/>
      <c r="I126" s="716"/>
      <c r="J126" s="716"/>
      <c r="K126" s="716"/>
      <c r="L126" s="436"/>
    </row>
    <row r="127" spans="1:12" ht="13.5">
      <c r="A127" s="390"/>
      <c r="B127" s="520"/>
      <c r="C127" s="520"/>
      <c r="D127" s="520"/>
      <c r="E127" s="520"/>
      <c r="F127" s="520"/>
      <c r="G127" s="520"/>
      <c r="H127" s="520"/>
      <c r="I127" s="520"/>
      <c r="J127" s="520"/>
      <c r="K127" s="520"/>
      <c r="L127" s="436"/>
    </row>
    <row r="128" spans="1:12" ht="13.5">
      <c r="A128" s="390"/>
      <c r="B128" s="716" t="s">
        <v>611</v>
      </c>
      <c r="C128" s="716"/>
      <c r="D128" s="716"/>
      <c r="E128" s="716"/>
      <c r="F128" s="716"/>
      <c r="G128" s="716"/>
      <c r="H128" s="716"/>
      <c r="I128" s="716"/>
      <c r="J128" s="716"/>
      <c r="K128" s="716"/>
      <c r="L128" s="436"/>
    </row>
    <row r="129" spans="1:12" ht="13.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18" t="s">
        <v>613</v>
      </c>
      <c r="D133" s="718"/>
      <c r="E133" s="400"/>
      <c r="F133" s="516" t="s">
        <v>614</v>
      </c>
      <c r="G133" s="400"/>
      <c r="H133" s="718" t="s">
        <v>599</v>
      </c>
      <c r="I133" s="718"/>
      <c r="J133" s="400"/>
      <c r="K133" s="402"/>
      <c r="L133" s="390"/>
    </row>
    <row r="134" spans="1:12" ht="13.5">
      <c r="A134" s="390"/>
      <c r="B134" s="408" t="s">
        <v>592</v>
      </c>
      <c r="C134" s="719">
        <v>100000</v>
      </c>
      <c r="D134" s="719"/>
      <c r="E134" s="516" t="s">
        <v>28</v>
      </c>
      <c r="F134" s="516">
        <v>0.115</v>
      </c>
      <c r="G134" s="516" t="s">
        <v>569</v>
      </c>
      <c r="H134" s="708">
        <f>C134*F134</f>
        <v>11500</v>
      </c>
      <c r="I134" s="708"/>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07" t="s">
        <v>599</v>
      </c>
      <c r="D136" s="707"/>
      <c r="E136" s="418"/>
      <c r="F136" s="512" t="s">
        <v>615</v>
      </c>
      <c r="G136" s="512"/>
      <c r="H136" s="418"/>
      <c r="I136" s="418"/>
      <c r="J136" s="418" t="s">
        <v>616</v>
      </c>
      <c r="K136" s="419"/>
      <c r="L136" s="390"/>
    </row>
    <row r="137" spans="1:12" ht="13.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08" t="s">
        <v>620</v>
      </c>
      <c r="D147" s="708"/>
      <c r="E147" s="516"/>
      <c r="F147" s="454" t="s">
        <v>621</v>
      </c>
      <c r="G147" s="516"/>
      <c r="H147" s="516"/>
      <c r="I147" s="516"/>
      <c r="J147" s="712" t="s">
        <v>622</v>
      </c>
      <c r="K147" s="713"/>
      <c r="L147" s="390"/>
    </row>
    <row r="148" spans="1:12" ht="13.5">
      <c r="A148" s="390"/>
      <c r="B148" s="408"/>
      <c r="C148" s="714">
        <v>52.869</v>
      </c>
      <c r="D148" s="714"/>
      <c r="E148" s="516" t="s">
        <v>28</v>
      </c>
      <c r="F148" s="517">
        <v>312000000</v>
      </c>
      <c r="G148" s="459" t="s">
        <v>570</v>
      </c>
      <c r="H148" s="516">
        <v>1000</v>
      </c>
      <c r="I148" s="516" t="s">
        <v>569</v>
      </c>
      <c r="J148" s="712">
        <f>C148*(F148/1000)</f>
        <v>16495128</v>
      </c>
      <c r="K148" s="715"/>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Honey Creek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5"/>
      <c r="G44" s="673" t="str">
        <f>CONCATENATE("Desired Carryover Into ",E1+1,"")</f>
        <v>Desired Carryover Into 2014</v>
      </c>
      <c r="H44" s="674"/>
      <c r="I44" s="674"/>
      <c r="J44" s="675"/>
      <c r="K44" s="585"/>
    </row>
    <row r="45" spans="2:11" ht="15">
      <c r="B45" s="249"/>
      <c r="C45" s="363"/>
      <c r="D45" s="363"/>
      <c r="E45" s="241"/>
      <c r="F45" s="585"/>
      <c r="G45" s="471"/>
      <c r="H45" s="69"/>
      <c r="I45" s="478"/>
      <c r="J45" s="470"/>
      <c r="K45" s="585"/>
    </row>
    <row r="46" spans="2:11" ht="15">
      <c r="B46" s="249"/>
      <c r="C46" s="363"/>
      <c r="D46" s="363"/>
      <c r="E46" s="241"/>
      <c r="F46" s="585"/>
      <c r="G46" s="469" t="s">
        <v>657</v>
      </c>
      <c r="H46" s="478"/>
      <c r="I46" s="478"/>
      <c r="J46" s="468">
        <v>0</v>
      </c>
      <c r="K46" s="585"/>
    </row>
    <row r="47" spans="2:11" ht="15">
      <c r="B47" s="249"/>
      <c r="C47" s="363"/>
      <c r="D47" s="363"/>
      <c r="E47" s="241"/>
      <c r="F47" s="585"/>
      <c r="G47" s="471" t="s">
        <v>658</v>
      </c>
      <c r="H47" s="69"/>
      <c r="I47" s="69"/>
      <c r="J47" s="586">
        <f>IF(J46=0,"",ROUND((J46+E60-G59)/inputOth!E7*1000,3)-G64)</f>
      </c>
      <c r="K47" s="585"/>
    </row>
    <row r="48" spans="2:11" ht="15">
      <c r="B48" s="249"/>
      <c r="C48" s="363"/>
      <c r="D48" s="363"/>
      <c r="E48" s="241"/>
      <c r="F48" s="585"/>
      <c r="G48" s="567" t="str">
        <f>CONCATENATE("",E1," Tot Exp/Non-Appr Must Be:")</f>
        <v>2013 Tot Exp/Non-Appr Must Be:</v>
      </c>
      <c r="H48" s="557"/>
      <c r="I48" s="556"/>
      <c r="J48" s="568">
        <f>IF(J46&gt;0,IF(E57&lt;E30,IF(J46=G59,E57,((J46-G59)*(1-D59))+E30),E57+(J46-G59)),0)</f>
        <v>0</v>
      </c>
      <c r="K48" s="585"/>
    </row>
    <row r="49" spans="2:11" ht="15">
      <c r="B49" s="249"/>
      <c r="C49" s="363"/>
      <c r="D49" s="363"/>
      <c r="E49" s="241"/>
      <c r="F49" s="585"/>
      <c r="G49" s="569" t="s">
        <v>723</v>
      </c>
      <c r="H49" s="570"/>
      <c r="I49" s="570"/>
      <c r="J49" s="571">
        <f>IF(J46&gt;0,J48-E57,0)</f>
        <v>0</v>
      </c>
      <c r="K49" s="585"/>
    </row>
    <row r="50" spans="2:11" ht="15">
      <c r="B50" s="120" t="s">
        <v>213</v>
      </c>
      <c r="C50" s="372"/>
      <c r="D50" s="372"/>
      <c r="E50" s="175">
        <f>Nhood!E8</f>
      </c>
      <c r="F50" s="585"/>
      <c r="G50" s="585"/>
      <c r="H50" s="585"/>
      <c r="I50" s="585"/>
      <c r="J50" s="585"/>
      <c r="K50" s="585"/>
    </row>
    <row r="51" spans="2:11" ht="15">
      <c r="B51" s="120" t="s">
        <v>212</v>
      </c>
      <c r="C51" s="372"/>
      <c r="D51" s="372"/>
      <c r="E51" s="241"/>
      <c r="F51" s="585"/>
      <c r="G51" s="673" t="str">
        <f>CONCATENATE("Projected Carryover Into ",E1+1,"")</f>
        <v>Projected Carryover Into 2014</v>
      </c>
      <c r="H51" s="738"/>
      <c r="I51" s="738"/>
      <c r="J51" s="739"/>
      <c r="K51" s="585"/>
    </row>
    <row r="52" spans="2:11" ht="15">
      <c r="B52" s="120" t="s">
        <v>555</v>
      </c>
      <c r="C52" s="364">
        <f>IF(C53*0.1&lt;C51,"Exceed 10% Rule","")</f>
      </c>
      <c r="D52" s="364">
        <f>IF(D53*0.1&lt;D51,"Exceed 10% Rule","")</f>
      </c>
      <c r="E52" s="383">
        <f>IF(E53*0.1&lt;E51,"Exceed 10% Rule","")</f>
      </c>
      <c r="F52" s="585"/>
      <c r="G52" s="471"/>
      <c r="H52" s="478"/>
      <c r="I52" s="478"/>
      <c r="J52" s="587"/>
      <c r="K52" s="585"/>
    </row>
    <row r="53" spans="2:11" ht="15">
      <c r="B53" s="232" t="s">
        <v>41</v>
      </c>
      <c r="C53" s="373">
        <f>SUM(C32:C51)</f>
        <v>0</v>
      </c>
      <c r="D53" s="373">
        <f>SUM(D32:D51)</f>
        <v>0</v>
      </c>
      <c r="E53" s="247">
        <f>SUM(E32:E51)</f>
        <v>0</v>
      </c>
      <c r="F53" s="585"/>
      <c r="G53" s="485">
        <f>D54</f>
        <v>0</v>
      </c>
      <c r="H53" s="484" t="str">
        <f>CONCATENATE("",E1-1," Ending Cash Balance (est.)")</f>
        <v>2012 Ending Cash Balance (est.)</v>
      </c>
      <c r="I53" s="572"/>
      <c r="J53" s="587"/>
      <c r="K53" s="585"/>
    </row>
    <row r="54" spans="2:11" ht="15">
      <c r="B54" s="112" t="s">
        <v>121</v>
      </c>
      <c r="C54" s="371">
        <f>C30-C53</f>
        <v>0</v>
      </c>
      <c r="D54" s="371">
        <f>D30-D53</f>
        <v>0</v>
      </c>
      <c r="E54" s="240" t="s">
        <v>28</v>
      </c>
      <c r="F54"/>
      <c r="G54" s="485">
        <f>E29</f>
        <v>0</v>
      </c>
      <c r="H54" s="478" t="str">
        <f>CONCATENATE("",E1," Non-AV Receipts (est.)")</f>
        <v>2013 Non-AV Receipts (est.)</v>
      </c>
      <c r="I54" s="572"/>
      <c r="J54" s="587"/>
      <c r="K54" s="585"/>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2"/>
      <c r="J55" s="587"/>
      <c r="K55" s="573">
        <f>IF(G55=E60,"","Note: Does not include Delinquent Taxes")</f>
      </c>
    </row>
    <row r="56" spans="2:11" ht="15">
      <c r="B56" s="137"/>
      <c r="C56" s="669" t="s">
        <v>652</v>
      </c>
      <c r="D56" s="670"/>
      <c r="E56" s="35"/>
      <c r="F56" s="588">
        <f>IF(E53/0.95-E53&lt;E56,"Exceeds 5%","")</f>
      </c>
      <c r="G56" s="485">
        <f>SUM(G53:G55)</f>
        <v>0</v>
      </c>
      <c r="H56" s="478" t="str">
        <f>CONCATENATE("Total ",E1," Resources Available")</f>
        <v>Total 2013 Resources Available</v>
      </c>
      <c r="I56" s="572"/>
      <c r="J56" s="587"/>
      <c r="K56" s="585"/>
    </row>
    <row r="57" spans="2:11" ht="15">
      <c r="B57" s="382" t="str">
        <f>CONCATENATE(C68,"     ",D68)</f>
        <v>     </v>
      </c>
      <c r="C57" s="671" t="s">
        <v>653</v>
      </c>
      <c r="D57" s="672"/>
      <c r="E57" s="45">
        <f>E53+E56</f>
        <v>0</v>
      </c>
      <c r="F57"/>
      <c r="G57" s="476"/>
      <c r="H57" s="478"/>
      <c r="I57" s="478"/>
      <c r="J57" s="587"/>
      <c r="K57" s="585"/>
    </row>
    <row r="58" spans="2:11" ht="15">
      <c r="B58" s="382" t="str">
        <f>CONCATENATE(C69,"     ",D69)</f>
        <v>     </v>
      </c>
      <c r="C58" s="489"/>
      <c r="D58" s="488" t="s">
        <v>654</v>
      </c>
      <c r="E58" s="42">
        <f>IF(E57-E30&gt;0,E57-E30,0)</f>
        <v>0</v>
      </c>
      <c r="F58"/>
      <c r="G58" s="477">
        <f>C53</f>
        <v>0</v>
      </c>
      <c r="H58" s="478" t="str">
        <f>CONCATENATE("Less ",E1-2," Expenditures")</f>
        <v>Less 2011 Expenditures</v>
      </c>
      <c r="I58" s="478"/>
      <c r="J58" s="587"/>
      <c r="K58" s="585"/>
    </row>
    <row r="59" spans="2:11" ht="15">
      <c r="B59" s="154"/>
      <c r="C59" s="487" t="s">
        <v>655</v>
      </c>
      <c r="D59" s="584">
        <f>inputOth!$E$35</f>
        <v>0</v>
      </c>
      <c r="E59" s="45">
        <f>ROUND(IF(D59&gt;0,(E58*D59),0),0)</f>
        <v>0</v>
      </c>
      <c r="F59"/>
      <c r="G59" s="505">
        <f>G56-G58</f>
        <v>0</v>
      </c>
      <c r="H59" s="467" t="str">
        <f>CONCATENATE("Projected ",E1+1," carryover (est.)")</f>
        <v>Projected 2014 carryover (est.)</v>
      </c>
      <c r="I59" s="575"/>
      <c r="J59" s="589"/>
      <c r="K59" s="585"/>
    </row>
    <row r="60" spans="2:11" ht="15">
      <c r="B60" s="18"/>
      <c r="C60" s="667" t="str">
        <f>CONCATENATE("Amount of  ",$E$1-1," Ad Valorem Tax")</f>
        <v>Amount of  2012 Ad Valorem Tax</v>
      </c>
      <c r="D60" s="668"/>
      <c r="E60" s="42">
        <f>E58+E59</f>
        <v>0</v>
      </c>
      <c r="F60"/>
      <c r="G60" s="585"/>
      <c r="H60" s="585"/>
      <c r="I60" s="585"/>
      <c r="J60" s="585"/>
      <c r="K60" s="585"/>
    </row>
    <row r="61" spans="2:11" ht="15">
      <c r="B61" s="154"/>
      <c r="C61" s="18"/>
      <c r="D61" s="18"/>
      <c r="E61" s="18"/>
      <c r="F61"/>
      <c r="G61" s="664" t="s">
        <v>724</v>
      </c>
      <c r="H61" s="665"/>
      <c r="I61" s="665"/>
      <c r="J61" s="666"/>
      <c r="K61" s="585"/>
    </row>
    <row r="62" spans="2:11" ht="15">
      <c r="B62" s="137" t="s">
        <v>43</v>
      </c>
      <c r="C62" s="251"/>
      <c r="D62" s="18"/>
      <c r="E62" s="18"/>
      <c r="F62"/>
      <c r="G62" s="576"/>
      <c r="H62" s="484"/>
      <c r="I62" s="558"/>
      <c r="J62" s="577"/>
      <c r="K62" s="585"/>
    </row>
    <row r="63" spans="6:11" ht="15">
      <c r="F63"/>
      <c r="G63" s="578" t="e">
        <f>summ!#REF!</f>
        <v>#REF!</v>
      </c>
      <c r="H63" s="484" t="str">
        <f>CONCATENATE("",E1," Fund Mill Rate")</f>
        <v>2013 Fund Mill Rate</v>
      </c>
      <c r="I63" s="558"/>
      <c r="J63" s="577"/>
      <c r="K63" s="585"/>
    </row>
    <row r="64" spans="6:11" ht="15">
      <c r="F64"/>
      <c r="G64" s="580" t="e">
        <f>summ!#REF!</f>
        <v>#REF!</v>
      </c>
      <c r="H64" s="484" t="str">
        <f>CONCATENATE("",E1-1," Fund Mill Rate")</f>
        <v>2012 Fund Mill Rate</v>
      </c>
      <c r="I64" s="558"/>
      <c r="J64" s="577"/>
      <c r="K64" s="585"/>
    </row>
    <row r="65" spans="6:11" ht="15">
      <c r="F65"/>
      <c r="G65" s="581">
        <f>summ!H18</f>
        <v>2.291</v>
      </c>
      <c r="H65" s="484" t="str">
        <f>CONCATENATE("Total ",E1," Mill Rate")</f>
        <v>Total 2013 Mill Rate</v>
      </c>
      <c r="I65" s="558"/>
      <c r="J65" s="577"/>
      <c r="K65" s="585"/>
    </row>
    <row r="66" spans="6:11" ht="15">
      <c r="F66"/>
      <c r="G66" s="580">
        <f>summ!E18</f>
        <v>2.473</v>
      </c>
      <c r="H66" s="582" t="str">
        <f>CONCATENATE("Total ",E1-1," Mill Rate")</f>
        <v>Total 2012 Mill Rate</v>
      </c>
      <c r="I66" s="583"/>
      <c r="J66" s="78"/>
      <c r="K66" s="585"/>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Honey Creek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3" t="str">
        <f>CONCATENATE("Desired Carryover Into ",E3+1,"")</f>
        <v>Desired Carryover Into 2014</v>
      </c>
      <c r="H25" s="674"/>
      <c r="I25" s="674"/>
      <c r="J25" s="675"/>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6">
        <f>IF(J27=0,"",ROUND((J27+E40-G40)/inputOth!E7*1000,3)-G45)</f>
      </c>
      <c r="K28" s="16"/>
    </row>
    <row r="29" spans="2:11" ht="15">
      <c r="B29" s="227"/>
      <c r="C29" s="363"/>
      <c r="D29" s="363"/>
      <c r="E29" s="197"/>
      <c r="F29" s="16"/>
      <c r="G29" s="567" t="str">
        <f>CONCATENATE("",E3," Tot Exp/Non-Appr Must Be:")</f>
        <v>2013 Tot Exp/Non-Appr Must Be:</v>
      </c>
      <c r="H29" s="557"/>
      <c r="I29" s="556"/>
      <c r="J29" s="568">
        <f>IF(J27&gt;0,IF(E37&lt;E22,IF(J27=G40,E37,((J27-G40)*(1-D39))+E22),E37+(J27-G40)),0)</f>
        <v>0</v>
      </c>
      <c r="K29" s="16"/>
    </row>
    <row r="30" spans="2:11" ht="15">
      <c r="B30" s="120" t="s">
        <v>213</v>
      </c>
      <c r="C30" s="363"/>
      <c r="D30" s="363"/>
      <c r="E30" s="202">
        <f>Nhood!E9</f>
      </c>
      <c r="F30" s="16"/>
      <c r="G30" s="569" t="s">
        <v>723</v>
      </c>
      <c r="H30" s="570"/>
      <c r="I30" s="570"/>
      <c r="J30" s="571">
        <f>IF(J27&gt;0,J29-E37,0)</f>
        <v>0</v>
      </c>
      <c r="K30" s="16"/>
    </row>
    <row r="31" spans="2:11" ht="15">
      <c r="B31" s="120" t="s">
        <v>212</v>
      </c>
      <c r="C31" s="227"/>
      <c r="D31" s="227"/>
      <c r="E31" s="197"/>
      <c r="F31" s="16"/>
      <c r="G31" s="16"/>
      <c r="H31" s="16"/>
      <c r="I31" s="16"/>
      <c r="J31" s="585"/>
      <c r="K31" s="16"/>
    </row>
    <row r="32" spans="2:11" ht="15">
      <c r="B32" s="120" t="s">
        <v>555</v>
      </c>
      <c r="C32" s="364">
        <f>IF(C33*0.1&lt;C31,"Exceed 10% Rule","")</f>
      </c>
      <c r="D32" s="364">
        <f>IF(D33*0.1&lt;D31,"Exceed 10% Rule","")</f>
      </c>
      <c r="E32" s="383">
        <f>IF(E33*0.1&lt;E31,"Exceed 10% Rule","")</f>
      </c>
      <c r="F32" s="16"/>
      <c r="G32" s="673" t="str">
        <f>CONCATENATE("Projected Carryover Into ",E3+1,"")</f>
        <v>Projected Carryover Into 2014</v>
      </c>
      <c r="H32" s="738"/>
      <c r="I32" s="738"/>
      <c r="J32" s="739"/>
      <c r="K32" s="16"/>
    </row>
    <row r="33" spans="2:11" ht="15">
      <c r="B33" s="232" t="s">
        <v>41</v>
      </c>
      <c r="C33" s="365">
        <f>SUM(C24:C31)</f>
        <v>0</v>
      </c>
      <c r="D33" s="365">
        <f>SUM(D24:D31)</f>
        <v>0</v>
      </c>
      <c r="E33" s="233">
        <f>SUM(E24:E31)</f>
        <v>0</v>
      </c>
      <c r="F33" s="16"/>
      <c r="G33" s="471"/>
      <c r="H33" s="478"/>
      <c r="I33" s="478"/>
      <c r="J33" s="590"/>
      <c r="K33" s="16"/>
    </row>
    <row r="34" spans="2:11" ht="15">
      <c r="B34" s="118" t="s">
        <v>121</v>
      </c>
      <c r="C34" s="366">
        <f>C22-C33</f>
        <v>0</v>
      </c>
      <c r="D34" s="366">
        <f>D22-D33</f>
        <v>0</v>
      </c>
      <c r="E34" s="127" t="s">
        <v>28</v>
      </c>
      <c r="F34" s="16"/>
      <c r="G34" s="485">
        <f>D34</f>
        <v>0</v>
      </c>
      <c r="H34" s="484" t="str">
        <f>CONCATENATE("",E3-1," Ending Cash Balance (est.)")</f>
        <v>2012 Ending Cash Balance (est.)</v>
      </c>
      <c r="I34" s="572"/>
      <c r="J34" s="590"/>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2"/>
      <c r="J35" s="590"/>
      <c r="K35" s="16"/>
    </row>
    <row r="36" spans="2:11" ht="15">
      <c r="B36" s="137"/>
      <c r="C36" s="669" t="s">
        <v>652</v>
      </c>
      <c r="D36" s="670"/>
      <c r="E36" s="35"/>
      <c r="F36" s="598">
        <f>IF(E33/0.95-E33&lt;E36,"Exceeds 5%","")</f>
      </c>
      <c r="G36" s="477">
        <f>IF(E39&gt;0,E38,E40)</f>
        <v>0</v>
      </c>
      <c r="H36" s="478" t="str">
        <f>CONCATENATE("",E3," Ad Valorem Tax (est.)")</f>
        <v>2013 Ad Valorem Tax (est.)</v>
      </c>
      <c r="I36" s="572"/>
      <c r="J36" s="591"/>
      <c r="K36" s="573">
        <f>IF(G36=E40,"","Note: Does not include Delinquent Taxes")</f>
      </c>
    </row>
    <row r="37" spans="2:11" ht="15">
      <c r="B37" s="382" t="str">
        <f>CONCATENATE(C87,"     ",D87)</f>
        <v>     </v>
      </c>
      <c r="C37" s="671" t="s">
        <v>653</v>
      </c>
      <c r="D37" s="672"/>
      <c r="E37" s="45">
        <f>E33+E36</f>
        <v>0</v>
      </c>
      <c r="G37" s="485">
        <f>SUM(G34:G36)</f>
        <v>0</v>
      </c>
      <c r="H37" s="478" t="str">
        <f>CONCATENATE("Total ",E3," Resources Available")</f>
        <v>Total 2013 Resources Available</v>
      </c>
      <c r="I37" s="572"/>
      <c r="J37" s="590"/>
      <c r="K37" s="16"/>
    </row>
    <row r="38" spans="2:11" ht="15">
      <c r="B38" s="382" t="str">
        <f>CONCATENATE(C88,"     ",D88)</f>
        <v>     </v>
      </c>
      <c r="C38" s="489"/>
      <c r="D38" s="488" t="s">
        <v>654</v>
      </c>
      <c r="E38" s="42">
        <f>IF(E37-E22&gt;0,E37-E22,0)</f>
        <v>0</v>
      </c>
      <c r="F38" s="16"/>
      <c r="G38" s="476"/>
      <c r="H38" s="478"/>
      <c r="I38" s="478"/>
      <c r="J38" s="590"/>
      <c r="K38" s="16"/>
    </row>
    <row r="39" spans="2:11" ht="15">
      <c r="B39" s="154"/>
      <c r="C39" s="487" t="s">
        <v>655</v>
      </c>
      <c r="D39" s="584">
        <f>inputOth!$E$35</f>
        <v>0</v>
      </c>
      <c r="E39" s="45">
        <f>ROUND(IF(D39&gt;0,(E38*D39),0),0)</f>
        <v>0</v>
      </c>
      <c r="F39" s="16"/>
      <c r="G39" s="477">
        <f>ROUND(C33*0.05+C33,0)</f>
        <v>0</v>
      </c>
      <c r="H39" s="478" t="str">
        <f>CONCATENATE("Less ",E3-2," Expenditures + 5%")</f>
        <v>Less 2011 Expenditures + 5%</v>
      </c>
      <c r="I39" s="572"/>
      <c r="J39" s="590"/>
      <c r="K39" s="16"/>
    </row>
    <row r="40" spans="2:11" ht="15">
      <c r="B40" s="18"/>
      <c r="C40" s="667" t="str">
        <f>CONCATENATE("Amount of  ",$E$3-1," Ad Valorem Tax")</f>
        <v>Amount of  2012 Ad Valorem Tax</v>
      </c>
      <c r="D40" s="668"/>
      <c r="E40" s="42">
        <f>E38+E39</f>
        <v>0</v>
      </c>
      <c r="F40" s="16"/>
      <c r="G40" s="505">
        <f>G37-G39</f>
        <v>0</v>
      </c>
      <c r="H40" s="467" t="str">
        <f>CONCATENATE("Projected ",E3+1," carryover (est.)")</f>
        <v>Projected 2014 carryover (est.)</v>
      </c>
      <c r="I40" s="575"/>
      <c r="J40" s="592"/>
      <c r="K40" s="16"/>
    </row>
    <row r="41" spans="2:11" ht="15">
      <c r="B41" s="18"/>
      <c r="C41" s="18"/>
      <c r="D41" s="18"/>
      <c r="E41" s="18"/>
      <c r="F41" s="16"/>
      <c r="G41" s="585"/>
      <c r="H41" s="585"/>
      <c r="I41" s="585"/>
      <c r="J41" s="585"/>
      <c r="K41" s="16"/>
    </row>
    <row r="42" spans="2:11" ht="1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2011</v>
      </c>
      <c r="D44" s="369" t="str">
        <f>D6</f>
        <v>Estimate for 2012</v>
      </c>
      <c r="E44" s="223" t="str">
        <f>E6</f>
        <v>Year for 2013</v>
      </c>
      <c r="F44" s="16"/>
      <c r="G44" s="578" t="e">
        <f>summ!#REF!</f>
        <v>#REF!</v>
      </c>
      <c r="H44" s="484" t="str">
        <f>CONCATENATE("",E3," Fund Mill Rate")</f>
        <v>2013 Fund Mill Rate</v>
      </c>
      <c r="I44" s="558"/>
      <c r="J44" s="577"/>
      <c r="K44" s="16"/>
    </row>
    <row r="45" spans="2:11" ht="15">
      <c r="B45" s="118" t="s">
        <v>120</v>
      </c>
      <c r="C45" s="363"/>
      <c r="D45" s="370">
        <f>C72</f>
        <v>0</v>
      </c>
      <c r="E45" s="45">
        <f>D72</f>
        <v>0</v>
      </c>
      <c r="F45" s="16"/>
      <c r="G45" s="580" t="e">
        <f>summ!#REF!</f>
        <v>#REF!</v>
      </c>
      <c r="H45" s="484" t="str">
        <f>CONCATENATE("",E3-1," Fund Mill Rate")</f>
        <v>2012 Fund Mill Rate</v>
      </c>
      <c r="I45" s="558"/>
      <c r="J45" s="577"/>
      <c r="K45" s="16"/>
    </row>
    <row r="46" spans="2:11" ht="15">
      <c r="B46" s="225" t="s">
        <v>122</v>
      </c>
      <c r="C46" s="226"/>
      <c r="D46" s="226"/>
      <c r="E46" s="122"/>
      <c r="F46" s="16"/>
      <c r="G46" s="581">
        <f>summ!H18</f>
        <v>2.291</v>
      </c>
      <c r="H46" s="484" t="str">
        <f>CONCATENATE("Total ",E3," Mill Rate")</f>
        <v>Total 2013 Mill Rate</v>
      </c>
      <c r="I46" s="558"/>
      <c r="J46" s="577"/>
      <c r="K46" s="16"/>
    </row>
    <row r="47" spans="2:11" ht="15">
      <c r="B47" s="118" t="s">
        <v>33</v>
      </c>
      <c r="C47" s="363"/>
      <c r="D47" s="370">
        <f>IF(inputPrYr!H18&gt;0,inputPrYr!G23,inputPrYr!E23)</f>
        <v>0</v>
      </c>
      <c r="E47" s="127" t="s">
        <v>28</v>
      </c>
      <c r="F47" s="16"/>
      <c r="G47" s="580">
        <f>summ!E18</f>
        <v>2.473</v>
      </c>
      <c r="H47" s="582" t="str">
        <f>CONCATENATE("Total ",E3-1," Mill Rate")</f>
        <v>Total 2012 Mill Rate</v>
      </c>
      <c r="I47" s="583"/>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3" t="str">
        <f>CONCATENATE("Desired Carryover Into ",E3+1,"")</f>
        <v>Desired Carryover Into 2014</v>
      </c>
      <c r="H65" s="674"/>
      <c r="I65" s="674"/>
      <c r="J65" s="675"/>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6">
        <f>IF(J67=0,"",ROUND((J67+E81-G80)/inputOth!E7*1000,3)-G85)</f>
      </c>
      <c r="K68" s="16"/>
    </row>
    <row r="69" spans="2:11" ht="15">
      <c r="B69" s="120" t="s">
        <v>212</v>
      </c>
      <c r="C69" s="227"/>
      <c r="D69" s="227"/>
      <c r="E69" s="197"/>
      <c r="F69" s="16"/>
      <c r="G69" s="567" t="str">
        <f>CONCATENATE("",E3," Tot Exp/Non-Appr Must Be:")</f>
        <v>2013 Tot Exp/Non-Appr Must Be:</v>
      </c>
      <c r="H69" s="557"/>
      <c r="I69" s="556"/>
      <c r="J69" s="568">
        <f>IF(J67&gt;0,IF(E75&lt;E60,IF(J67=G80,E75,((J67-G80)*(1-D77))+E60),E75+(J67-G80)),0)</f>
        <v>0</v>
      </c>
      <c r="K69" s="16"/>
    </row>
    <row r="70" spans="2:11" ht="1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
      <c r="B71" s="232" t="s">
        <v>41</v>
      </c>
      <c r="C71" s="365">
        <f>SUM(C62:C69)</f>
        <v>0</v>
      </c>
      <c r="D71" s="365">
        <f>SUM(D62:D69)</f>
        <v>0</v>
      </c>
      <c r="E71" s="233">
        <f>SUM(E62:E69)</f>
        <v>0</v>
      </c>
      <c r="F71" s="16"/>
      <c r="G71" s="16"/>
      <c r="H71" s="16"/>
      <c r="I71" s="16"/>
      <c r="J71" s="585"/>
      <c r="K71" s="16"/>
    </row>
    <row r="72" spans="2:11" ht="15">
      <c r="B72" s="118" t="s">
        <v>121</v>
      </c>
      <c r="C72" s="366">
        <f>C60-C71</f>
        <v>0</v>
      </c>
      <c r="D72" s="366">
        <f>D60-D71</f>
        <v>0</v>
      </c>
      <c r="E72" s="127" t="s">
        <v>28</v>
      </c>
      <c r="F72" s="16"/>
      <c r="G72" s="673" t="str">
        <f>CONCATENATE("Projected Carryover Into ",E3+1,"")</f>
        <v>Projected Carryover Into 2014</v>
      </c>
      <c r="H72" s="740"/>
      <c r="I72" s="740"/>
      <c r="J72" s="739"/>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69" t="s">
        <v>652</v>
      </c>
      <c r="D74" s="670"/>
      <c r="E74" s="35"/>
      <c r="F74" s="599">
        <f>IF(E71/0.95-E71&lt;E74,"Exceeds 5%","")</f>
      </c>
      <c r="G74" s="485">
        <f>D72</f>
        <v>0</v>
      </c>
      <c r="H74" s="484" t="str">
        <f>CONCATENATE("",E3-1," Ending Cash Balance (est.)")</f>
        <v>2012 Ending Cash Balance (est.)</v>
      </c>
      <c r="I74" s="572"/>
      <c r="J74" s="479"/>
      <c r="K74" s="16"/>
    </row>
    <row r="75" spans="2:11" ht="15">
      <c r="B75" s="382" t="str">
        <f>CONCATENATE(C89,"     ",D89)</f>
        <v>     </v>
      </c>
      <c r="C75" s="671" t="s">
        <v>653</v>
      </c>
      <c r="D75" s="672"/>
      <c r="E75" s="45">
        <f>E71+E74</f>
        <v>0</v>
      </c>
      <c r="F75" s="16"/>
      <c r="G75" s="485">
        <f>E59</f>
        <v>0</v>
      </c>
      <c r="H75" s="478" t="str">
        <f>CONCATENATE("",E3," Non-AV Receipts (est.)")</f>
        <v>2013 Non-AV Receipts (est.)</v>
      </c>
      <c r="I75" s="572"/>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2"/>
      <c r="J76" s="479"/>
      <c r="K76" s="573">
        <f>IF(G76=E78,"","Note: Does not include Delinquent Taxes")</f>
      </c>
    </row>
    <row r="77" spans="2:11" ht="15">
      <c r="B77" s="154"/>
      <c r="C77" s="487" t="s">
        <v>655</v>
      </c>
      <c r="D77" s="584">
        <f>inputOth!$E$35</f>
        <v>0</v>
      </c>
      <c r="E77" s="45">
        <f>ROUND(IF(D77&gt;0,(E76*D77),0),0)</f>
        <v>0</v>
      </c>
      <c r="G77" s="593">
        <f>SUM(G74:G76)</f>
        <v>0</v>
      </c>
      <c r="H77" s="478" t="str">
        <f>CONCATENATE("Total ",E3," Resources Available")</f>
        <v>Total 2013 Resources Available</v>
      </c>
      <c r="I77" s="479"/>
      <c r="J77" s="479"/>
      <c r="K77" s="16"/>
    </row>
    <row r="78" spans="2:11" ht="15">
      <c r="B78" s="18"/>
      <c r="C78" s="667" t="str">
        <f>CONCATENATE("Amount of  ",$E$3-1," Ad Valorem Tax")</f>
        <v>Amount of  2012 Ad Valorem Tax</v>
      </c>
      <c r="D78" s="668"/>
      <c r="E78" s="42">
        <f>E76+E77</f>
        <v>0</v>
      </c>
      <c r="F78" s="16"/>
      <c r="G78" s="594"/>
      <c r="H78" s="491"/>
      <c r="I78" s="69"/>
      <c r="J78" s="479"/>
      <c r="K78" s="16"/>
    </row>
    <row r="79" spans="2:11" ht="15">
      <c r="B79" s="18"/>
      <c r="C79" s="155"/>
      <c r="D79" s="155"/>
      <c r="E79" s="155"/>
      <c r="F79" s="16"/>
      <c r="G79" s="595">
        <f>ROUND(C71*0.05+C71,0)</f>
        <v>0</v>
      </c>
      <c r="H79" s="491" t="str">
        <f>CONCATENATE("Less ",E3-2," Expenditures + 5%")</f>
        <v>Less 2011 Expenditures + 5%</v>
      </c>
      <c r="I79" s="479"/>
      <c r="J79" s="479"/>
      <c r="K79" s="16"/>
    </row>
    <row r="80" spans="2:11" ht="15">
      <c r="B80" s="137" t="s">
        <v>43</v>
      </c>
      <c r="C80" s="251"/>
      <c r="D80" s="18"/>
      <c r="E80" s="18"/>
      <c r="F80" s="16"/>
      <c r="G80" s="596">
        <f>G77-G79</f>
        <v>0</v>
      </c>
      <c r="H80" s="492" t="str">
        <f>CONCATENATE("Projected ",E3+1," carryover (est.)")</f>
        <v>Projected 2014 carryover (est.)</v>
      </c>
      <c r="I80" s="473"/>
      <c r="J80" s="592"/>
      <c r="K80" s="16"/>
    </row>
    <row r="81" spans="6:11" ht="15">
      <c r="F81" s="16"/>
      <c r="G81" s="585"/>
      <c r="H81" s="585"/>
      <c r="I81" s="585"/>
      <c r="J81" s="16"/>
      <c r="K81" s="16"/>
    </row>
    <row r="82" spans="6:11" ht="15">
      <c r="F82" s="16"/>
      <c r="G82" s="664" t="s">
        <v>724</v>
      </c>
      <c r="H82" s="665"/>
      <c r="I82" s="665"/>
      <c r="J82" s="666"/>
      <c r="K82" s="16"/>
    </row>
    <row r="83" spans="6:11" ht="15">
      <c r="F83" s="16"/>
      <c r="G83" s="576"/>
      <c r="H83" s="484"/>
      <c r="I83" s="558"/>
      <c r="J83" s="577"/>
      <c r="K83" s="16"/>
    </row>
    <row r="84" spans="6:11" ht="15">
      <c r="F84" s="16"/>
      <c r="G84" s="578" t="e">
        <f>summ!#REF!</f>
        <v>#REF!</v>
      </c>
      <c r="H84" s="484" t="str">
        <f>CONCATENATE("",E3," Fund Mill Rate")</f>
        <v>2013 Fund Mill Rate</v>
      </c>
      <c r="I84" s="558"/>
      <c r="J84" s="577"/>
      <c r="K84" s="16"/>
    </row>
    <row r="85" spans="6:11" ht="15">
      <c r="F85" s="16"/>
      <c r="G85" s="580" t="e">
        <f>summ!#REF!</f>
        <v>#REF!</v>
      </c>
      <c r="H85" s="484" t="str">
        <f>CONCATENATE("",E3-1," Fund Mill Rate")</f>
        <v>2012 Fund Mill Rate</v>
      </c>
      <c r="I85" s="558"/>
      <c r="J85" s="577"/>
      <c r="K85" s="16"/>
    </row>
    <row r="86" spans="6:11" ht="15.75" customHeight="1">
      <c r="F86" s="16"/>
      <c r="G86" s="581">
        <f>summ!H18</f>
        <v>2.291</v>
      </c>
      <c r="H86" s="484" t="str">
        <f>CONCATENATE("Total ",E3," Mill Rate")</f>
        <v>Total 2013 Mill Rate</v>
      </c>
      <c r="I86" s="558"/>
      <c r="J86" s="577"/>
      <c r="K86" s="16"/>
    </row>
    <row r="87" spans="3:11" ht="19.5" customHeight="1">
      <c r="C87" s="95">
        <f>IF(C33&gt;C35,"See Tab A","")</f>
      </c>
      <c r="D87" s="95">
        <f>IF(D33&gt;D35,"See Tab C","")</f>
      </c>
      <c r="F87" s="16"/>
      <c r="G87" s="580">
        <f>summ!E18</f>
        <v>2.473</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Honey Creek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2" t="s">
        <v>727</v>
      </c>
    </row>
    <row r="3" ht="15">
      <c r="A3" s="602"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5" sqref="E5"/>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Honey Creek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3" t="s">
        <v>189</v>
      </c>
      <c r="B4" s="624"/>
      <c r="C4" s="624"/>
      <c r="D4" s="624"/>
      <c r="E4" s="624"/>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795867</v>
      </c>
    </row>
    <row r="8" spans="1:5" ht="15">
      <c r="A8" s="66" t="str">
        <f>CONCATENATE("New Improvements for ",inputPrYr!D6-1,"")</f>
        <v>New Improvements for 2012</v>
      </c>
      <c r="B8" s="67"/>
      <c r="C8" s="67"/>
      <c r="D8" s="67"/>
      <c r="E8" s="68">
        <v>12243</v>
      </c>
    </row>
    <row r="9" spans="1:5" ht="15">
      <c r="A9" s="66" t="str">
        <f>CONCATENATE("Personal Property excluding oil, gas, and mobile homes- ",inputPrYr!D6-1,"")</f>
        <v>Personal Property excluding oil, gas, and mobile homes- 2012</v>
      </c>
      <c r="B9" s="67"/>
      <c r="C9" s="67"/>
      <c r="D9" s="67"/>
      <c r="E9" s="68">
        <v>36302</v>
      </c>
    </row>
    <row r="10" spans="1:5" ht="15">
      <c r="A10" s="66" t="str">
        <f>CONCATENATE("Property that has changed in use for ",inputPrYr!D6-1,"")</f>
        <v>Property that has changed in use for 2012</v>
      </c>
      <c r="B10" s="67"/>
      <c r="C10" s="67"/>
      <c r="D10" s="67"/>
      <c r="E10" s="68">
        <v>554</v>
      </c>
    </row>
    <row r="11" spans="1:5" ht="15">
      <c r="A11" s="65" t="str">
        <f>CONCATENATE("Personal Property excluding oil, gas, and mobile homes- ",inputPrYr!D6-2,"")</f>
        <v>Personal Property excluding oil, gas, and mobile homes- 2011</v>
      </c>
      <c r="B11" s="40"/>
      <c r="C11" s="40"/>
      <c r="D11" s="40"/>
      <c r="E11" s="68">
        <v>26303</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3" t="s">
        <v>26</v>
      </c>
      <c r="B15" s="628"/>
      <c r="C15" s="62"/>
      <c r="D15" s="73" t="s">
        <v>58</v>
      </c>
      <c r="E15" s="72"/>
    </row>
    <row r="16" spans="1:5" ht="15">
      <c r="A16" s="65" t="s">
        <v>10</v>
      </c>
      <c r="B16" s="40"/>
      <c r="C16" s="69"/>
      <c r="D16" s="74">
        <v>2.473</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2.473</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716361</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150</v>
      </c>
    </row>
    <row r="28" spans="1:5" ht="15">
      <c r="A28" s="66" t="s">
        <v>15</v>
      </c>
      <c r="B28" s="67"/>
      <c r="C28" s="67"/>
      <c r="D28" s="84"/>
      <c r="E28" s="35">
        <v>5</v>
      </c>
    </row>
    <row r="29" spans="1:5" ht="15">
      <c r="A29" s="66" t="s">
        <v>164</v>
      </c>
      <c r="B29" s="67"/>
      <c r="C29" s="67"/>
      <c r="D29" s="84"/>
      <c r="E29" s="35">
        <v>77</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4" t="str">
        <f>CONCATENATE("From the ",E1-2," Budget Certificate Page")</f>
        <v>From the 2011 Budget Certificate Page</v>
      </c>
      <c r="B38" s="635"/>
      <c r="C38" s="62"/>
      <c r="D38" s="62"/>
      <c r="E38" s="62"/>
    </row>
    <row r="39" spans="1:5" ht="15">
      <c r="A39" s="90"/>
      <c r="B39" s="90" t="str">
        <f>CONCATENATE("",E1-2," Expenditure Amounts")</f>
        <v>2011 Expenditure Amounts</v>
      </c>
      <c r="C39" s="636" t="str">
        <f>CONCATENATE("Note: If the ",E1-2," budget was amended, then the")</f>
        <v>Note: If the 2011 budget was amended, then the</v>
      </c>
      <c r="D39" s="637"/>
      <c r="E39" s="637"/>
    </row>
    <row r="40" spans="1:5" ht="15">
      <c r="A40" s="91" t="s">
        <v>205</v>
      </c>
      <c r="B40" s="91" t="s">
        <v>206</v>
      </c>
      <c r="C40" s="92" t="s">
        <v>207</v>
      </c>
      <c r="D40" s="93"/>
      <c r="E40" s="93"/>
    </row>
    <row r="41" spans="1:5" ht="15">
      <c r="A41" s="94" t="str">
        <f>inputPrYr!B19</f>
        <v>General</v>
      </c>
      <c r="B41" s="56">
        <v>950</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A2" sqref="A2:F2"/>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
      <c r="A3" s="525" t="s">
        <v>701</v>
      </c>
      <c r="B3" s="526" t="s">
        <v>796</v>
      </c>
      <c r="C3" s="526"/>
      <c r="J3" s="527" t="s">
        <v>705</v>
      </c>
    </row>
    <row r="4" spans="1:10" ht="15">
      <c r="A4" s="336"/>
      <c r="B4" s="336"/>
      <c r="C4" s="336"/>
      <c r="D4" s="337"/>
      <c r="E4" s="336"/>
      <c r="F4" s="336"/>
      <c r="J4" s="527" t="s">
        <v>706</v>
      </c>
    </row>
    <row r="5" spans="1:10" ht="15">
      <c r="A5" s="525" t="s">
        <v>702</v>
      </c>
      <c r="B5" s="526" t="s">
        <v>797</v>
      </c>
      <c r="C5" s="336"/>
      <c r="D5" s="337"/>
      <c r="E5" s="336"/>
      <c r="F5" s="336"/>
      <c r="J5" s="527" t="s">
        <v>707</v>
      </c>
    </row>
    <row r="6" spans="1:10" ht="15">
      <c r="A6" s="336"/>
      <c r="B6" s="336"/>
      <c r="C6" s="336"/>
      <c r="D6" s="337"/>
      <c r="E6" s="336"/>
      <c r="F6" s="336"/>
      <c r="J6" s="527" t="s">
        <v>708</v>
      </c>
    </row>
    <row r="7" spans="1:10" ht="15">
      <c r="A7" s="338" t="s">
        <v>314</v>
      </c>
      <c r="B7" s="339" t="s">
        <v>794</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July 28, 2012</v>
      </c>
      <c r="E8" s="336"/>
      <c r="F8" s="336"/>
      <c r="J8" s="527" t="s">
        <v>710</v>
      </c>
    </row>
    <row r="9" spans="1:10" ht="15">
      <c r="A9" s="338" t="s">
        <v>315</v>
      </c>
      <c r="B9" s="339" t="s">
        <v>795</v>
      </c>
      <c r="C9" s="343"/>
      <c r="D9" s="338"/>
      <c r="E9" s="336"/>
      <c r="F9" s="336"/>
      <c r="J9" s="527" t="s">
        <v>711</v>
      </c>
    </row>
    <row r="10" spans="1:10" ht="15">
      <c r="A10" s="338"/>
      <c r="B10" s="338"/>
      <c r="C10" s="338"/>
      <c r="D10" s="338"/>
      <c r="E10" s="336"/>
      <c r="F10" s="336"/>
      <c r="J10" s="527" t="s">
        <v>712</v>
      </c>
    </row>
    <row r="11" spans="1:10" ht="15">
      <c r="A11" s="338" t="s">
        <v>316</v>
      </c>
      <c r="B11" s="344" t="s">
        <v>789</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786</v>
      </c>
      <c r="C14" s="344"/>
      <c r="D14" s="344"/>
      <c r="E14" s="345"/>
      <c r="F14" s="336"/>
    </row>
    <row r="17" spans="1:6" ht="15">
      <c r="A17" s="640" t="s">
        <v>318</v>
      </c>
      <c r="B17" s="640"/>
      <c r="C17" s="338"/>
      <c r="D17" s="338"/>
      <c r="E17" s="338"/>
      <c r="F17" s="336"/>
    </row>
    <row r="18" spans="1:7" ht="15">
      <c r="A18" s="338"/>
      <c r="B18" s="338"/>
      <c r="C18" s="338"/>
      <c r="D18" s="338"/>
      <c r="E18" s="338"/>
      <c r="F18" s="336"/>
      <c r="G18" s="527" t="str">
        <f ca="1">IF(B7="","",INDIRECT(G19))</f>
        <v>July</v>
      </c>
    </row>
    <row r="19" spans="1:7" ht="15">
      <c r="A19" s="338" t="s">
        <v>314</v>
      </c>
      <c r="B19" s="341" t="s">
        <v>319</v>
      </c>
      <c r="C19" s="338"/>
      <c r="D19" s="338"/>
      <c r="E19" s="338"/>
      <c r="G19" s="529" t="str">
        <f>IF(B7="","",CONCATENATE("J",G21))</f>
        <v>J7</v>
      </c>
    </row>
    <row r="20" spans="1:7" ht="15">
      <c r="A20" s="338"/>
      <c r="B20" s="338"/>
      <c r="C20" s="338"/>
      <c r="D20" s="338"/>
      <c r="E20" s="338"/>
      <c r="G20" s="530">
        <f>B7-10</f>
        <v>41118</v>
      </c>
    </row>
    <row r="21" spans="1:7" ht="15">
      <c r="A21" s="338" t="s">
        <v>315</v>
      </c>
      <c r="B21" s="338" t="s">
        <v>320</v>
      </c>
      <c r="C21" s="338"/>
      <c r="D21" s="338"/>
      <c r="E21" s="338"/>
      <c r="G21" s="531">
        <f>IF(B7="","",MONTH(G20))</f>
        <v>7</v>
      </c>
    </row>
    <row r="22" spans="1:7" ht="15">
      <c r="A22" s="338"/>
      <c r="B22" s="338"/>
      <c r="C22" s="338"/>
      <c r="D22" s="338"/>
      <c r="E22" s="338"/>
      <c r="G22" s="532">
        <f>IF(B7="","",DAY(G20))</f>
        <v>28</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4" t="s">
        <v>74</v>
      </c>
      <c r="B2" s="644"/>
      <c r="C2" s="644"/>
      <c r="D2" s="644"/>
      <c r="E2" s="644"/>
      <c r="F2" s="644"/>
      <c r="G2" s="644"/>
    </row>
    <row r="3" spans="1:7" ht="15">
      <c r="A3" s="18"/>
      <c r="B3" s="18"/>
      <c r="C3" s="18"/>
      <c r="D3" s="18"/>
      <c r="E3" s="18"/>
      <c r="F3" s="18"/>
      <c r="G3" s="60">
        <f>inputPrYr!D6</f>
        <v>2013</v>
      </c>
    </row>
    <row r="4" spans="1:7" ht="15">
      <c r="A4" s="645" t="str">
        <f>CONCATENATE("To the Clerk of ",inputPrYr!D4,", State of Kansas")</f>
        <v>To the Clerk of Mitchell County, State of Kansas</v>
      </c>
      <c r="B4" s="645"/>
      <c r="C4" s="645"/>
      <c r="D4" s="645"/>
      <c r="E4" s="645"/>
      <c r="F4" s="645"/>
      <c r="G4" s="645"/>
    </row>
    <row r="5" spans="1:7" ht="15">
      <c r="A5" s="97" t="s">
        <v>150</v>
      </c>
      <c r="B5" s="24"/>
      <c r="C5" s="24"/>
      <c r="D5" s="24"/>
      <c r="E5" s="24"/>
      <c r="F5" s="24"/>
      <c r="G5" s="24"/>
    </row>
    <row r="6" spans="1:7" ht="15">
      <c r="A6" s="625" t="str">
        <f>inputPrYr!D3</f>
        <v>Honey Creek Cemetery</v>
      </c>
      <c r="B6" s="625"/>
      <c r="C6" s="625"/>
      <c r="D6" s="625"/>
      <c r="E6" s="625"/>
      <c r="F6" s="625"/>
      <c r="G6" s="625"/>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6" t="str">
        <f>CONCATENATE("",G3," Adopted Budget")</f>
        <v>2013 Adopted Budget</v>
      </c>
      <c r="F13" s="647"/>
      <c r="G13" s="648"/>
    </row>
    <row r="14" spans="1:8" ht="15">
      <c r="A14" s="17"/>
      <c r="B14" s="18"/>
      <c r="C14" s="18"/>
      <c r="D14" s="40"/>
      <c r="E14" s="100" t="s">
        <v>18</v>
      </c>
      <c r="F14" s="101"/>
      <c r="G14" s="102" t="s">
        <v>19</v>
      </c>
      <c r="H14" s="103"/>
    </row>
    <row r="15" spans="1:7" ht="15">
      <c r="A15" s="18"/>
      <c r="B15" s="18"/>
      <c r="C15" s="18"/>
      <c r="D15" s="101" t="s">
        <v>20</v>
      </c>
      <c r="E15" s="104" t="s">
        <v>206</v>
      </c>
      <c r="F15" s="649" t="str">
        <f>CONCATENATE("Amount of ",G3-1," Ad Valorem Tax")</f>
        <v>Amount of 2012 Ad Valorem Tax</v>
      </c>
      <c r="G15" s="102" t="s">
        <v>21</v>
      </c>
    </row>
    <row r="16" spans="1:7" ht="15">
      <c r="A16" s="17" t="s">
        <v>22</v>
      </c>
      <c r="B16" s="18"/>
      <c r="C16" s="18"/>
      <c r="D16" s="104" t="s">
        <v>23</v>
      </c>
      <c r="E16" s="104" t="s">
        <v>554</v>
      </c>
      <c r="F16" s="649"/>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IF(gen!$E$36&lt;&gt;0,gen!$E$36,"  ")</f>
        <v>2510</v>
      </c>
      <c r="F23" s="546">
        <f>IF(gen!$E$43&lt;&gt;0,gen!$E$43,"  ")</f>
        <v>1823</v>
      </c>
      <c r="G23" s="547" t="str">
        <f>IF(AND(gen!E43=0,$G$32&gt;=0),"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2510</v>
      </c>
      <c r="F30" s="553">
        <f>SUM(F23:F28)</f>
        <v>1823</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0" t="str">
        <f>CONCATENATE("Nov. 1, ",G3," Total Assessed Valuation")</f>
        <v>Nov. 1, 2013 Total Assessed Valuation</v>
      </c>
    </row>
    <row r="34" spans="1:7" ht="15">
      <c r="A34" s="20"/>
      <c r="B34" s="69"/>
      <c r="C34" s="18"/>
      <c r="D34" s="136"/>
      <c r="E34" s="60"/>
      <c r="F34" s="69"/>
      <c r="G34" s="651"/>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7"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2"/>
      <c r="B49" s="653"/>
      <c r="C49" s="18"/>
      <c r="D49" s="69" t="s">
        <v>721</v>
      </c>
      <c r="E49" s="69"/>
      <c r="F49" s="69"/>
      <c r="G49" s="69"/>
    </row>
    <row r="50" spans="1:7" ht="15">
      <c r="A50" s="24" t="s">
        <v>30</v>
      </c>
      <c r="B50" s="24"/>
      <c r="C50" s="18"/>
      <c r="D50" s="654" t="s">
        <v>29</v>
      </c>
      <c r="E50" s="655"/>
      <c r="F50" s="655"/>
      <c r="G50" s="655"/>
    </row>
    <row r="51" spans="1:7" ht="15">
      <c r="A51" s="641"/>
      <c r="B51" s="641"/>
      <c r="C51" s="641"/>
      <c r="D51" s="641"/>
      <c r="E51" s="641"/>
      <c r="F51" s="641"/>
      <c r="G51" s="641"/>
    </row>
    <row r="52" spans="1:7" ht="15">
      <c r="A52" s="642"/>
      <c r="B52" s="642"/>
      <c r="C52" s="642"/>
      <c r="D52" s="642"/>
      <c r="E52" s="642"/>
      <c r="F52" s="642"/>
      <c r="G52" s="642"/>
    </row>
    <row r="53" spans="1:7" ht="15">
      <c r="A53" s="16"/>
      <c r="B53" s="16"/>
      <c r="C53" s="16"/>
      <c r="D53" s="16"/>
      <c r="E53" s="16"/>
      <c r="F53" s="16"/>
      <c r="G53" s="643"/>
    </row>
    <row r="54" spans="1:7" ht="15">
      <c r="A54" s="16"/>
      <c r="B54" s="16"/>
      <c r="C54" s="16"/>
      <c r="D54" s="16"/>
      <c r="E54" s="16"/>
      <c r="F54" s="16"/>
      <c r="G54" s="643"/>
    </row>
    <row r="55" spans="1:7" ht="15">
      <c r="A55" s="16"/>
      <c r="B55" s="16"/>
      <c r="C55" s="16"/>
      <c r="D55" s="16"/>
      <c r="E55" s="16"/>
      <c r="F55" s="16"/>
      <c r="G55" s="643"/>
    </row>
    <row r="56" spans="1:7" ht="15">
      <c r="A56" s="16"/>
      <c r="B56" s="16"/>
      <c r="C56" s="16"/>
      <c r="D56" s="16"/>
      <c r="E56" s="16"/>
      <c r="F56" s="16"/>
      <c r="G56" s="643"/>
    </row>
    <row r="57" spans="1:7" ht="15">
      <c r="A57" s="16"/>
      <c r="B57" s="16"/>
      <c r="C57" s="16"/>
      <c r="D57" s="141"/>
      <c r="E57" s="16"/>
      <c r="F57" s="16"/>
      <c r="G57" s="643"/>
    </row>
    <row r="58" ht="15">
      <c r="G58" s="643"/>
    </row>
    <row r="59" ht="15">
      <c r="G59" s="643"/>
    </row>
    <row r="60" ht="15">
      <c r="G60" s="643"/>
    </row>
    <row r="61" ht="15">
      <c r="G61" s="643"/>
    </row>
    <row r="62" ht="15">
      <c r="G62" s="643"/>
    </row>
    <row r="63" ht="15">
      <c r="G63" s="643"/>
    </row>
    <row r="64" ht="15">
      <c r="G64" s="643"/>
    </row>
    <row r="65" ht="1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Honey Creek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7" t="str">
        <f>CONCATENATE("Computation to Determine Limit for ",J1,"")</f>
        <v>Computation to Determine Limit for 2013</v>
      </c>
      <c r="B3" s="644"/>
      <c r="C3" s="644"/>
      <c r="D3" s="644"/>
      <c r="E3" s="644"/>
      <c r="F3" s="644"/>
      <c r="G3" s="644"/>
      <c r="H3" s="644"/>
      <c r="I3" s="644"/>
      <c r="J3" s="644"/>
    </row>
    <row r="4" spans="1:10" ht="15">
      <c r="A4" s="18"/>
      <c r="B4" s="18"/>
      <c r="C4" s="18"/>
      <c r="D4" s="18"/>
      <c r="E4" s="644"/>
      <c r="F4" s="644"/>
      <c r="G4" s="644"/>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1771</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1771</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12243</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36302</v>
      </c>
      <c r="F14" s="145"/>
      <c r="G14" s="37"/>
      <c r="H14" s="37"/>
      <c r="I14" s="148"/>
      <c r="J14" s="37"/>
    </row>
    <row r="15" spans="1:10" ht="15">
      <c r="A15" s="144"/>
      <c r="B15" s="18" t="s">
        <v>94</v>
      </c>
      <c r="C15" s="18" t="str">
        <f>CONCATENATE("Personal Property ",J1-2,"")</f>
        <v>Personal Property 2011</v>
      </c>
      <c r="D15" s="144" t="s">
        <v>90</v>
      </c>
      <c r="E15" s="41">
        <f>inputOth!E11</f>
        <v>26303</v>
      </c>
      <c r="F15" s="145"/>
      <c r="G15" s="148"/>
      <c r="H15" s="148"/>
      <c r="I15" s="37"/>
      <c r="J15" s="37"/>
    </row>
    <row r="16" spans="1:10" ht="15">
      <c r="A16" s="144"/>
      <c r="B16" s="18" t="s">
        <v>95</v>
      </c>
      <c r="C16" s="18" t="s">
        <v>109</v>
      </c>
      <c r="D16" s="18"/>
      <c r="E16" s="37"/>
      <c r="F16" s="37" t="s">
        <v>87</v>
      </c>
      <c r="G16" s="147">
        <f>IF(E14&gt;E15,E14-E15,0)</f>
        <v>9999</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554</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22796</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795867</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773071</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0.02948758910889168</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52</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1823</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1823</v>
      </c>
    </row>
    <row r="35" spans="1:10" ht="15.75" thickTop="1">
      <c r="A35" s="18"/>
      <c r="B35" s="18"/>
      <c r="C35" s="18"/>
      <c r="D35" s="18"/>
      <c r="E35" s="18"/>
      <c r="F35" s="18"/>
      <c r="G35" s="18"/>
      <c r="H35" s="18"/>
      <c r="I35" s="18"/>
      <c r="J35" s="18"/>
    </row>
    <row r="36" spans="1:10" ht="1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Honey Creek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7" t="s">
        <v>715</v>
      </c>
      <c r="C6" s="657"/>
      <c r="D6" s="657"/>
      <c r="E6" s="657"/>
      <c r="F6" s="657"/>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0" t="str">
        <f>CONCATENATE("",G2-1,"                    Budgeted Funds")</f>
        <v>2012                    Budgeted Funds</v>
      </c>
      <c r="C9" s="658" t="str">
        <f>CONCATENATE("Tax Levy Amount in ",G2-2," Budget")</f>
        <v>Tax Levy Amount in 2011 Budget</v>
      </c>
      <c r="D9" s="646" t="str">
        <f>CONCATENATE("Allocation for Year ",G2,"")</f>
        <v>Allocation for Year 2013</v>
      </c>
      <c r="E9" s="661"/>
      <c r="F9" s="662"/>
      <c r="G9" s="18"/>
      <c r="H9" s="18"/>
      <c r="I9" s="18"/>
      <c r="J9" s="18"/>
    </row>
    <row r="10" spans="1:10" ht="15">
      <c r="A10" s="18"/>
      <c r="B10" s="659"/>
      <c r="C10" s="659"/>
      <c r="D10" s="113" t="s">
        <v>44</v>
      </c>
      <c r="E10" s="113" t="s">
        <v>45</v>
      </c>
      <c r="F10" s="110" t="s">
        <v>82</v>
      </c>
      <c r="G10" s="18"/>
      <c r="H10" s="18"/>
      <c r="I10" s="18"/>
      <c r="J10" s="18"/>
    </row>
    <row r="11" spans="1:10" ht="15">
      <c r="A11" s="18"/>
      <c r="B11" s="36" t="str">
        <f>inputPrYr!B19</f>
        <v>General</v>
      </c>
      <c r="C11" s="122">
        <f>inputPrYr!E19</f>
        <v>1771</v>
      </c>
      <c r="D11" s="122">
        <f>IF(E17=0,0,E17-D12-D13-D14)</f>
        <v>150</v>
      </c>
      <c r="E11" s="122">
        <f>IF(E19=0,0,E19-E12-E13-E14)</f>
        <v>5</v>
      </c>
      <c r="F11" s="122">
        <f>IF(E21=0,0,E21-F12-F13-F14)</f>
        <v>77</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1771</v>
      </c>
      <c r="D15" s="129">
        <f>SUM(D11:D14)</f>
        <v>150</v>
      </c>
      <c r="E15" s="129">
        <f>SUM(E11:E14)</f>
        <v>5</v>
      </c>
      <c r="F15" s="202">
        <f>SUM(F11:F14)</f>
        <v>77</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150</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5</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77</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0.08469791078486731</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0.00282326369282891</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0.043478260869565216</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Honey Creek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2012-07-18T18:27:34Z</cp:lastPrinted>
  <dcterms:created xsi:type="dcterms:W3CDTF">1999-08-06T13:59:57Z</dcterms:created>
  <dcterms:modified xsi:type="dcterms:W3CDTF">2012-08-07T16:09:24Z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