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<sst xmlns="http://schemas.openxmlformats.org/spreadsheetml/2006/main" count="1181" uniqueCount="802">
  <si>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</si>
  <si>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</si>
  <si>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</si>
  <si>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</si>
  <si>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</si>
  <si>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</si>
  <si>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</si>
  <si>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</si>
  <si>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</si>
  <si>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</si>
  <si>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</si>
  <si>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</si>
  <si>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</si>
  <si>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</si>
  <si>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</si>
  <si>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</si>
  <si>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</si>
  <si>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</si>
  <si>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</si>
  <si>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</si>
  <si>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</si>
  <si>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</si>
  <si>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</si>
  <si>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</si>
  <si>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</si>
  <si>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</si>
  <si>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</si>
  <si>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</si>
  <si>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</si>
  <si>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</si>
  <si>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</si>
  <si>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</si>
  <si>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</si>
  <si>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</si>
  <si>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</si>
  <si>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</si>
  <si>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</si>
  <si>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</si>
  <si>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</si>
  <si>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</si>
  <si>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</si>
  <si>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</si>
  <si>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</si>
  <si>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</si>
  <si>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</si>
  <si>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</si>
  <si>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</si>
  <si>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</si>
  <si>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</si>
  <si>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</si>
  <si>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</si>
  <si>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</si>
  <si>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</si>
  <si>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</si>
  <si>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</si>
  <si>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</si>
  <si>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</si>
  <si>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</si>
  <si>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</si>
  <si>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</si>
  <si>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</si>
  <si>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</si>
  <si>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</si>
  <si>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</si>
  <si>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</si>
  <si>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</si>
  <si>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</si>
  <si>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</si>
  <si>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</si>
  <si>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</si>
  <si>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</si>
  <si>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</si>
  <si>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</si>
  <si>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</si>
  <si>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</si>
  <si>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</si>
  <si>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</si>
  <si>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</si>
  <si>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</si>
  <si>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</si>
  <si>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</si>
  <si>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</si>
  <si>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</si>
  <si>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</si>
  <si>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</si>
  <si>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</si>
  <si>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</si>
  <si>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</si>
  <si>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</si>
  <si>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</si>
  <si>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</si>
  <si>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</si>
  <si>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</si>
  <si>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</si>
  <si>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</si>
  <si>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</si>
  <si>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</si>
  <si>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</si>
  <si>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</si>
  <si>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</si>
  <si>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</si>
  <si>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</si>
  <si>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</si>
  <si>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</si>
  <si>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</si>
  <si>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</si>
  <si>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</si>
  <si>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</si>
  <si>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</si>
  <si>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</si>
  <si>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</si>
  <si>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</si>
  <si>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</si>
  <si>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</si>
  <si>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</si>
  <si>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</si>
  <si>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</si>
  <si>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</si>
  <si>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</si>
  <si>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</si>
  <si>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</si>
  <si>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</si>
  <si>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</si>
  <si>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</si>
  <si>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</si>
  <si>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</si>
  <si>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</si>
  <si>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</si>
  <si>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</si>
  <si>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</si>
  <si>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</si>
  <si>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</si>
  <si>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</si>
  <si>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</si>
  <si>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</si>
  <si>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</si>
  <si>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</si>
  <si>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</si>
  <si>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</si>
  <si>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</si>
  <si>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</si>
  <si>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</si>
  <si>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</si>
  <si>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</si>
  <si>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</si>
  <si>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</si>
  <si>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</si>
  <si>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</si>
  <si>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</si>
  <si>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</si>
  <si>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</si>
  <si>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</si>
  <si>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</si>
  <si>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</si>
  <si>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</si>
  <si>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</si>
  <si>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</si>
  <si>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</si>
  <si>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</si>
  <si>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</si>
  <si>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</si>
  <si>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</si>
  <si>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</si>
  <si>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</si>
  <si>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</si>
  <si>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</si>
  <si>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</si>
  <si>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</si>
  <si>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</si>
  <si>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</si>
  <si>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</si>
  <si>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</si>
  <si>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</si>
  <si>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</si>
  <si>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</si>
  <si>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</si>
  <si>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</si>
  <si>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</si>
  <si>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</si>
  <si>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</si>
  <si>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</si>
  <si>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</si>
  <si>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</si>
  <si>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</si>
  <si>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</si>
  <si>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</si>
  <si>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</si>
  <si>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</si>
  <si>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</si>
  <si>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</si>
  <si>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</si>
  <si>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</si>
  <si>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</si>
  <si>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</si>
  <si>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</si>
  <si>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</si>
  <si>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</si>
  <si>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</si>
  <si>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</si>
  <si>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</si>
  <si>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</si>
  <si>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</si>
  <si>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</si>
  <si>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</si>
  <si>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</si>
  <si>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</si>
  <si>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</si>
  <si>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</si>
  <si>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</si>
  <si>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</si>
  <si>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</si>
  <si>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</si>
  <si>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</si>
  <si>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</si>
  <si>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</si>
  <si>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</si>
  <si>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</si>
  <si>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</si>
  <si>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</si>
  <si>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</si>
  <si>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</si>
  <si>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</si>
  <si>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</si>
  <si>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</si>
  <si>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</si>
  <si>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</si>
  <si>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</si>
  <si>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</si>
  <si>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</si>
  <si>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</si>
  <si>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</si>
  <si>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</si>
  <si>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</si>
  <si>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</si>
  <si>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</si>
  <si>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</si>
  <si>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</si>
  <si>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</si>
  <si>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</si>
  <si>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</si>
  <si>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</si>
  <si>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</si>
  <si>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</si>
  <si>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</si>
  <si>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</si>
  <si>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</si>
  <si>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</si>
  <si>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</si>
  <si>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</si>
  <si>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</si>
  <si>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</si>
  <si>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</si>
  <si>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</si>
  <si>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</si>
  <si>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</si>
  <si>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</si>
  <si>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</si>
  <si>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</si>
  <si>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</si>
  <si>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</si>
  <si>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</si>
  <si>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</si>
  <si>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</si>
  <si>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</si>
  <si>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</si>
  <si>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</si>
  <si>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</si>
  <si>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</si>
  <si>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</si>
  <si>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</si>
  <si>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</si>
  <si>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</si>
  <si>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</si>
  <si>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</si>
  <si>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</si>
  <si>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</si>
  <si>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</si>
  <si>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</si>
  <si>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</si>
  <si>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</si>
  <si>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</si>
  <si>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</si>
  <si>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</si>
  <si>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</si>
  <si>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</si>
  <si>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</si>
  <si>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</si>
  <si>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</si>
  <si>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</si>
  <si>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</si>
  <si>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</si>
  <si>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</si>
  <si>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</si>
  <si>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</si>
  <si>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</si>
  <si>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</si>
  <si>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</si>
  <si>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</si>
  <si>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</si>
  <si>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</si>
  <si>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</si>
  <si>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</si>
  <si>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</si>
  <si>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</si>
  <si>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</si>
  <si>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</si>
  <si>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</si>
  <si>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</si>
  <si>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</si>
  <si>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</si>
  <si>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</si>
  <si>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</si>
  <si>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</si>
  <si>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</si>
  <si>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</si>
  <si>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</si>
  <si>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</si>
  <si>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</si>
  <si>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</si>
  <si>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</si>
  <si>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</si>
  <si>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</si>
  <si>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</si>
  <si>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</si>
  <si>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</si>
  <si>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</si>
  <si>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</si>
  <si>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</si>
  <si>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</si>
  <si>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</si>
  <si>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</si>
  <si>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</si>
  <si>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</si>
  <si>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</si>
  <si>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</si>
  <si>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</si>
  <si>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</si>
  <si>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</si>
  <si>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</si>
  <si>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</si>
  <si>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</si>
  <si>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</si>
  <si>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</si>
  <si>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</si>
  <si>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</si>
  <si>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</si>
  <si>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</si>
  <si>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</si>
  <si>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</si>
  <si>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</si>
  <si>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</si>
  <si>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</si>
  <si>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</si>
  <si>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</si>
  <si>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</si>
  <si>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</si>
  <si>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</si>
  <si>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</si>
  <si>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</si>
  <si>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</si>
  <si>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</si>
  <si>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</si>
  <si>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</si>
  <si>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</si>
  <si>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</si>
  <si>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</si>
  <si>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</si>
  <si>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</si>
  <si>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</si>
  <si>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</si>
  <si>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</si>
  <si>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</si>
  <si>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</si>
  <si>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</si>
  <si>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</si>
  <si>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</si>
  <si>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</si>
  <si>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</si>
  <si>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</si>
  <si>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</si>
  <si>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</si>
  <si>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</si>
  <si>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</si>
  <si>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</si>
  <si>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</si>
  <si>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</si>
  <si>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</si>
  <si>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</si>
  <si>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</si>
  <si>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</si>
  <si>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</si>
  <si>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</si>
  <si>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</si>
  <si>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</si>
  <si>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</si>
  <si>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</si>
  <si>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</si>
  <si>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</si>
  <si>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</si>
  <si>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</si>
  <si>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</si>
  <si>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</si>
  <si>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</si>
  <si>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</si>
  <si>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</si>
  <si>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</si>
  <si>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</si>
  <si>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</si>
  <si>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</si>
  <si>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</si>
  <si>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</si>
  <si>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</si>
  <si>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</si>
  <si>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</si>
  <si>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</si>
  <si>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</si>
  <si>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</si>
  <si>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</si>
  <si>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</si>
  <si>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</si>
  <si>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</si>
  <si>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</si>
  <si>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</si>
  <si>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</si>
  <si>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</si>
  <si>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</si>
  <si>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</si>
  <si>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</si>
  <si>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</si>
  <si>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</si>
  <si>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</si>
  <si>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</si>
  <si>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</si>
  <si>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</si>
  <si>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</si>
  <si>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</si>
  <si>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</si>
  <si>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</si>
  <si>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</si>
  <si>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</si>
  <si>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</si>
  <si>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</si>
  <si>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</si>
  <si>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</si>
  <si>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</si>
  <si>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</si>
  <si>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</si>
  <si>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</si>
  <si>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</si>
  <si>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</si>
  <si>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</si>
  <si>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</si>
  <si>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</si>
  <si>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</si>
  <si>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</si>
  <si>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</si>
  <si>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</si>
  <si>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</si>
  <si>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</si>
  <si>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</si>
  <si>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</si>
  <si>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</si>
  <si>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</si>
  <si>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</si>
  <si>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</si>
  <si>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</si>
  <si>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</si>
  <si>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</si>
  <si>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</si>
  <si>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</si>
  <si>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</si>
  <si>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</si>
  <si>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</si>
  <si>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</si>
  <si>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</si>
  <si>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</si>
  <si>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</si>
  <si>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</si>
  <si>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</si>
  <si>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</si>
  <si>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</si>
  <si>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</si>
  <si>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</si>
  <si>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</si>
  <si>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</si>
  <si>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</si>
  <si>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</si>
  <si>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</si>
  <si>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</si>
  <si>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</si>
  <si>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</si>
  <si>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</si>
  <si>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</si>
  <si>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</si>
  <si>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</si>
  <si>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</si>
  <si>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</si>
  <si>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</si>
  <si>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</si>
  <si>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</si>
  <si>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</si>
  <si>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</si>
  <si>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</si>
  <si>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</si>
  <si>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</si>
  <si>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</si>
  <si>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</si>
  <si>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</si>
  <si>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</si>
  <si>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</si>
  <si>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</si>
  <si>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</si>
  <si>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</si>
  <si>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</si>
  <si>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</si>
  <si>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</si>
  <si>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</si>
  <si>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</si>
  <si>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</si>
  <si>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</si>
  <si>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</si>
  <si>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</si>
  <si>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</si>
  <si>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</si>
  <si>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</si>
  <si>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</si>
  <si>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</si>
  <si>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</si>
  <si>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</si>
  <si>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</si>
  <si>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</si>
  <si>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</si>
  <si>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</si>
  <si>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</si>
  <si>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</si>
  <si>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</si>
  <si>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</si>
  <si>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</si>
  <si>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</si>
  <si>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</si>
  <si>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</si>
  <si>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</si>
  <si>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</si>
  <si>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</si>
  <si>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</si>
  <si>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</si>
  <si>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</si>
  <si>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</si>
  <si>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</si>
  <si>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</si>
  <si>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</si>
  <si>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</si>
  <si>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</si>
  <si>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</si>
  <si>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</si>
  <si>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</si>
  <si>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</si>
  <si>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</si>
  <si>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</si>
  <si>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</si>
  <si>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</si>
  <si>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</si>
  <si>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</si>
  <si>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</si>
  <si>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</si>
  <si>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</si>
  <si>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</si>
  <si>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</si>
  <si>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</si>
  <si>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</si>
  <si>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</si>
  <si>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</si>
  <si>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</si>
  <si>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</si>
  <si>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</si>
  <si>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</si>
  <si>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</si>
  <si>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</si>
  <si>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</si>
  <si>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</si>
  <si>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</si>
  <si>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</si>
  <si>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</si>
  <si>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</si>
  <si>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</si>
  <si>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</si>
  <si>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</si>
  <si>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</si>
  <si>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</si>
  <si>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</si>
  <si>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</si>
  <si>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</si>
  <si>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</si>
  <si>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</si>
  <si>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</si>
  <si>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</si>
  <si>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</si>
  <si>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</si>
  <si>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</si>
  <si>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</si>
  <si>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</si>
  <si>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</si>
  <si>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</si>
  <si>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</si>
  <si>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</si>
  <si>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</si>
  <si>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</si>
  <si>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</si>
  <si>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</si>
  <si>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</si>
  <si>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</si>
  <si>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</si>
  <si>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</si>
  <si>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</si>
  <si>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</si>
  <si>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</si>
  <si>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</si>
  <si>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</si>
  <si>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</si>
  <si>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</si>
  <si>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</si>
  <si>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</si>
  <si>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</si>
  <si>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</si>
  <si>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</si>
  <si>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</si>
  <si>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</si>
  <si>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</si>
  <si>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</si>
  <si>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</si>
  <si>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</si>
  <si>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</si>
  <si>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</si>
  <si>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</si>
  <si>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</si>
  <si>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</si>
  <si>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</si>
  <si>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</si>
  <si>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</si>
  <si>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</si>
  <si>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</si>
  <si>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</si>
  <si>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</si>
  <si>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</si>
  <si>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</si>
  <si>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</si>
  <si>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</si>
  <si>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</si>
  <si>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</si>
  <si>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</si>
  <si>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</si>
  <si>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</si>
  <si>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</si>
  <si>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</si>
  <si>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</si>
  <si>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</si>
  <si>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</si>
  <si>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</si>
  <si>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</si>
  <si>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</si>
  <si>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</si>
  <si>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</si>
  <si>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</si>
  <si>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</si>
  <si>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</si>
  <si>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</si>
  <si>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</si>
  <si>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</si>
  <si>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</si>
  <si>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</si>
  <si>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</si>
  <si>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</si>
  <si>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</si>
  <si>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</si>
  <si>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</si>
  <si>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</si>
  <si>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</si>
  <si>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</si>
  <si>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</si>
  <si>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</si>
  <si>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</si>
  <si>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</si>
  <si>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</si>
  <si>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</si>
  <si>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</si>
  <si>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</si>
  <si>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</si>
  <si>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</si>
  <si>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</si>
  <si>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</si>
  <si>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</si>
  <si>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</si>
  <si>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</si>
  <si>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</si>
  <si>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</si>
  <si>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</si>
  <si>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</si>
  <si>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</si>
  <si>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</si>
  <si>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</si>
  <si>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</si>
  <si>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</si>
  <si>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</si>
  <si>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</si>
  <si>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</si>
  <si>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</si>
  <si>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</si>
  <si>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</si>
  <si>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</si>
  <si>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</si>
  <si>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</si>
  <si>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</si>
  <si>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</si>
  <si>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</si>
  <si>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</si>
  <si>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</si>
  <si>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</si>
  <si>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</si>
  <si>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</si>
  <si>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</si>
  <si>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</si>
  <si>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</si>
  <si>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</si>
  <si>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</si>
  <si>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</si>
  <si>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</si>
  <si>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</si>
  <si>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</si>
  <si>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</si>
  <si>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</si>
  <si>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</si>
  <si>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</si>
  <si>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</si>
  <si>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</si>
  <si>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</si>
  <si>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</si>
  <si>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</si>
  <si>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</si>
  <si>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</si>
  <si>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</si>
  <si>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</si>
  <si>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</si>
  <si>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</si>
  <si>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</si>
  <si>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</si>
  <si>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</si>
  <si>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</si>
  <si>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</si>
  <si>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</si>
  <si>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</si>
  <si>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</si>
  <si>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</si>
  <si>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</si>
  <si>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</si>
  <si>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</si>
  <si>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</si>
  <si>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</si>
  <si>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</si>
  <si>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</si>
  <si>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</si>
  <si>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</si>
  <si>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</si>
  <si>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</si>
  <si>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</si>
  <si>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</si>
  <si>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</si>
  <si>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</si>
  <si>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</si>
  <si>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</si>
  <si>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</si>
  <si>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</si>
  <si>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</si>
  <si>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</si>
  <si>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</si>
  <si>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</si>
  <si>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</si>
  <si>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</si>
  <si>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</si>
  <si>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</si>
  <si>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</si>
  <si>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</si>
  <si>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</si>
  <si>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</si>
  <si>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</si>
  <si>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</si>
  <si>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Oketo-Blue ValleyCem</t>
  </si>
  <si>
    <t xml:space="preserve">Marshall County </t>
  </si>
  <si>
    <t>15-1015</t>
  </si>
  <si>
    <t>Perpetual Care-Blue Valley</t>
  </si>
  <si>
    <t xml:space="preserve">Perpetual Care-Oketo </t>
  </si>
  <si>
    <t>Barbara Harberts</t>
  </si>
  <si>
    <t>Treasurer</t>
  </si>
  <si>
    <t>Operating Costs</t>
  </si>
  <si>
    <t>Donations</t>
  </si>
  <si>
    <t>D. Novaty</t>
  </si>
  <si>
    <t>Expenses</t>
  </si>
  <si>
    <t>Contributions</t>
  </si>
  <si>
    <t>Co. Treasurer</t>
  </si>
  <si>
    <t>September 5, 2012</t>
  </si>
  <si>
    <t>7:00 p.m.</t>
  </si>
  <si>
    <t>Oketo City Hall</t>
  </si>
  <si>
    <t>502 Grant Ave., Barneston, 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</si>
</sst>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Oketo-Blue ValleyCem</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6">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Oketo-Blue ValleyCem</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49.11</v>
      </c>
      <c r="D7" s="374">
        <f>C62</f>
        <v>139.1600000000003</v>
      </c>
      <c r="E7" s="45">
        <f>D62</f>
        <v>109.16000000000031</v>
      </c>
    </row>
    <row r="8" spans="2:5" ht="15.75">
      <c r="B8" s="226" t="s">
        <v>127</v>
      </c>
      <c r="C8" s="227"/>
      <c r="D8" s="227"/>
      <c r="E8" s="123"/>
    </row>
    <row r="9" spans="2:5" ht="15.75">
      <c r="B9" s="119" t="s">
        <v>33</v>
      </c>
      <c r="C9" s="367">
        <v>2659.45</v>
      </c>
      <c r="D9" s="374">
        <f>IF(inputPrYr!H18&gt;0,inputPrYr!G19,inputPrYr!E19)</f>
        <v>3652</v>
      </c>
      <c r="E9" s="128" t="s">
        <v>28</v>
      </c>
    </row>
    <row r="10" spans="2:5" ht="15.75">
      <c r="B10" s="119" t="s">
        <v>34</v>
      </c>
      <c r="C10" s="367">
        <v>4.32</v>
      </c>
      <c r="D10" s="367"/>
      <c r="E10" s="198"/>
    </row>
    <row r="11" spans="2:5" ht="15.75">
      <c r="B11" s="119" t="s">
        <v>35</v>
      </c>
      <c r="C11" s="367">
        <v>166.87</v>
      </c>
      <c r="D11" s="367">
        <v>109</v>
      </c>
      <c r="E11" s="45">
        <f>mvalloc!D11</f>
        <v>164.38</v>
      </c>
    </row>
    <row r="12" spans="2:5" ht="15.75">
      <c r="B12" s="119" t="s">
        <v>36</v>
      </c>
      <c r="C12" s="367">
        <v>4.15</v>
      </c>
      <c r="D12" s="367">
        <v>3</v>
      </c>
      <c r="E12" s="45">
        <f>mvalloc!E11</f>
        <v>3.94</v>
      </c>
    </row>
    <row r="13" spans="2:5" ht="15.75">
      <c r="B13" s="227" t="s">
        <v>109</v>
      </c>
      <c r="C13" s="367">
        <v>15.61</v>
      </c>
      <c r="D13" s="367">
        <v>14</v>
      </c>
      <c r="E13" s="45">
        <f>mvalloc!F11</f>
        <v>11.02</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2850.4</v>
      </c>
      <c r="D33" s="369">
        <f>SUM(D9:D31)</f>
        <v>3778</v>
      </c>
      <c r="E33" s="234">
        <f>SUM(E9:E31)</f>
        <v>179.34</v>
      </c>
    </row>
    <row r="34" spans="2:5" ht="15.75">
      <c r="B34" s="233" t="s">
        <v>40</v>
      </c>
      <c r="C34" s="369">
        <f>C7+C33</f>
        <v>2899.51</v>
      </c>
      <c r="D34" s="369">
        <f>D7+D33</f>
        <v>3917.1600000000003</v>
      </c>
      <c r="E34" s="234">
        <f>E7+E33</f>
        <v>288.50000000000034</v>
      </c>
    </row>
    <row r="35" spans="2:5" ht="15.75">
      <c r="B35" s="119" t="s">
        <v>41</v>
      </c>
      <c r="C35" s="121"/>
      <c r="D35" s="121"/>
      <c r="E35" s="36"/>
    </row>
    <row r="36" spans="2:5" ht="15.75">
      <c r="B36" s="228" t="s">
        <v>792</v>
      </c>
      <c r="C36" s="367">
        <v>2760.35</v>
      </c>
      <c r="D36" s="367">
        <v>3800</v>
      </c>
      <c r="E36" s="198">
        <v>3950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v>8</v>
      </c>
      <c r="E58" s="203">
        <f>Nhood!E7</f>
        <v>3</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2760.35</v>
      </c>
      <c r="D61" s="369">
        <f>SUM(D36:D59)</f>
        <v>3808</v>
      </c>
      <c r="E61" s="234">
        <f>SUM(E36:E59)</f>
        <v>3953</v>
      </c>
      <c r="F61" s="16"/>
      <c r="G61" s="490">
        <f>D62</f>
        <v>109.16000000000031</v>
      </c>
      <c r="H61" s="489" t="str">
        <f>CONCATENATE("",E3-1," Ending Cash Balance (est.)")</f>
        <v>2012 Ending Cash Balance (est.)</v>
      </c>
      <c r="I61" s="586"/>
      <c r="J61" s="484"/>
      <c r="K61" s="16"/>
    </row>
    <row r="62" spans="2:11" ht="15.75">
      <c r="B62" s="119" t="s">
        <v>126</v>
      </c>
      <c r="C62" s="370">
        <f>C34-C61</f>
        <v>139.1600000000003</v>
      </c>
      <c r="D62" s="370">
        <f>D34-D61</f>
        <v>109.16000000000031</v>
      </c>
      <c r="E62" s="128" t="s">
        <v>28</v>
      </c>
      <c r="F62" s="16"/>
      <c r="G62" s="490">
        <f>E33</f>
        <v>179.34</v>
      </c>
      <c r="H62" s="483" t="str">
        <f>CONCATENATE("",E3," Non-AV Receipts (est.)")</f>
        <v>2013 Non-AV Receipts (est.)</v>
      </c>
      <c r="I62" s="586"/>
      <c r="J62" s="484"/>
      <c r="K62" s="16"/>
    </row>
    <row r="63" spans="2:11" ht="15.75">
      <c r="B63" s="138" t="str">
        <f>CONCATENATE("",E3-2,"/",E3-1," Budget Authority Amount:")</f>
        <v>2011/2012 Budget Authority Amount:</v>
      </c>
      <c r="C63" s="120">
        <f>inputOth!B41</f>
        <v>2881</v>
      </c>
      <c r="D63" s="388">
        <f>inputPrYr!D19</f>
        <v>3808</v>
      </c>
      <c r="E63" s="128" t="s">
        <v>28</v>
      </c>
      <c r="F63" s="251"/>
      <c r="G63" s="482">
        <f>IF(E67&gt;0,E66,E68)</f>
        <v>3664.4999999999995</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3953</v>
      </c>
      <c r="H64" s="483" t="str">
        <f>CONCATENATE("Total ",E3," Resources Available")</f>
        <v>Total 2013 Resources Available</v>
      </c>
      <c r="I64" s="586"/>
      <c r="J64" s="484"/>
      <c r="K64" s="16"/>
    </row>
    <row r="65" spans="2:11" ht="15.75">
      <c r="B65" s="386" t="str">
        <f>CONCATENATE(C81,"     ",D81)</f>
        <v>     </v>
      </c>
      <c r="C65" s="684" t="s">
        <v>660</v>
      </c>
      <c r="D65" s="685"/>
      <c r="E65" s="45">
        <f>E61+E64</f>
        <v>3953</v>
      </c>
      <c r="F65" s="16"/>
      <c r="G65" s="481"/>
      <c r="H65" s="483"/>
      <c r="I65" s="483"/>
      <c r="J65" s="484"/>
      <c r="K65" s="16"/>
    </row>
    <row r="66" spans="2:11" ht="15.75">
      <c r="B66" s="386" t="str">
        <f>CONCATENATE(C82,"     ",D82)</f>
        <v>     </v>
      </c>
      <c r="C66" s="494"/>
      <c r="D66" s="493" t="s">
        <v>661</v>
      </c>
      <c r="E66" s="42">
        <f>IF(E65-E34&gt;0,E65-E34,0)</f>
        <v>3664.4999999999995</v>
      </c>
      <c r="F66" s="16"/>
      <c r="G66" s="482">
        <f>ROUND(C61*0.05+C61,0)</f>
        <v>2898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1055</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3664.4999999999995</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0.468</v>
      </c>
      <c r="H71" s="489" t="str">
        <f>CONCATENATE("",E3," Fund Mill Rate")</f>
        <v>2013 Fund Mill Rate</v>
      </c>
      <c r="I71" s="571"/>
      <c r="J71" s="591"/>
      <c r="K71" s="16"/>
    </row>
    <row r="72" spans="2:11" ht="15.75">
      <c r="B72" s="18"/>
      <c r="C72" s="18"/>
      <c r="D72" s="18"/>
      <c r="E72" s="18"/>
      <c r="F72" s="593"/>
      <c r="G72" s="594">
        <f>summ!E16</f>
        <v>0.443</v>
      </c>
      <c r="H72" s="489" t="str">
        <f>CONCATENATE("",E3-1," Fund Mill Rate")</f>
        <v>2012 Fund Mill Rate</v>
      </c>
      <c r="I72" s="571"/>
      <c r="J72" s="591"/>
      <c r="K72" s="16"/>
    </row>
    <row r="73" spans="2:11" ht="15.75">
      <c r="B73" s="18"/>
      <c r="C73" s="222"/>
      <c r="D73" s="222"/>
      <c r="E73" s="222"/>
      <c r="F73" s="577"/>
      <c r="G73" s="595">
        <f>summ!H23</f>
        <v>0.468</v>
      </c>
      <c r="H73" s="489" t="str">
        <f>CONCATENATE("Total ",E3," Mill Rate")</f>
        <v>Total 2013 Mill Rate</v>
      </c>
      <c r="I73" s="571"/>
      <c r="J73" s="591"/>
      <c r="K73" s="16"/>
    </row>
    <row r="74" spans="2:11" ht="15.75">
      <c r="B74" s="138"/>
      <c r="C74" s="18" t="s">
        <v>228</v>
      </c>
      <c r="D74" s="18"/>
      <c r="E74" s="18"/>
      <c r="F74" s="577"/>
      <c r="G74" s="594">
        <f>summ!E23</f>
        <v>0.443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Oketo-Blue ValleyCem</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0.468</v>
      </c>
      <c r="H65" s="489" t="str">
        <f>CONCATENATE("Total ",E1," Mill Rate")</f>
        <v>Total 2013 Mill Rate</v>
      </c>
      <c r="I65" s="571"/>
      <c r="J65" s="591"/>
      <c r="K65" s="599"/>
    </row>
    <row r="66" spans="6:11" ht="15.75">
      <c r="F66"/>
      <c r="G66" s="594">
        <f>summ!E23</f>
        <v>0.443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Oketo-Blue ValleyCem</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0.468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0.443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0.468</v>
      </c>
      <c r="H86" s="489" t="str">
        <f>CONCATENATE("Total ",E3," Mill Rate")</f>
        <v>Total 2013 Mill Rate</v>
      </c>
      <c r="I86" s="571"/>
      <c r="J86" s="591"/>
      <c r="K86" s="16"/>
    </row>
    <row r="87" spans="3:11" ht="19.5" customHeight="1">
      <c r="C87" s="95">
        <f>IF(C33&gt;C35,"See Tab A","")</f>
      </c>
      <c r="D87" s="95">
        <f>IF(D33&gt;D35,"See Tab C","")</f>
      </c>
      <c r="F87" s="16"/>
      <c r="G87" s="594">
        <f>summ!E23</f>
        <v>0.443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Oketo-Blue ValleyCem</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Oketo-Blue ValleyCem</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Perpetual Care-Blue Valley</v>
      </c>
      <c r="B5" s="693"/>
      <c r="C5" s="692" t="str">
        <f>inputPrYr!B31</f>
        <v>Perpetual Care-Oketo </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4719.22</v>
      </c>
      <c r="C7" s="268" t="s">
        <v>240</v>
      </c>
      <c r="D7" s="267">
        <v>8744.57</v>
      </c>
      <c r="E7" s="268" t="s">
        <v>240</v>
      </c>
      <c r="F7" s="267"/>
      <c r="G7" s="268" t="s">
        <v>240</v>
      </c>
      <c r="H7" s="267"/>
      <c r="I7" s="268" t="s">
        <v>240</v>
      </c>
      <c r="J7" s="267"/>
      <c r="K7" s="269">
        <f>SUM(B7+D7+F7+H7+J7)</f>
        <v>13463.79</v>
      </c>
    </row>
    <row r="8" spans="1:11" ht="15.75">
      <c r="A8" s="270" t="s">
        <v>127</v>
      </c>
      <c r="B8" s="271"/>
      <c r="C8" s="270" t="s">
        <v>127</v>
      </c>
      <c r="D8" s="272"/>
      <c r="E8" s="270" t="s">
        <v>127</v>
      </c>
      <c r="F8" s="255"/>
      <c r="G8" s="270" t="s">
        <v>127</v>
      </c>
      <c r="H8" s="60"/>
      <c r="I8" s="270" t="s">
        <v>127</v>
      </c>
      <c r="J8" s="60"/>
      <c r="K8" s="255"/>
    </row>
    <row r="9" spans="1:11" ht="15.75">
      <c r="A9" s="273" t="s">
        <v>68</v>
      </c>
      <c r="B9" s="267">
        <v>38.23</v>
      </c>
      <c r="C9" s="273" t="s">
        <v>793</v>
      </c>
      <c r="D9" s="267">
        <v>631.67</v>
      </c>
      <c r="E9" s="273"/>
      <c r="F9" s="267"/>
      <c r="G9" s="273"/>
      <c r="H9" s="267"/>
      <c r="I9" s="273"/>
      <c r="J9" s="267"/>
      <c r="K9" s="255"/>
    </row>
    <row r="10" spans="1:11" ht="15.75">
      <c r="A10" s="273" t="s">
        <v>796</v>
      </c>
      <c r="B10" s="267">
        <v>135</v>
      </c>
      <c r="C10" s="273" t="s">
        <v>68</v>
      </c>
      <c r="D10" s="267">
        <v>26.79</v>
      </c>
      <c r="E10" s="273"/>
      <c r="F10" s="267"/>
      <c r="G10" s="273"/>
      <c r="H10" s="267"/>
      <c r="I10" s="273"/>
      <c r="J10" s="267"/>
      <c r="K10" s="255"/>
    </row>
    <row r="11" spans="1:11" ht="15.75">
      <c r="A11" s="273" t="s">
        <v>797</v>
      </c>
      <c r="B11" s="267">
        <v>1154</v>
      </c>
      <c r="C11" s="274" t="s">
        <v>794</v>
      </c>
      <c r="D11" s="275">
        <v>100</v>
      </c>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1327.23</v>
      </c>
      <c r="C17" s="270" t="s">
        <v>39</v>
      </c>
      <c r="D17" s="269">
        <f>SUM(D9:D16)</f>
        <v>758.4599999999999</v>
      </c>
      <c r="E17" s="270" t="s">
        <v>39</v>
      </c>
      <c r="F17" s="283">
        <f>SUM(F9:F16)</f>
        <v>0</v>
      </c>
      <c r="G17" s="270" t="s">
        <v>39</v>
      </c>
      <c r="H17" s="269">
        <f>SUM(H9:H16)</f>
        <v>0</v>
      </c>
      <c r="I17" s="270" t="s">
        <v>39</v>
      </c>
      <c r="J17" s="269">
        <f>SUM(J9:J16)</f>
        <v>0</v>
      </c>
      <c r="K17" s="269">
        <f>SUM(B17+D17+F17+H17+J17)</f>
        <v>2085.69</v>
      </c>
    </row>
    <row r="18" spans="1:11" ht="15.75">
      <c r="A18" s="270" t="s">
        <v>40</v>
      </c>
      <c r="B18" s="269">
        <f>SUM(B7+B17)</f>
        <v>6046.450000000001</v>
      </c>
      <c r="C18" s="270" t="s">
        <v>40</v>
      </c>
      <c r="D18" s="269">
        <f>SUM(D7+D17)</f>
        <v>9503.029999999999</v>
      </c>
      <c r="E18" s="270" t="s">
        <v>40</v>
      </c>
      <c r="F18" s="269">
        <f>SUM(F7+F17)</f>
        <v>0</v>
      </c>
      <c r="G18" s="270" t="s">
        <v>40</v>
      </c>
      <c r="H18" s="269">
        <f>SUM(H7+H17)</f>
        <v>0</v>
      </c>
      <c r="I18" s="270" t="s">
        <v>40</v>
      </c>
      <c r="J18" s="269">
        <f>SUM(J7+J17)</f>
        <v>0</v>
      </c>
      <c r="K18" s="269">
        <f>SUM(B18+D18+F18+H18+J18)</f>
        <v>15549.48</v>
      </c>
    </row>
    <row r="19" spans="1:11" ht="15.75">
      <c r="A19" s="270" t="s">
        <v>41</v>
      </c>
      <c r="B19" s="271"/>
      <c r="C19" s="270" t="s">
        <v>41</v>
      </c>
      <c r="D19" s="272"/>
      <c r="E19" s="270" t="s">
        <v>41</v>
      </c>
      <c r="F19" s="255"/>
      <c r="G19" s="270" t="s">
        <v>41</v>
      </c>
      <c r="H19" s="60"/>
      <c r="I19" s="270" t="s">
        <v>41</v>
      </c>
      <c r="J19" s="60"/>
      <c r="K19" s="255"/>
    </row>
    <row r="20" spans="1:11" ht="15.75">
      <c r="A20" s="273" t="s">
        <v>795</v>
      </c>
      <c r="B20" s="267">
        <v>1150</v>
      </c>
      <c r="C20" s="279" t="s">
        <v>795</v>
      </c>
      <c r="D20" s="267">
        <v>381.6</v>
      </c>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1150</v>
      </c>
      <c r="C28" s="270" t="s">
        <v>42</v>
      </c>
      <c r="D28" s="269">
        <f>SUM(D20:D27)</f>
        <v>381.6</v>
      </c>
      <c r="E28" s="270" t="s">
        <v>42</v>
      </c>
      <c r="F28" s="283">
        <f>SUM(F20:F27)</f>
        <v>0</v>
      </c>
      <c r="G28" s="270" t="s">
        <v>42</v>
      </c>
      <c r="H28" s="283">
        <f>SUM(H20:H27)</f>
        <v>0</v>
      </c>
      <c r="I28" s="270" t="s">
        <v>42</v>
      </c>
      <c r="J28" s="269">
        <f>SUM(J20:J27)</f>
        <v>0</v>
      </c>
      <c r="K28" s="269">
        <f>SUM(B28+D28+F28+H28+J28)</f>
        <v>1531.6</v>
      </c>
    </row>
    <row r="29" spans="1:12" ht="15.75">
      <c r="A29" s="270" t="s">
        <v>241</v>
      </c>
      <c r="B29" s="269">
        <f>SUM(B18-B28)</f>
        <v>4896.450000000001</v>
      </c>
      <c r="C29" s="270" t="s">
        <v>241</v>
      </c>
      <c r="D29" s="269">
        <f>SUM(D18-D28)</f>
        <v>9121.429999999998</v>
      </c>
      <c r="E29" s="270" t="s">
        <v>241</v>
      </c>
      <c r="F29" s="269">
        <f>SUM(F18-F28)</f>
        <v>0</v>
      </c>
      <c r="G29" s="270" t="s">
        <v>241</v>
      </c>
      <c r="H29" s="269">
        <f>SUM(H18-H28)</f>
        <v>0</v>
      </c>
      <c r="I29" s="270" t="s">
        <v>241</v>
      </c>
      <c r="J29" s="269">
        <f>SUM(J18-J28)</f>
        <v>0</v>
      </c>
      <c r="K29" s="284">
        <f>SUM(B29+D29+F29+H29+J29)</f>
        <v>14017.88</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14017.880000000001</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1" sqref="A1:I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Oketo-Blue ValleyCem</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September 5, 2012 at 7:00 p.m. at Oketo City Hall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502 Grant Ave., Barneston, NE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7828</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2760.35</v>
      </c>
      <c r="C16" s="624">
        <f>IF(inputPrYr!D38&gt;0,inputPrYr!D38,"  ")</f>
        <v>0.315</v>
      </c>
      <c r="D16" s="561">
        <f>IF(gen!$D$61&lt;&gt;0,gen!$D$61,"  ")</f>
        <v>3808</v>
      </c>
      <c r="E16" s="627">
        <f>IF(inputOth!D16&gt;0,inputOth!D16,"  ")</f>
        <v>0.443</v>
      </c>
      <c r="F16" s="561">
        <f>IF(gen!$E$61&lt;&gt;0,gen!$E$61,"  ")</f>
        <v>3953</v>
      </c>
      <c r="G16" s="243">
        <f>IF(gen!$E$68&lt;&gt;0,gen!$E$68,"  ")</f>
        <v>3664.4999999999995</v>
      </c>
      <c r="H16" s="624">
        <f>IF(gen!E68&gt;0,ROUND(G16/$F$27*1000,3)," ")</f>
        <v>0.468</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0.443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-196.49999999999955</v>
      </c>
    </row>
    <row r="22" spans="1:13" ht="16.5" thickBot="1">
      <c r="A22" s="124" t="str">
        <f>IF((inputPrYr!$B$30&gt;" "),(NonBud!$A$3),"")</f>
        <v>Non-Budgeted Funds</v>
      </c>
      <c r="B22" s="486">
        <f>IF(NonBud!K28&gt;0,NonBud!K28,"")</f>
        <v>1531.6</v>
      </c>
      <c r="C22" s="625"/>
      <c r="D22" s="623"/>
      <c r="E22" s="628"/>
      <c r="F22" s="623"/>
      <c r="G22" s="630"/>
      <c r="H22" s="625"/>
      <c r="J22" s="512"/>
      <c r="K22" s="512"/>
      <c r="L22" s="512"/>
      <c r="M22" s="512"/>
    </row>
    <row r="23" spans="1:13" ht="15.75">
      <c r="A23" s="33" t="s">
        <v>134</v>
      </c>
      <c r="B23" s="621">
        <f>SUM(B16:B22)</f>
        <v>4291.95</v>
      </c>
      <c r="C23" s="626">
        <f aca="true" t="shared" si="0" ref="C23:H23">SUM(C16:C21)</f>
        <v>0.315</v>
      </c>
      <c r="D23" s="621">
        <f t="shared" si="0"/>
        <v>3808</v>
      </c>
      <c r="E23" s="629">
        <f t="shared" si="0"/>
        <v>0.443</v>
      </c>
      <c r="F23" s="621">
        <f t="shared" si="0"/>
        <v>3953</v>
      </c>
      <c r="G23" s="621">
        <f t="shared" si="0"/>
        <v>3664.4999999999995</v>
      </c>
      <c r="H23" s="629">
        <f t="shared" si="0"/>
        <v>0.468</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4291.95</v>
      </c>
      <c r="C25" s="296"/>
      <c r="D25" s="129">
        <f>SUM(D23-D24)</f>
        <v>3808</v>
      </c>
      <c r="E25" s="296"/>
      <c r="F25" s="485">
        <f>SUM(F23-F24)</f>
        <v>3953</v>
      </c>
      <c r="G25" s="238"/>
      <c r="H25" s="295"/>
      <c r="J25" s="504" t="str">
        <f>CONCATENATE("",I3," Ad Valorem Tax Revenue:")</f>
        <v>2013 Ad Valorem Tax Revenue:</v>
      </c>
      <c r="K25" s="499"/>
      <c r="L25" s="499"/>
      <c r="M25" s="500">
        <f>G23</f>
        <v>3664.4999999999995</v>
      </c>
    </row>
    <row r="26" spans="1:13" ht="16.5" thickTop="1">
      <c r="A26" s="33" t="s">
        <v>54</v>
      </c>
      <c r="B26" s="621">
        <f>inputPrYr!E44</f>
        <v>2679</v>
      </c>
      <c r="C26" s="215"/>
      <c r="D26" s="621">
        <f>inputPrYr!E24</f>
        <v>3652</v>
      </c>
      <c r="E26" s="215"/>
      <c r="F26" s="83" t="s">
        <v>174</v>
      </c>
      <c r="G26" s="18"/>
      <c r="H26" s="18"/>
      <c r="J26" s="504" t="str">
        <f>CONCATENATE("",I3-1," Ad Valorem Tax Revenue:")</f>
        <v>2012 Ad Valorem Tax Revenue:</v>
      </c>
      <c r="K26" s="499"/>
      <c r="L26" s="499"/>
      <c r="M26" s="513">
        <f>ROUND(F27*M18/1000,0)</f>
        <v>3468</v>
      </c>
    </row>
    <row r="27" spans="1:13" ht="15.75">
      <c r="A27" s="33" t="s">
        <v>170</v>
      </c>
      <c r="B27" s="42">
        <f>inputPrYr!E45</f>
        <v>8494532</v>
      </c>
      <c r="C27" s="215"/>
      <c r="D27" s="42">
        <f>inputOth!E24</f>
        <v>8240056</v>
      </c>
      <c r="E27" s="215"/>
      <c r="F27" s="42">
        <f>inputOth!E7</f>
        <v>7827652</v>
      </c>
      <c r="G27" s="18"/>
      <c r="H27" s="18"/>
      <c r="J27" s="514" t="s">
        <v>668</v>
      </c>
      <c r="K27" s="515"/>
      <c r="L27" s="515"/>
      <c r="M27" s="503">
        <f>M25-M26</f>
        <v>196.49999999999955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0.468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Barbara Harberts</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Oketo-Blue ValleyCem</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3662</v>
      </c>
      <c r="D7" s="305">
        <f aca="true" t="shared" si="0" ref="D7:D12">IF(C7&gt;0,C7/$D$18,"")</f>
        <v>0.4678286668850378</v>
      </c>
      <c r="E7" s="120">
        <f aca="true" t="shared" si="1" ref="E7:E12">IF(C7&gt;0,ROUND(D7*$D$22,0),"")</f>
        <v>3</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3662</v>
      </c>
      <c r="D13" s="307">
        <f>SUM(D7:D12)</f>
        <v>0.4678286668850378</v>
      </c>
      <c r="E13" s="306">
        <f>SUM(E7:E12)</f>
        <v>3</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7827652</v>
      </c>
      <c r="E16" s="18"/>
      <c r="F16" s="52"/>
    </row>
    <row r="17" spans="1:6" ht="15.75">
      <c r="A17" s="18"/>
      <c r="B17" s="18"/>
      <c r="C17" s="18"/>
      <c r="D17" s="18"/>
      <c r="E17" s="18"/>
      <c r="F17" s="52"/>
    </row>
    <row r="18" spans="1:6" ht="15.75">
      <c r="A18" s="18"/>
      <c r="B18" s="711" t="s">
        <v>319</v>
      </c>
      <c r="C18" s="711"/>
      <c r="D18" s="309">
        <f>IF(D16&gt;0,(D16*0.001),"")</f>
        <v>7827.652</v>
      </c>
      <c r="E18" s="18"/>
      <c r="F18" s="52"/>
    </row>
    <row r="19" spans="1:6" ht="15.75">
      <c r="A19" s="18"/>
      <c r="B19" s="138"/>
      <c r="C19" s="138"/>
      <c r="D19" s="310"/>
      <c r="E19" s="18"/>
      <c r="F19" s="52"/>
    </row>
    <row r="20" spans="1:6" ht="15.75">
      <c r="A20" s="708" t="s">
        <v>317</v>
      </c>
      <c r="B20" s="704"/>
      <c r="C20" s="704"/>
      <c r="D20" s="311">
        <f>inputOth!E12</f>
        <v>5566</v>
      </c>
      <c r="E20" s="62"/>
      <c r="F20" s="62"/>
    </row>
    <row r="21" spans="1:6" ht="15">
      <c r="A21" s="62"/>
      <c r="B21" s="62"/>
      <c r="C21" s="62"/>
      <c r="D21" s="312"/>
      <c r="E21" s="62"/>
      <c r="F21" s="62"/>
    </row>
    <row r="22" spans="1:6" ht="15.75">
      <c r="A22" s="62"/>
      <c r="B22" s="708" t="s">
        <v>318</v>
      </c>
      <c r="C22" s="709"/>
      <c r="D22" s="313">
        <f>IF(D20&gt;0,(D20*0.001),"")</f>
        <v>5.566</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Oketo-Blue ValleyCem District with respect to financing the 2013 annual budget for Oketo-Blue ValleyCem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Oketo-Blue ValleyCem district budget exceed the amount levied to finance the</v>
      </c>
      <c r="C9"/>
      <c r="D9"/>
      <c r="E9"/>
      <c r="F9"/>
      <c r="G9"/>
      <c r="H9"/>
    </row>
    <row r="10" spans="2:8" ht="15.75">
      <c r="B10" s="12" t="str">
        <f>CONCATENATE("",inputPrYr!D6-1," ",inputPrYr!D3," except with regard to revenue produced and attributable to the")</f>
        <v>2012 Oketo-Blue ValleyCem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Oketo-Blue ValleyCem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Oketo-Blue ValleyCem that is our desire to notify the public of the possibility of increased property taxes to finance the 2013 Oketo-Blue ValleyCem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Oketo-Blue ValleyCem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Oketo-Blue ValleyCem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3808</v>
      </c>
      <c r="E19" s="35">
        <v>3652</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3652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3808</v>
      </c>
      <c r="E28" s="37"/>
    </row>
    <row r="29" spans="1:5" ht="15.75">
      <c r="A29" s="18" t="s">
        <v>244</v>
      </c>
      <c r="B29" s="18"/>
      <c r="C29" s="18"/>
      <c r="D29" s="18"/>
      <c r="E29" s="37"/>
    </row>
    <row r="30" spans="1:5" ht="15.75">
      <c r="A30" s="18">
        <v>1</v>
      </c>
      <c r="B30" s="46" t="s">
        <v>788</v>
      </c>
      <c r="C30" s="18"/>
      <c r="D30" s="18"/>
      <c r="E30" s="37"/>
    </row>
    <row r="31" spans="1:5" ht="15.75">
      <c r="A31" s="18">
        <v>2</v>
      </c>
      <c r="B31" s="46" t="s">
        <v>789</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0.315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0.315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2679</v>
      </c>
    </row>
    <row r="45" spans="1:5" ht="15.75">
      <c r="A45" s="49" t="str">
        <f>CONCATENATE("Assessed Valuation (",D6-2," budget column)")</f>
        <v>Assessed Valuation (2011 budget column)</v>
      </c>
      <c r="B45" s="27"/>
      <c r="C45" s="18"/>
      <c r="D45" s="18"/>
      <c r="E45" s="51">
        <v>8494532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Oketo-Blue ValleyCem</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7827652</v>
      </c>
    </row>
    <row r="8" spans="1:5" ht="15.75">
      <c r="A8" s="66" t="str">
        <f>CONCATENATE("New Improvements for ",inputPrYr!D6-1,"")</f>
        <v>New Improvements for 2012</v>
      </c>
      <c r="B8" s="67"/>
      <c r="C8" s="67"/>
      <c r="D8" s="67"/>
      <c r="E8" s="68">
        <v>30533</v>
      </c>
    </row>
    <row r="9" spans="1:5" ht="15.75">
      <c r="A9" s="66" t="str">
        <f>CONCATENATE("Personal Property excluding oil, gas, and mobile homes- ",inputPrYr!D6-1,"")</f>
        <v>Personal Property excluding oil, gas, and mobile homes- 2012</v>
      </c>
      <c r="B9" s="67"/>
      <c r="C9" s="67"/>
      <c r="D9" s="67"/>
      <c r="E9" s="68">
        <v>83090</v>
      </c>
    </row>
    <row r="10" spans="1:5" ht="15.75">
      <c r="A10" s="66" t="str">
        <f>CONCATENATE("Property that has changed in use for ",inputPrYr!D6-1,"")</f>
        <v>Property that has changed in use for 2012</v>
      </c>
      <c r="B10" s="67"/>
      <c r="C10" s="67"/>
      <c r="D10" s="67"/>
      <c r="E10" s="68">
        <v>13474</v>
      </c>
    </row>
    <row r="11" spans="1:5" ht="15.75">
      <c r="A11" s="65" t="str">
        <f>CONCATENATE("Personal Property excluding oil, gas, and mobile homes- ",inputPrYr!D6-2,"")</f>
        <v>Personal Property excluding oil, gas, and mobile homes- 2011</v>
      </c>
      <c r="B11" s="40"/>
      <c r="C11" s="40"/>
      <c r="D11" s="40"/>
      <c r="E11" s="68">
        <v>77815</v>
      </c>
    </row>
    <row r="12" spans="1:5" ht="15.75">
      <c r="A12" s="66" t="str">
        <f>CONCATENATE("Neighborhood Revitalization - ",E1,"")</f>
        <v>Neighborhood Revitalization - 2013</v>
      </c>
      <c r="B12" s="67"/>
      <c r="C12" s="67"/>
      <c r="D12" s="67"/>
      <c r="E12" s="68">
        <v>5566</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0.443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0.443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8240056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164.38</v>
      </c>
    </row>
    <row r="28" spans="1:5" ht="15.75">
      <c r="A28" s="66" t="s">
        <v>15</v>
      </c>
      <c r="B28" s="67"/>
      <c r="C28" s="67"/>
      <c r="D28" s="84"/>
      <c r="E28" s="35">
        <v>3.94</v>
      </c>
    </row>
    <row r="29" spans="1:5" ht="15.75">
      <c r="A29" s="66" t="s">
        <v>171</v>
      </c>
      <c r="B29" s="67"/>
      <c r="C29" s="67"/>
      <c r="D29" s="84"/>
      <c r="E29" s="35">
        <v>11.02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2881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790</v>
      </c>
      <c r="C3" s="539"/>
      <c r="J3" s="540" t="s">
        <v>714</v>
      </c>
    </row>
    <row r="4" spans="1:10" ht="15.75">
      <c r="A4" s="340"/>
      <c r="B4" s="340"/>
      <c r="C4" s="340"/>
      <c r="D4" s="341"/>
      <c r="E4" s="340"/>
      <c r="F4" s="340"/>
      <c r="J4" s="540" t="s">
        <v>715</v>
      </c>
    </row>
    <row r="5" spans="1:10" ht="15.75">
      <c r="A5" s="538" t="s">
        <v>711</v>
      </c>
      <c r="B5" s="539" t="s">
        <v>791</v>
      </c>
      <c r="C5" s="340"/>
      <c r="D5" s="341"/>
      <c r="E5" s="340"/>
      <c r="F5" s="340"/>
      <c r="J5" s="540" t="s">
        <v>716</v>
      </c>
    </row>
    <row r="6" spans="1:10" ht="15.75">
      <c r="A6" s="340"/>
      <c r="B6" s="340"/>
      <c r="C6" s="340"/>
      <c r="D6" s="341"/>
      <c r="E6" s="340"/>
      <c r="F6" s="340"/>
      <c r="J6" s="540" t="s">
        <v>717</v>
      </c>
    </row>
    <row r="7" spans="1:10" ht="15.75">
      <c r="A7" s="342" t="s">
        <v>321</v>
      </c>
      <c r="B7" s="343" t="s">
        <v>798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26, 2012</v>
      </c>
      <c r="E8" s="340"/>
      <c r="F8" s="340"/>
      <c r="J8" s="540" t="s">
        <v>719</v>
      </c>
    </row>
    <row r="9" spans="1:10" ht="15.75">
      <c r="A9" s="342" t="s">
        <v>322</v>
      </c>
      <c r="B9" s="343" t="s">
        <v>799</v>
      </c>
      <c r="C9" s="347"/>
      <c r="D9" s="342"/>
      <c r="E9" s="340"/>
      <c r="F9" s="340"/>
      <c r="J9" s="540" t="s">
        <v>720</v>
      </c>
    </row>
    <row r="10" spans="1:10" ht="15.75">
      <c r="A10" s="342"/>
      <c r="B10" s="342"/>
      <c r="C10" s="342"/>
      <c r="D10" s="342"/>
      <c r="E10" s="340"/>
      <c r="F10" s="340"/>
      <c r="J10" s="540" t="s">
        <v>721</v>
      </c>
    </row>
    <row r="11" spans="1:10" ht="15.75">
      <c r="A11" s="342" t="s">
        <v>323</v>
      </c>
      <c r="B11" s="348" t="s">
        <v>800</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801</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41147</v>
      </c>
    </row>
    <row r="21" spans="1:7" ht="15.75">
      <c r="A21" s="342" t="s">
        <v>322</v>
      </c>
      <c r="B21" s="342" t="s">
        <v>327</v>
      </c>
      <c r="C21" s="342"/>
      <c r="D21" s="342"/>
      <c r="E21" s="342"/>
      <c r="G21" s="544">
        <f>IF(B7="","",MONTH(G20))</f>
        <v>8</v>
      </c>
    </row>
    <row r="22" spans="1:7" ht="15.75">
      <c r="A22" s="342"/>
      <c r="B22" s="342"/>
      <c r="C22" s="342"/>
      <c r="D22" s="342"/>
      <c r="E22" s="342"/>
      <c r="G22" s="545">
        <f>IF(B7="","",DAY(G20))</f>
        <v>26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Oketo-Blue ValleyCem</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3953</v>
      </c>
      <c r="F23" s="559">
        <f>IF(gen!$E$68&lt;&gt;0,gen!$E$68,"  ")</f>
        <v>3664.4999999999995</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3953</v>
      </c>
      <c r="F30" s="566">
        <f>SUM(F23:F28)</f>
        <v>3664.4999999999995</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v>9</v>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Oketo-Blue ValleyCem</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3652</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3652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30533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83090</v>
      </c>
      <c r="F14" s="146"/>
      <c r="G14" s="37"/>
      <c r="H14" s="37"/>
      <c r="I14" s="149"/>
      <c r="J14" s="37"/>
    </row>
    <row r="15" spans="1:10" ht="15.75">
      <c r="A15" s="145"/>
      <c r="B15" s="18" t="s">
        <v>99</v>
      </c>
      <c r="C15" s="18" t="str">
        <f>CONCATENATE("Personal Property ",J1-2,"")</f>
        <v>Personal Property 2011</v>
      </c>
      <c r="D15" s="145" t="s">
        <v>95</v>
      </c>
      <c r="E15" s="41">
        <f>inputOth!E11</f>
        <v>77815</v>
      </c>
      <c r="F15" s="146"/>
      <c r="G15" s="149"/>
      <c r="H15" s="149"/>
      <c r="I15" s="37"/>
      <c r="J15" s="37"/>
    </row>
    <row r="16" spans="1:10" ht="15.75">
      <c r="A16" s="145"/>
      <c r="B16" s="18" t="s">
        <v>100</v>
      </c>
      <c r="C16" s="18" t="s">
        <v>114</v>
      </c>
      <c r="D16" s="18"/>
      <c r="E16" s="37"/>
      <c r="F16" s="37" t="s">
        <v>92</v>
      </c>
      <c r="G16" s="148">
        <f>IF(E14&gt;E15,E14-E15,0)</f>
        <v>5275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13474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49282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7827652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7778370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0.006335774718867835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3675</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3675</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Oketo-Blue ValleyCem</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3652</v>
      </c>
      <c r="D11" s="123">
        <f>IF(E17=0,0,E17-D12-D13-D14)</f>
        <v>164.38</v>
      </c>
      <c r="E11" s="123">
        <f>IF(E19=0,0,E19-E12-E13-E14)</f>
        <v>3.94</v>
      </c>
      <c r="F11" s="123">
        <f>IF(E21=0,0,E21-F12-F13-F14)</f>
        <v>11.02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3652</v>
      </c>
      <c r="D15" s="130">
        <f>SUM(D11:D14)</f>
        <v>164.38</v>
      </c>
      <c r="E15" s="130">
        <f>SUM(E11:E14)</f>
        <v>3.94</v>
      </c>
      <c r="F15" s="203">
        <f>SUM(F11:F14)</f>
        <v>11.02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164.38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3.94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11.02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0.045010952902519163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0.0010788608981380065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0.003017524644030668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Oketo-Blue ValleyCem</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2012-08-14T15:12:22Z</cp:lastPrinted>
  <dcterms:created xsi:type="dcterms:W3CDTF">1999-08-06T13:59:57Z</dcterms:created>
  <dcterms:modified xsi:type="dcterms:W3CDTF">2012-08-14T15:12:28Z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