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1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ProofofPublication" sheetId="20" r:id="rId20"/>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<sst xmlns="http://schemas.openxmlformats.org/spreadsheetml/2006/main" count="605" uniqueCount="372">
  <si>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</si>
  <si>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</si>
  <si>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</si>
  <si>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</si>
  <si>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</si>
  <si>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</si>
  <si>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</si>
  <si>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</si>
  <si>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</si>
  <si>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</si>
  <si>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</si>
  <si>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</si>
  <si>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</si>
  <si>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</si>
  <si>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</si>
  <si>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</si>
  <si>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</si>
  <si>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</si>
  <si>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</si>
  <si>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</si>
  <si>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</si>
  <si>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</si>
  <si>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</si>
  <si>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</si>
  <si>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</si>
  <si>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</si>
  <si>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</si>
  <si>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</si>
  <si>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</si>
  <si>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</si>
  <si>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</si>
  <si>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</si>
  <si>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</si>
  <si>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</si>
  <si>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</si>
  <si>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</si>
  <si>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</si>
  <si>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</si>
  <si>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</si>
  <si>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</si>
  <si>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</si>
  <si>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</si>
  <si>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</si>
  <si>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</si>
  <si>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</si>
  <si>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</si>
  <si>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</si>
  <si>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</si>
  <si>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</si>
  <si>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</si>
  <si>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</si>
  <si>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</si>
  <si>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</si>
  <si>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</si>
  <si>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</si>
  <si>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</si>
  <si>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</si>
  <si>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</si>
  <si>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</si>
  <si>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</si>
  <si>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</si>
  <si>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</si>
  <si>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</si>
  <si>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</si>
  <si>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</si>
  <si>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</si>
  <si>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</si>
  <si>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</si>
  <si>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</si>
  <si>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</si>
  <si>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</si>
  <si>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</si>
  <si>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</si>
  <si>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</si>
  <si>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</si>
  <si>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</si>
  <si>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</si>
  <si>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</si>
  <si>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</si>
  <si>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</si>
  <si>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</si>
  <si>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</si>
  <si>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</si>
  <si>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</si>
  <si>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</si>
  <si>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</si>
  <si>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</si>
  <si>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</si>
  <si>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</si>
  <si>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</si>
  <si>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</si>
  <si>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</si>
  <si>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</si>
  <si>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</si>
  <si>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</si>
  <si>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</si>
  <si>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</si>
  <si>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</si>
  <si>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</si>
  <si>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</si>
  <si>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</si>
  <si>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</si>
  <si>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</si>
  <si>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</si>
  <si>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</si>
  <si>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</si>
  <si>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</si>
  <si>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</si>
  <si>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</si>
  <si>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</si>
  <si>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</si>
  <si>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</si>
  <si>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</si>
  <si>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</si>
  <si>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</si>
  <si>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</si>
  <si>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</si>
  <si>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</si>
  <si>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</si>
  <si>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</si>
  <si>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</si>
  <si>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</si>
  <si>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</si>
  <si>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</si>
  <si>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</si>
  <si>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</si>
  <si>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</si>
  <si>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</si>
  <si>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</si>
  <si>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</si>
  <si>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</si>
  <si>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</si>
  <si>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</si>
  <si>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</si>
  <si>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</si>
  <si>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</si>
  <si>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</si>
  <si>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</si>
  <si>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</si>
  <si>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</si>
  <si>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</si>
  <si>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</si>
  <si>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</si>
  <si>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</si>
  <si>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</si>
  <si>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</si>
  <si>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</si>
  <si>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</si>
  <si>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</si>
  <si>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</si>
  <si>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</si>
  <si>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</si>
  <si>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</si>
  <si>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</si>
  <si>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</si>
  <si>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</si>
  <si>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</si>
  <si>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</si>
  <si>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</si>
  <si>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</si>
  <si>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</si>
  <si>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</si>
  <si>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</si>
  <si>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</si>
  <si>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</si>
  <si>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</si>
  <si>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</si>
  <si>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</si>
  <si>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</si>
  <si>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</si>
  <si>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</si>
  <si>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</si>
  <si>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</si>
  <si>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</si>
  <si>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</si>
  <si>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</si>
  <si>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</si>
  <si>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</si>
  <si>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</si>
  <si>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</si>
  <si>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</si>
  <si>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</si>
  <si>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</si>
  <si>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</si>
  <si>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Note:  All amounts are to be entered in as whole numbers only.</t>
  </si>
  <si>
    <t>Attest: _________________,</t>
  </si>
  <si>
    <t>Tax Rate*</t>
  </si>
  <si>
    <t>Resolution</t>
  </si>
  <si>
    <t>Is a Resolution required?</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</si>
  <si>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</si>
  <si>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</si>
  <si>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</si>
  <si>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</si>
  <si>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</si>
  <si>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</si>
  <si>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TOTAL</t>
  </si>
  <si>
    <t>Allocation MVT, RVT,16/20M Veh &amp; Slider</t>
  </si>
  <si>
    <t>County Treas Slider Estimate</t>
  </si>
  <si>
    <t>Slider Factor</t>
  </si>
  <si>
    <t>Funds</t>
  </si>
  <si>
    <t>Budget Authority</t>
  </si>
  <si>
    <t xml:space="preserve">expenditure amounts should reflect the amended </t>
  </si>
  <si>
    <t>expenditure amounts.</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</si>
  <si>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</si>
  <si>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</si>
  <si>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</si>
  <si>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</si>
  <si>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</si>
  <si>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</si>
  <si>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</si>
  <si>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County Name followed by 'County'</t>
  </si>
  <si>
    <t>Page No. 6</t>
  </si>
  <si>
    <t xml:space="preserve">The Special District spreadsheet is designed with having only one county providing taxing support. </t>
  </si>
  <si>
    <t>ALLOCATION OF MOTOR, RECREATIONAL ,16/20M VEHICLE TAXES &amp; SLIDER</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</si>
  <si>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</si>
  <si>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</si>
  <si>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</si>
  <si>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</si>
  <si>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</si>
  <si>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</si>
  <si>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</si>
  <si>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</si>
  <si>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</si>
  <si>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</si>
  <si>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</si>
  <si>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</si>
  <si>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</si>
  <si>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</si>
  <si>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</si>
  <si>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</si>
  <si>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</si>
  <si>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</si>
  <si>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</si>
  <si>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</si>
  <si>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</si>
  <si>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</si>
  <si>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</si>
  <si>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</si>
  <si>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</si>
  <si>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</si>
  <si>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</si>
  <si>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</si>
  <si>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</si>
  <si>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</si>
  <si>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</si>
  <si>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</si>
  <si>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</si>
  <si>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</si>
  <si>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</si>
  <si>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</si>
  <si>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</si>
  <si>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</si>
  <si>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</si>
  <si>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</si>
  <si>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</si>
  <si>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</si>
  <si>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</si>
  <si>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</si>
  <si>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</si>
  <si>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</si>
  <si>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</si>
  <si>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</si>
  <si>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</si>
  <si>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</si>
  <si>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</si>
  <si>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</si>
  <si>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</si>
  <si>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</si>
  <si>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</si>
  <si>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</si>
  <si>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</si>
  <si>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</si>
  <si>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</si>
  <si>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</si>
  <si>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</si>
  <si>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</si>
  <si>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</si>
  <si>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</si>
  <si>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</si>
  <si>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</si>
  <si>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</si>
  <si>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</si>
  <si>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</si>
  <si>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</si>
  <si>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</si>
  <si>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</si>
  <si>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</si>
  <si>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</si>
  <si>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</si>
  <si>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</si>
  <si>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</si>
  <si>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</si>
  <si>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</si>
  <si>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</si>
  <si>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</si>
  <si>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</si>
  <si>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</si>
  <si>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</si>
  <si>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</si>
  <si>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</si>
  <si>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</si>
  <si>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</si>
  <si>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</si>
  <si>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</si>
  <si>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</si>
  <si>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</si>
  <si>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</si>
  <si>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for Expenditures</t>
  </si>
  <si>
    <t>Does misc. exceed 10% Total Expenditures</t>
  </si>
  <si>
    <t>Does misc. exceed 10% of Total Receipts</t>
  </si>
  <si>
    <t>Assisted by:</t>
  </si>
  <si>
    <t>Address:</t>
  </si>
  <si>
    <t>Estimate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</si>
  <si>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</si>
  <si>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</si>
  <si>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</si>
  <si>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</si>
  <si>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</si>
  <si>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</si>
  <si>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</si>
  <si>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</si>
  <si>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</si>
  <si>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</si>
  <si>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</si>
  <si>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</si>
  <si>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</si>
  <si>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</si>
  <si>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</si>
  <si>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</si>
  <si>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</si>
  <si>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</si>
  <si>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</si>
  <si>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</si>
  <si>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</si>
  <si>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</si>
  <si>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</si>
  <si>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</si>
  <si>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</si>
  <si>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</si>
  <si>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</si>
  <si>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</si>
  <si>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</si>
  <si>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</si>
  <si>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</si>
  <si>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</si>
  <si>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</si>
  <si>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</si>
  <si>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</si>
  <si>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</si>
  <si>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</si>
  <si>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</si>
  <si>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</si>
  <si>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and hearing held.</t>
  </si>
  <si>
    <t xml:space="preserve">Must be at least 10 days between date published </t>
  </si>
  <si>
    <t xml:space="preserve">Library District #2 </t>
  </si>
  <si>
    <t>Linn County</t>
  </si>
  <si>
    <t>Building</t>
  </si>
  <si>
    <t>.</t>
  </si>
  <si>
    <t>Books/DVD/Audios</t>
  </si>
  <si>
    <t>Capital Development</t>
  </si>
  <si>
    <t>Furniture/Equipment</t>
  </si>
  <si>
    <t>Insurance</t>
  </si>
  <si>
    <t>Lease Purchase Annual Payoff</t>
  </si>
  <si>
    <t>Maintenance</t>
  </si>
  <si>
    <t>Office Expense</t>
  </si>
  <si>
    <t>Periodicals</t>
  </si>
  <si>
    <t>Programming</t>
  </si>
  <si>
    <t>Salaries &amp; Employers Taxes</t>
  </si>
  <si>
    <t>Supplies and Miscellaneous</t>
  </si>
  <si>
    <t>Technology</t>
  </si>
  <si>
    <t>Utilities</t>
  </si>
  <si>
    <t>RESOLUTION NO. 71212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</si>
</sst>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0.000"/>
    <numFmt numFmtId="176" formatCode="[$-409]mmmm\ d\,\ yyyy;@"/>
    <numFmt numFmtId="177" formatCode="[$-409]h:mm\ AM/PM;@"/>
    <numFmt numFmtId="178" formatCode="&quot;$&quot;#,##0"/>
    <numFmt numFmtId="179" formatCode="&quot;$&quot;#,##0.00"/>
  </numFmts>
  <fonts count="73">
    <font>
      <sz val="12"/>
      <name val="Courier"/>
      <family val="0"/>
    </font>
    <font>
      <sz val="11"/>
      <color indexed="8"/>
      <name val="Calibri"/>
      <family val="2"/>
    </font>
    <font>
      <b/>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u val="single"/>
      <sz val="12"/>
      <color rgb="FFFF000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right style="thin"/>
      <top/>
      <bottom style="thin"/>
    </border>
    <border>
      <left style="thin"/>
      <right style="thin"/>
      <top style="thin"/>
      <bottom style="double"/>
    </border>
    <border>
      <left/>
      <right style="thin"/>
      <top style="thin"/>
      <bottom style="thin"/>
    </border>
    <border>
      <left/>
      <right/>
      <top style="thin"/>
      <bottom/>
    </border>
    <border>
      <left style="thin"/>
      <right style="thin"/>
      <top/>
      <bottom/>
    </border>
    <border>
      <left/>
      <right style="thin"/>
      <top/>
      <bottom/>
    </border>
    <border>
      <left style="thin"/>
      <right/>
      <top style="thin"/>
      <bottom style="thin"/>
    </border>
    <border>
      <left style="thin"/>
      <right/>
      <top/>
      <bottom style="thin"/>
    </border>
    <border>
      <left style="thin"/>
      <right/>
      <top style="thin"/>
      <bottom/>
    </border>
    <border>
      <left/>
      <right/>
      <top/>
      <bottom style="double"/>
    </border>
    <border>
      <left/>
      <right style="thin"/>
      <top style="thin"/>
      <bottom/>
    </border>
    <border>
      <left style="thin"/>
      <right/>
      <top/>
      <bottom/>
    </border>
    <border>
      <left/>
      <right style="thin"/>
      <top style="thin"/>
      <bottom style="double"/>
    </border>
    <border>
      <left style="thin"/>
      <right style="thin"/>
      <top style="thin"/>
      <bottom style="medium"/>
    </border>
  </borders>
  <cellStyleXfs count="4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77">
    <xf numFmtId="0" fontId="0" fillId="0" borderId="0" xfId="0" applyAlignment="1">
      <alignment/>
    </xf>
    <xf numFmtId="0" fontId="0" fillId="0" borderId="0" xfId="0" applyAlignment="1">
      <alignment vertical="top"/>
    </xf>
    <xf numFmtId="0" fontId="9" fillId="0" borderId="0" xfId="444">
      <alignment/>
      <protection/>
    </xf>
    <xf numFmtId="0" fontId="6" fillId="0" borderId="0" xfId="444" applyFont="1">
      <alignment/>
      <protection/>
    </xf>
    <xf numFmtId="0" fontId="6" fillId="0" borderId="0" xfId="444" applyFont="1" applyAlignment="1">
      <alignment horizontal="left" indent="1"/>
      <protection/>
    </xf>
    <xf numFmtId="0" fontId="14" fillId="0" borderId="0" xfId="444" applyFont="1">
      <alignment/>
      <protection/>
    </xf>
    <xf numFmtId="0" fontId="12"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left" indent="9"/>
    </xf>
    <xf numFmtId="0" fontId="14" fillId="0" borderId="0" xfId="0" applyFont="1" applyAlignment="1">
      <alignment/>
    </xf>
    <xf numFmtId="0" fontId="12" fillId="0" borderId="0" xfId="0" applyFont="1" applyAlignment="1">
      <alignment horizontal="left"/>
    </xf>
    <xf numFmtId="0" fontId="6" fillId="0" borderId="0" xfId="0" applyFont="1" applyAlignment="1">
      <alignment horizontal="left"/>
    </xf>
    <xf numFmtId="0" fontId="6" fillId="0" borderId="0" xfId="444" applyFont="1" applyAlignment="1">
      <alignment horizontal="center"/>
      <protection/>
    </xf>
    <xf numFmtId="0" fontId="3" fillId="0" borderId="0" xfId="444" applyFont="1" applyAlignment="1">
      <alignment horizontal="right"/>
      <protection/>
    </xf>
    <xf numFmtId="0" fontId="6" fillId="33" borderId="0" xfId="444" applyFont="1" applyFill="1" applyAlignment="1" applyProtection="1">
      <alignment horizontal="center"/>
      <protection locked="0"/>
    </xf>
    <xf numFmtId="0" fontId="3" fillId="0" borderId="0" xfId="0" applyFont="1" applyAlignment="1" applyProtection="1">
      <alignment vertical="center"/>
      <protection locked="0"/>
    </xf>
    <xf numFmtId="0" fontId="3" fillId="34" borderId="0" xfId="0" applyFont="1" applyFill="1" applyAlignment="1" applyProtection="1">
      <alignment horizontal="left" vertical="center"/>
      <protection/>
    </xf>
    <xf numFmtId="0" fontId="3" fillId="34" borderId="0" xfId="0" applyFont="1" applyFill="1" applyAlignment="1" applyProtection="1">
      <alignment vertical="center"/>
      <protection/>
    </xf>
    <xf numFmtId="0" fontId="4" fillId="34" borderId="0" xfId="0" applyFont="1" applyFill="1" applyAlignment="1" applyProtection="1">
      <alignment horizontal="left" vertical="center"/>
      <protection/>
    </xf>
    <xf numFmtId="0" fontId="3" fillId="33" borderId="10" xfId="0"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xf>
    <xf numFmtId="0" fontId="3" fillId="33" borderId="11" xfId="0"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centerContinuous" vertical="center"/>
      <protection/>
    </xf>
    <xf numFmtId="0" fontId="4" fillId="34" borderId="0" xfId="0" applyFont="1" applyFill="1" applyAlignment="1" applyProtection="1">
      <alignment vertical="center"/>
      <protection/>
    </xf>
    <xf numFmtId="0" fontId="4" fillId="35" borderId="0" xfId="0" applyFont="1" applyFill="1" applyAlignment="1" applyProtection="1">
      <alignment vertical="center"/>
      <protection/>
    </xf>
    <xf numFmtId="0" fontId="3" fillId="35" borderId="0" xfId="0" applyFont="1" applyFill="1" applyAlignment="1" applyProtection="1">
      <alignment vertical="center"/>
      <protection/>
    </xf>
    <xf numFmtId="37" fontId="4" fillId="36" borderId="0" xfId="0" applyNumberFormat="1" applyFont="1" applyFill="1" applyAlignment="1" applyProtection="1">
      <alignment horizontal="left" vertical="center"/>
      <protection/>
    </xf>
    <xf numFmtId="0" fontId="3" fillId="36" borderId="0" xfId="0" applyFont="1" applyFill="1" applyAlignment="1" applyProtection="1">
      <alignment vertical="center"/>
      <protection/>
    </xf>
    <xf numFmtId="0" fontId="3" fillId="34" borderId="0" xfId="0" applyFont="1" applyFill="1" applyAlignment="1" applyProtection="1">
      <alignment horizontal="center" vertical="center"/>
      <protection/>
    </xf>
    <xf numFmtId="0" fontId="5" fillId="35" borderId="13" xfId="0" applyFont="1" applyFill="1" applyBorder="1" applyAlignment="1" applyProtection="1">
      <alignment horizontal="center" vertical="center"/>
      <protection/>
    </xf>
    <xf numFmtId="0" fontId="3" fillId="35" borderId="14" xfId="0" applyFont="1" applyFill="1" applyBorder="1" applyAlignment="1" applyProtection="1">
      <alignment horizontal="center" vertical="center"/>
      <protection/>
    </xf>
    <xf numFmtId="0" fontId="3" fillId="34" borderId="12" xfId="0" applyFont="1" applyFill="1" applyBorder="1" applyAlignment="1" applyProtection="1">
      <alignment horizontal="left" vertical="center"/>
      <protection/>
    </xf>
    <xf numFmtId="0" fontId="3" fillId="33" borderId="12" xfId="0" applyFont="1" applyFill="1" applyBorder="1" applyAlignment="1" applyProtection="1">
      <alignment vertical="center"/>
      <protection locked="0"/>
    </xf>
    <xf numFmtId="3" fontId="3" fillId="33" borderId="12" xfId="0" applyNumberFormat="1" applyFont="1" applyFill="1" applyBorder="1" applyAlignment="1" applyProtection="1">
      <alignment vertical="center"/>
      <protection locked="0"/>
    </xf>
    <xf numFmtId="0" fontId="3" fillId="34" borderId="12" xfId="0" applyFont="1" applyFill="1" applyBorder="1" applyAlignment="1" applyProtection="1">
      <alignment vertical="center"/>
      <protection/>
    </xf>
    <xf numFmtId="3" fontId="3" fillId="34" borderId="0" xfId="0" applyNumberFormat="1" applyFont="1" applyFill="1" applyAlignment="1" applyProtection="1">
      <alignment vertical="center"/>
      <protection/>
    </xf>
    <xf numFmtId="164" fontId="3" fillId="34" borderId="0" xfId="0" applyNumberFormat="1" applyFont="1" applyFill="1" applyAlignment="1" applyProtection="1">
      <alignment vertical="center"/>
      <protection/>
    </xf>
    <xf numFmtId="0" fontId="3" fillId="34" borderId="10" xfId="0" applyFont="1" applyFill="1" applyBorder="1" applyAlignment="1" applyProtection="1">
      <alignment horizontal="left" vertical="center"/>
      <protection/>
    </xf>
    <xf numFmtId="0" fontId="3" fillId="34" borderId="10" xfId="0" applyFont="1" applyFill="1" applyBorder="1" applyAlignment="1" applyProtection="1">
      <alignment vertical="center"/>
      <protection/>
    </xf>
    <xf numFmtId="3" fontId="3" fillId="34" borderId="11" xfId="0" applyNumberFormat="1" applyFont="1" applyFill="1" applyBorder="1" applyAlignment="1" applyProtection="1">
      <alignment vertical="center"/>
      <protection/>
    </xf>
    <xf numFmtId="3" fontId="3" fillId="37" borderId="12" xfId="0" applyNumberFormat="1" applyFont="1" applyFill="1" applyBorder="1" applyAlignment="1" applyProtection="1">
      <alignment vertical="center"/>
      <protection/>
    </xf>
    <xf numFmtId="37" fontId="3" fillId="34" borderId="0" xfId="0" applyNumberFormat="1" applyFont="1" applyFill="1" applyAlignment="1" applyProtection="1">
      <alignment horizontal="left" vertical="center"/>
      <protection/>
    </xf>
    <xf numFmtId="0" fontId="3" fillId="34" borderId="15" xfId="0" applyFont="1" applyFill="1" applyBorder="1" applyAlignment="1" applyProtection="1">
      <alignment vertical="center"/>
      <protection/>
    </xf>
    <xf numFmtId="3" fontId="3" fillId="34" borderId="12" xfId="0" applyNumberFormat="1" applyFont="1" applyFill="1" applyBorder="1" applyAlignment="1" applyProtection="1">
      <alignment vertical="center"/>
      <protection/>
    </xf>
    <xf numFmtId="0" fontId="3" fillId="33" borderId="12" xfId="0" applyFont="1" applyFill="1" applyBorder="1" applyAlignment="1" applyProtection="1">
      <alignment vertical="center"/>
      <protection locked="0"/>
    </xf>
    <xf numFmtId="164" fontId="3" fillId="33" borderId="12" xfId="0" applyNumberFormat="1" applyFont="1" applyFill="1" applyBorder="1" applyAlignment="1" applyProtection="1">
      <alignment vertical="center"/>
      <protection locked="0"/>
    </xf>
    <xf numFmtId="164" fontId="3" fillId="37" borderId="16" xfId="0" applyNumberFormat="1" applyFont="1" applyFill="1" applyBorder="1" applyAlignment="1" applyProtection="1">
      <alignment vertical="center"/>
      <protection/>
    </xf>
    <xf numFmtId="37" fontId="3" fillId="35" borderId="0" xfId="0" applyNumberFormat="1" applyFont="1" applyFill="1" applyAlignment="1" applyProtection="1">
      <alignment horizontal="left" vertical="center"/>
      <protection/>
    </xf>
    <xf numFmtId="3" fontId="3" fillId="33" borderId="10" xfId="0" applyNumberFormat="1" applyFont="1" applyFill="1" applyBorder="1" applyAlignment="1" applyProtection="1">
      <alignment vertical="center"/>
      <protection locked="0"/>
    </xf>
    <xf numFmtId="3" fontId="3" fillId="33" borderId="11" xfId="0" applyNumberFormat="1" applyFont="1" applyFill="1" applyBorder="1" applyAlignment="1" applyProtection="1">
      <alignment vertical="center"/>
      <protection locked="0"/>
    </xf>
    <xf numFmtId="0" fontId="3" fillId="34" borderId="0" xfId="0" applyFont="1" applyFill="1" applyAlignment="1" applyProtection="1">
      <alignment vertical="center"/>
      <protection locked="0"/>
    </xf>
    <xf numFmtId="0" fontId="3" fillId="34" borderId="10" xfId="0" applyFont="1" applyFill="1" applyBorder="1" applyAlignment="1" applyProtection="1">
      <alignment horizontal="center" vertical="center"/>
      <protection/>
    </xf>
    <xf numFmtId="0" fontId="3" fillId="35" borderId="10" xfId="0" applyFont="1" applyFill="1" applyBorder="1" applyAlignment="1" applyProtection="1">
      <alignment vertical="center"/>
      <protection/>
    </xf>
    <xf numFmtId="0" fontId="3" fillId="34" borderId="15" xfId="0" applyFont="1" applyFill="1" applyBorder="1" applyAlignment="1" applyProtection="1">
      <alignment vertical="center"/>
      <protection locked="0"/>
    </xf>
    <xf numFmtId="3" fontId="3" fillId="33" borderId="12" xfId="0" applyNumberFormat="1" applyFont="1" applyFill="1" applyBorder="1" applyAlignment="1" applyProtection="1">
      <alignment vertical="center"/>
      <protection locked="0"/>
    </xf>
    <xf numFmtId="0" fontId="3" fillId="35" borderId="11" xfId="0" applyFont="1" applyFill="1" applyBorder="1" applyAlignment="1" applyProtection="1">
      <alignment vertical="center"/>
      <protection/>
    </xf>
    <xf numFmtId="0" fontId="3" fillId="34" borderId="17" xfId="0" applyFont="1" applyFill="1" applyBorder="1" applyAlignment="1" applyProtection="1">
      <alignment vertical="center"/>
      <protection locked="0"/>
    </xf>
    <xf numFmtId="0" fontId="3" fillId="34" borderId="11" xfId="0" applyFont="1" applyFill="1" applyBorder="1" applyAlignment="1" applyProtection="1">
      <alignment vertical="center"/>
      <protection locked="0"/>
    </xf>
    <xf numFmtId="0" fontId="3"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4" fillId="38" borderId="0" xfId="0" applyFont="1" applyFill="1" applyAlignment="1" applyProtection="1">
      <alignment horizontal="left" vertical="center"/>
      <protection/>
    </xf>
    <xf numFmtId="0" fontId="3" fillId="38" borderId="0" xfId="0" applyFont="1" applyFill="1" applyAlignment="1" applyProtection="1">
      <alignment vertical="center"/>
      <protection/>
    </xf>
    <xf numFmtId="37" fontId="3" fillId="34" borderId="10" xfId="0" applyNumberFormat="1" applyFont="1" applyFill="1" applyBorder="1" applyAlignment="1" applyProtection="1">
      <alignment horizontal="left" vertical="center"/>
      <protection/>
    </xf>
    <xf numFmtId="37" fontId="3" fillId="34" borderId="11" xfId="0" applyNumberFormat="1" applyFont="1" applyFill="1" applyBorder="1" applyAlignment="1" applyProtection="1">
      <alignment horizontal="left" vertical="center"/>
      <protection/>
    </xf>
    <xf numFmtId="0" fontId="3" fillId="34" borderId="11" xfId="0" applyFont="1" applyFill="1" applyBorder="1" applyAlignment="1" applyProtection="1">
      <alignment vertical="center"/>
      <protection/>
    </xf>
    <xf numFmtId="37" fontId="3" fillId="33" borderId="11" xfId="0" applyNumberFormat="1" applyFont="1" applyFill="1" applyBorder="1" applyAlignment="1" applyProtection="1">
      <alignment vertical="center"/>
      <protection locked="0"/>
    </xf>
    <xf numFmtId="0" fontId="3" fillId="34" borderId="0" xfId="0" applyFont="1" applyFill="1" applyBorder="1" applyAlignment="1" applyProtection="1">
      <alignment vertical="center"/>
      <protection/>
    </xf>
    <xf numFmtId="37" fontId="3" fillId="34" borderId="0" xfId="0" applyNumberFormat="1" applyFont="1" applyFill="1" applyBorder="1" applyAlignment="1" applyProtection="1">
      <alignment vertical="center"/>
      <protection locked="0"/>
    </xf>
    <xf numFmtId="37" fontId="4" fillId="34" borderId="0" xfId="0" applyNumberFormat="1" applyFont="1" applyFill="1" applyBorder="1" applyAlignment="1" applyProtection="1">
      <alignment horizontal="left" vertical="center"/>
      <protection/>
    </xf>
    <xf numFmtId="3" fontId="3" fillId="34" borderId="0" xfId="0" applyNumberFormat="1" applyFont="1" applyFill="1" applyBorder="1" applyAlignment="1" applyProtection="1">
      <alignment vertical="center"/>
      <protection locked="0"/>
    </xf>
    <xf numFmtId="0" fontId="16" fillId="34" borderId="0" xfId="0" applyFont="1" applyFill="1" applyBorder="1" applyAlignment="1" applyProtection="1">
      <alignment horizontal="center" vertical="center"/>
      <protection/>
    </xf>
    <xf numFmtId="174" fontId="3" fillId="33" borderId="10" xfId="0" applyNumberFormat="1" applyFont="1" applyFill="1" applyBorder="1" applyAlignment="1" applyProtection="1">
      <alignment vertical="center"/>
      <protection locked="0"/>
    </xf>
    <xf numFmtId="174" fontId="3" fillId="33" borderId="11" xfId="0" applyNumberFormat="1" applyFont="1" applyFill="1" applyBorder="1" applyAlignment="1" applyProtection="1">
      <alignment vertical="center"/>
      <protection locked="0"/>
    </xf>
    <xf numFmtId="174" fontId="3"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74" fontId="3"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3" fillId="35" borderId="0" xfId="0" applyNumberFormat="1" applyFont="1" applyFill="1" applyAlignment="1" applyProtection="1">
      <alignment vertical="center"/>
      <protection/>
    </xf>
    <xf numFmtId="3" fontId="3" fillId="34" borderId="15" xfId="0" applyNumberFormat="1" applyFont="1" applyFill="1" applyBorder="1" applyAlignment="1" applyProtection="1">
      <alignment vertical="center"/>
      <protection/>
    </xf>
    <xf numFmtId="3" fontId="3" fillId="34" borderId="17"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37" fontId="3" fillId="34" borderId="0" xfId="0" applyNumberFormat="1" applyFont="1" applyFill="1" applyBorder="1" applyAlignment="1" applyProtection="1">
      <alignment horizontal="left" vertical="center"/>
      <protection/>
    </xf>
    <xf numFmtId="174" fontId="3" fillId="33" borderId="12" xfId="0" applyNumberFormat="1" applyFont="1" applyFill="1" applyBorder="1" applyAlignment="1" applyProtection="1">
      <alignment vertical="center"/>
      <protection locked="0"/>
    </xf>
    <xf numFmtId="37" fontId="3" fillId="39" borderId="0" xfId="0" applyNumberFormat="1" applyFont="1" applyFill="1" applyBorder="1" applyAlignment="1" applyProtection="1">
      <alignment horizontal="left" vertical="center"/>
      <protection/>
    </xf>
    <xf numFmtId="0" fontId="3" fillId="39" borderId="0" xfId="0" applyFont="1" applyFill="1" applyBorder="1" applyAlignment="1" applyProtection="1">
      <alignment vertical="center"/>
      <protection/>
    </xf>
    <xf numFmtId="173" fontId="3" fillId="39" borderId="0" xfId="0" applyNumberFormat="1" applyFont="1" applyFill="1" applyBorder="1" applyAlignment="1" applyProtection="1">
      <alignment vertical="center"/>
      <protection locked="0"/>
    </xf>
    <xf numFmtId="0" fontId="3" fillId="38" borderId="13" xfId="0" applyFont="1" applyFill="1" applyBorder="1" applyAlignment="1">
      <alignment horizontal="center" vertical="center"/>
    </xf>
    <xf numFmtId="0" fontId="3" fillId="38" borderId="14" xfId="0" applyFont="1" applyFill="1" applyBorder="1" applyAlignment="1">
      <alignment horizontal="center" vertical="center"/>
    </xf>
    <xf numFmtId="0" fontId="20" fillId="34" borderId="0" xfId="0" applyFont="1" applyFill="1" applyAlignment="1">
      <alignment vertical="center"/>
    </xf>
    <xf numFmtId="0" fontId="21" fillId="34" borderId="0" xfId="0" applyFont="1" applyFill="1" applyAlignment="1">
      <alignment vertical="center"/>
    </xf>
    <xf numFmtId="37" fontId="3" fillId="34" borderId="12" xfId="0" applyNumberFormat="1" applyFont="1" applyFill="1" applyBorder="1" applyAlignment="1">
      <alignment vertical="center"/>
    </xf>
    <xf numFmtId="0" fontId="3" fillId="0" borderId="0" xfId="0" applyFont="1" applyAlignment="1">
      <alignment vertical="center"/>
    </xf>
    <xf numFmtId="0" fontId="4" fillId="34" borderId="0" xfId="0" applyFont="1" applyFill="1" applyAlignment="1" applyProtection="1">
      <alignment horizontal="center" vertical="center"/>
      <protection/>
    </xf>
    <xf numFmtId="37" fontId="3"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 vertical="center"/>
      <protection/>
    </xf>
    <xf numFmtId="0" fontId="3" fillId="34" borderId="0" xfId="0" applyFont="1" applyFill="1" applyAlignment="1" applyProtection="1">
      <alignment horizontal="fill" vertical="center"/>
      <protection/>
    </xf>
    <xf numFmtId="0" fontId="3" fillId="34" borderId="0" xfId="0" applyFont="1" applyFill="1" applyBorder="1" applyAlignment="1" applyProtection="1">
      <alignment horizontal="fill" vertical="center"/>
      <protection/>
    </xf>
    <xf numFmtId="0" fontId="3" fillId="34" borderId="19" xfId="0" applyFont="1" applyFill="1" applyBorder="1" applyAlignment="1" applyProtection="1">
      <alignment horizontal="left" vertical="center"/>
      <protection/>
    </xf>
    <xf numFmtId="0" fontId="3" fillId="34" borderId="13"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3" fillId="0" borderId="0" xfId="0" applyFont="1" applyAlignment="1">
      <alignment horizontal="center" vertical="center"/>
    </xf>
    <xf numFmtId="0" fontId="3" fillId="34" borderId="19" xfId="0" applyFont="1" applyFill="1" applyBorder="1" applyAlignment="1" applyProtection="1">
      <alignment horizontal="center" vertical="center"/>
      <protection/>
    </xf>
    <xf numFmtId="0" fontId="3" fillId="34" borderId="10" xfId="0" applyFont="1" applyFill="1" applyBorder="1" applyAlignment="1" applyProtection="1">
      <alignment horizontal="fill" vertical="center"/>
      <protection/>
    </xf>
    <xf numFmtId="0" fontId="3" fillId="34" borderId="14" xfId="0" applyFont="1" applyFill="1" applyBorder="1" applyAlignment="1" applyProtection="1">
      <alignment horizontal="fill" vertical="center"/>
      <protection/>
    </xf>
    <xf numFmtId="0" fontId="3" fillId="34" borderId="15" xfId="0" applyFont="1" applyFill="1" applyBorder="1" applyAlignment="1" applyProtection="1">
      <alignment horizontal="fill" vertical="center" wrapText="1"/>
      <protection/>
    </xf>
    <xf numFmtId="0" fontId="3" fillId="34" borderId="15" xfId="0" applyFont="1" applyFill="1" applyBorder="1" applyAlignment="1" applyProtection="1">
      <alignment horizontal="fill" vertical="center"/>
      <protection/>
    </xf>
    <xf numFmtId="0" fontId="3" fillId="34" borderId="21" xfId="0" applyFont="1" applyFill="1" applyBorder="1" applyAlignment="1" applyProtection="1">
      <alignment horizontal="fill" vertical="center"/>
      <protection/>
    </xf>
    <xf numFmtId="0" fontId="3" fillId="34" borderId="12" xfId="0" applyFont="1" applyFill="1" applyBorder="1" applyAlignment="1" applyProtection="1">
      <alignment horizontal="center" vertical="center"/>
      <protection/>
    </xf>
    <xf numFmtId="0" fontId="3" fillId="34" borderId="20" xfId="0" applyFont="1" applyFill="1" applyBorder="1" applyAlignment="1" applyProtection="1">
      <alignment horizontal="fill" vertical="center"/>
      <protection/>
    </xf>
    <xf numFmtId="37" fontId="3" fillId="34" borderId="21" xfId="0" applyNumberFormat="1" applyFont="1" applyFill="1" applyBorder="1" applyAlignment="1" applyProtection="1">
      <alignment horizontal="left" vertical="center"/>
      <protection/>
    </xf>
    <xf numFmtId="0" fontId="3" fillId="34" borderId="14" xfId="0" applyFont="1" applyFill="1" applyBorder="1" applyAlignment="1" applyProtection="1">
      <alignment horizontal="center" vertical="center"/>
      <protection/>
    </xf>
    <xf numFmtId="0" fontId="16" fillId="34" borderId="21" xfId="0" applyFont="1" applyFill="1" applyBorder="1" applyAlignment="1" applyProtection="1">
      <alignment horizontal="left" vertical="center"/>
      <protection/>
    </xf>
    <xf numFmtId="0" fontId="3" fillId="34" borderId="17" xfId="0" applyFont="1" applyFill="1" applyBorder="1" applyAlignment="1" applyProtection="1">
      <alignment vertical="center"/>
      <protection/>
    </xf>
    <xf numFmtId="0" fontId="16" fillId="34" borderId="12" xfId="0" applyFont="1" applyFill="1" applyBorder="1" applyAlignment="1" applyProtection="1">
      <alignment horizontal="center" vertical="center"/>
      <protection/>
    </xf>
    <xf numFmtId="0" fontId="3" fillId="34" borderId="22" xfId="0" applyFont="1" applyFill="1" applyBorder="1" applyAlignment="1" applyProtection="1">
      <alignment vertical="center"/>
      <protection/>
    </xf>
    <xf numFmtId="0" fontId="3" fillId="34" borderId="21" xfId="0" applyFont="1" applyFill="1" applyBorder="1" applyAlignment="1" applyProtection="1">
      <alignment horizontal="left" vertical="center"/>
      <protection/>
    </xf>
    <xf numFmtId="3" fontId="3" fillId="34" borderId="12" xfId="0" applyNumberFormat="1" applyFont="1" applyFill="1" applyBorder="1" applyAlignment="1" applyProtection="1">
      <alignment horizontal="center" vertical="center"/>
      <protection/>
    </xf>
    <xf numFmtId="3" fontId="3" fillId="34" borderId="14" xfId="0" applyNumberFormat="1" applyFont="1" applyFill="1" applyBorder="1" applyAlignment="1" applyProtection="1">
      <alignment vertical="center"/>
      <protection/>
    </xf>
    <xf numFmtId="164" fontId="3" fillId="34" borderId="12" xfId="0" applyNumberFormat="1" applyFont="1" applyFill="1" applyBorder="1" applyAlignment="1" applyProtection="1">
      <alignment vertical="center"/>
      <protection/>
    </xf>
    <xf numFmtId="0" fontId="3" fillId="34" borderId="21" xfId="0" applyFont="1" applyFill="1" applyBorder="1" applyAlignment="1" applyProtection="1">
      <alignment vertical="center"/>
      <protection/>
    </xf>
    <xf numFmtId="0" fontId="3" fillId="34" borderId="17" xfId="0" applyFont="1" applyFill="1" applyBorder="1" applyAlignment="1" applyProtection="1">
      <alignment horizontal="center" vertical="center"/>
      <protection/>
    </xf>
    <xf numFmtId="37" fontId="3" fillId="34" borderId="12" xfId="0" applyNumberFormat="1" applyFont="1" applyFill="1" applyBorder="1" applyAlignment="1" applyProtection="1">
      <alignment vertical="center"/>
      <protection/>
    </xf>
    <xf numFmtId="0" fontId="3" fillId="34" borderId="23" xfId="0" applyFont="1" applyFill="1" applyBorder="1" applyAlignment="1" applyProtection="1">
      <alignment vertical="center"/>
      <protection/>
    </xf>
    <xf numFmtId="0" fontId="3" fillId="34" borderId="18" xfId="0" applyFont="1" applyFill="1" applyBorder="1" applyAlignment="1" applyProtection="1">
      <alignment vertical="center"/>
      <protection/>
    </xf>
    <xf numFmtId="3" fontId="3" fillId="34" borderId="13" xfId="0" applyNumberFormat="1" applyFont="1" applyFill="1" applyBorder="1" applyAlignment="1" applyProtection="1">
      <alignment vertical="center"/>
      <protection/>
    </xf>
    <xf numFmtId="37" fontId="3" fillId="34" borderId="13" xfId="0" applyNumberFormat="1" applyFont="1" applyFill="1" applyBorder="1" applyAlignment="1" applyProtection="1">
      <alignment vertical="center"/>
      <protection/>
    </xf>
    <xf numFmtId="164" fontId="3" fillId="34" borderId="13" xfId="0" applyNumberFormat="1"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0" fontId="3" fillId="34" borderId="12" xfId="0" applyFont="1" applyFill="1" applyBorder="1" applyAlignment="1" applyProtection="1">
      <alignment horizontal="fill" vertical="center"/>
      <protection/>
    </xf>
    <xf numFmtId="3" fontId="3" fillId="37" borderId="16" xfId="0" applyNumberFormat="1" applyFont="1" applyFill="1" applyBorder="1" applyAlignment="1" applyProtection="1">
      <alignment vertical="center"/>
      <protection/>
    </xf>
    <xf numFmtId="37" fontId="3" fillId="37" borderId="16" xfId="0" applyNumberFormat="1" applyFont="1" applyFill="1" applyBorder="1" applyAlignment="1" applyProtection="1">
      <alignment vertical="center"/>
      <protection/>
    </xf>
    <xf numFmtId="165" fontId="3" fillId="34" borderId="12"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3" fillId="40" borderId="12" xfId="0" applyFont="1" applyFill="1" applyBorder="1" applyAlignment="1">
      <alignment horizontal="center" vertical="center" shrinkToFit="1"/>
    </xf>
    <xf numFmtId="0" fontId="3" fillId="34" borderId="11" xfId="0" applyFont="1" applyFill="1" applyBorder="1" applyAlignment="1">
      <alignment vertical="center"/>
    </xf>
    <xf numFmtId="165" fontId="3" fillId="34" borderId="0" xfId="0" applyNumberFormat="1" applyFont="1" applyFill="1" applyBorder="1" applyAlignment="1" applyProtection="1">
      <alignment vertical="center"/>
      <protection/>
    </xf>
    <xf numFmtId="0" fontId="3" fillId="34" borderId="0" xfId="0" applyFont="1" applyFill="1" applyAlignment="1" applyProtection="1">
      <alignment horizontal="right" vertical="center"/>
      <protection/>
    </xf>
    <xf numFmtId="169" fontId="3" fillId="34" borderId="0" xfId="42" applyNumberFormat="1" applyFont="1" applyFill="1" applyBorder="1" applyAlignment="1" applyProtection="1">
      <alignment vertical="center"/>
      <protection locked="0"/>
    </xf>
    <xf numFmtId="169" fontId="3" fillId="33" borderId="12" xfId="42" applyNumberFormat="1" applyFont="1" applyFill="1" applyBorder="1" applyAlignment="1" applyProtection="1">
      <alignment vertical="center"/>
      <protection locked="0"/>
    </xf>
    <xf numFmtId="0" fontId="3"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3" fillId="34" borderId="0" xfId="0" applyFont="1" applyFill="1" applyBorder="1" applyAlignment="1" applyProtection="1">
      <alignment vertical="center"/>
      <protection locked="0"/>
    </xf>
    <xf numFmtId="0" fontId="3" fillId="34" borderId="10" xfId="0" applyFont="1" applyFill="1" applyBorder="1" applyAlignment="1" applyProtection="1">
      <alignment horizontal="fill"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xf>
    <xf numFmtId="0" fontId="4" fillId="34" borderId="0" xfId="0" applyFont="1" applyFill="1" applyAlignment="1" applyProtection="1">
      <alignment horizontal="center" vertical="center" wrapText="1"/>
      <protection/>
    </xf>
    <xf numFmtId="0" fontId="3" fillId="34" borderId="0" xfId="0" applyFont="1" applyFill="1" applyAlignment="1" applyProtection="1" quotePrefix="1">
      <alignment vertical="center"/>
      <protection/>
    </xf>
    <xf numFmtId="3" fontId="3" fillId="34" borderId="0" xfId="0" applyNumberFormat="1" applyFont="1" applyFill="1" applyAlignment="1" applyProtection="1" quotePrefix="1">
      <alignment vertical="center"/>
      <protection/>
    </xf>
    <xf numFmtId="3" fontId="3" fillId="37" borderId="11" xfId="0" applyNumberFormat="1" applyFont="1" applyFill="1" applyBorder="1" applyAlignment="1" applyProtection="1">
      <alignment vertical="center"/>
      <protection/>
    </xf>
    <xf numFmtId="3" fontId="3" fillId="34" borderId="10" xfId="0" applyNumberFormat="1" applyFont="1" applyFill="1" applyBorder="1" applyAlignment="1" applyProtection="1">
      <alignment vertical="center"/>
      <protection/>
    </xf>
    <xf numFmtId="3" fontId="3" fillId="34" borderId="0" xfId="0" applyNumberFormat="1" applyFont="1" applyFill="1" applyBorder="1" applyAlignment="1" applyProtection="1">
      <alignment vertical="center"/>
      <protection/>
    </xf>
    <xf numFmtId="3" fontId="3" fillId="34" borderId="18" xfId="0" applyNumberFormat="1" applyFont="1" applyFill="1" applyBorder="1" applyAlignment="1" applyProtection="1">
      <alignment vertical="center"/>
      <protection/>
    </xf>
    <xf numFmtId="168" fontId="3" fillId="34" borderId="10" xfId="0" applyNumberFormat="1" applyFont="1" applyFill="1" applyBorder="1" applyAlignment="1" applyProtection="1">
      <alignment vertical="center"/>
      <protection/>
    </xf>
    <xf numFmtId="0" fontId="3" fillId="34" borderId="0" xfId="0" applyFont="1" applyFill="1" applyBorder="1" applyAlignment="1" applyProtection="1" quotePrefix="1">
      <alignment vertical="center"/>
      <protection/>
    </xf>
    <xf numFmtId="3" fontId="3" fillId="34" borderId="24" xfId="0" applyNumberFormat="1" applyFont="1" applyFill="1" applyBorder="1" applyAlignment="1" applyProtection="1">
      <alignment vertical="center"/>
      <protection/>
    </xf>
    <xf numFmtId="0" fontId="3" fillId="34" borderId="10" xfId="42" applyNumberFormat="1" applyFont="1" applyFill="1" applyBorder="1" applyAlignment="1" applyProtection="1">
      <alignment vertical="center"/>
      <protection/>
    </xf>
    <xf numFmtId="37" fontId="3" fillId="34" borderId="0" xfId="0" applyNumberFormat="1" applyFont="1" applyFill="1" applyAlignment="1" applyProtection="1">
      <alignment horizontal="right" vertical="center"/>
      <protection/>
    </xf>
    <xf numFmtId="37" fontId="3" fillId="34" borderId="0" xfId="0" applyNumberFormat="1" applyFont="1" applyFill="1" applyAlignment="1" applyProtection="1">
      <alignment vertical="center"/>
      <protection/>
    </xf>
    <xf numFmtId="37" fontId="4" fillId="34" borderId="0" xfId="0" applyNumberFormat="1"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wrapText="1"/>
      <protection/>
    </xf>
    <xf numFmtId="37" fontId="3" fillId="34" borderId="10" xfId="0" applyNumberFormat="1" applyFont="1" applyFill="1" applyBorder="1" applyAlignment="1" applyProtection="1">
      <alignment vertical="center"/>
      <protection/>
    </xf>
    <xf numFmtId="166" fontId="3" fillId="37" borderId="10" xfId="0" applyNumberFormat="1" applyFont="1" applyFill="1" applyBorder="1" applyAlignment="1" applyProtection="1">
      <alignment vertical="center"/>
      <protection/>
    </xf>
    <xf numFmtId="166" fontId="3" fillId="34" borderId="0" xfId="0" applyNumberFormat="1" applyFont="1" applyFill="1" applyBorder="1" applyAlignment="1" applyProtection="1">
      <alignment vertical="center"/>
      <protection/>
    </xf>
    <xf numFmtId="167" fontId="3" fillId="37" borderId="10" xfId="0" applyNumberFormat="1" applyFont="1" applyFill="1" applyBorder="1" applyAlignment="1" applyProtection="1">
      <alignment vertical="center"/>
      <protection/>
    </xf>
    <xf numFmtId="167" fontId="3" fillId="34" borderId="0" xfId="0" applyNumberFormat="1" applyFont="1" applyFill="1" applyBorder="1" applyAlignment="1" applyProtection="1">
      <alignment vertical="center"/>
      <protection/>
    </xf>
    <xf numFmtId="0" fontId="3" fillId="0" borderId="0" xfId="0" applyFont="1" applyFill="1" applyAlignment="1" applyProtection="1">
      <alignment vertical="center"/>
      <protection locked="0"/>
    </xf>
    <xf numFmtId="37" fontId="3" fillId="34" borderId="0" xfId="0" applyNumberFormat="1" applyFont="1" applyFill="1" applyAlignment="1">
      <alignment vertical="center"/>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9"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3" fillId="34" borderId="14" xfId="0" applyNumberFormat="1" applyFont="1" applyFill="1" applyBorder="1" applyAlignment="1" applyProtection="1">
      <alignment horizontal="center" vertical="center"/>
      <protection/>
    </xf>
    <xf numFmtId="0" fontId="3" fillId="0" borderId="0" xfId="0" applyFont="1" applyAlignment="1" applyProtection="1">
      <alignment horizontal="center" vertical="center"/>
      <protection locked="0"/>
    </xf>
    <xf numFmtId="0" fontId="3" fillId="33" borderId="14" xfId="0" applyFont="1" applyFill="1" applyBorder="1" applyAlignment="1" applyProtection="1">
      <alignment vertical="center"/>
      <protection locked="0"/>
    </xf>
    <xf numFmtId="169" fontId="3" fillId="33" borderId="14" xfId="42" applyNumberFormat="1"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0" fontId="4" fillId="34" borderId="12" xfId="0" applyFont="1" applyFill="1" applyBorder="1" applyAlignment="1" applyProtection="1">
      <alignment horizontal="center" vertical="center"/>
      <protection/>
    </xf>
    <xf numFmtId="3" fontId="3" fillId="37" borderId="12" xfId="0" applyNumberFormat="1" applyFont="1" applyFill="1" applyBorder="1" applyAlignment="1" applyProtection="1">
      <alignment horizontal="right" vertical="center"/>
      <protection/>
    </xf>
    <xf numFmtId="0" fontId="3" fillId="34" borderId="0" xfId="0" applyFont="1" applyFill="1" applyAlignment="1" applyProtection="1">
      <alignment horizontal="center" vertical="center"/>
      <protection locked="0"/>
    </xf>
    <xf numFmtId="37" fontId="4" fillId="34" borderId="12" xfId="0" applyNumberFormat="1" applyFont="1" applyFill="1" applyBorder="1" applyAlignment="1" applyProtection="1">
      <alignment horizontal="center" vertical="center"/>
      <protection/>
    </xf>
    <xf numFmtId="0" fontId="3" fillId="34" borderId="12" xfId="0" applyFont="1" applyFill="1" applyBorder="1" applyAlignment="1" applyProtection="1">
      <alignment horizontal="right" vertical="center"/>
      <protection/>
    </xf>
    <xf numFmtId="0" fontId="3" fillId="33" borderId="12" xfId="0" applyFont="1" applyFill="1" applyBorder="1" applyAlignment="1" applyProtection="1">
      <alignment horizontal="right" vertical="center"/>
      <protection locked="0"/>
    </xf>
    <xf numFmtId="0" fontId="3" fillId="39" borderId="0" xfId="0" applyFont="1" applyFill="1" applyAlignment="1" applyProtection="1">
      <alignment vertical="center"/>
      <protection locked="0"/>
    </xf>
    <xf numFmtId="0" fontId="3" fillId="34" borderId="0" xfId="0" applyNumberFormat="1" applyFont="1" applyFill="1" applyAlignment="1" applyProtection="1">
      <alignment horizontal="right" vertical="center"/>
      <protection/>
    </xf>
    <xf numFmtId="0" fontId="4" fillId="34" borderId="0" xfId="443" applyFont="1" applyFill="1" applyAlignment="1" applyProtection="1">
      <alignment horizontal="centerContinuous" vertical="center"/>
      <protection/>
    </xf>
    <xf numFmtId="0" fontId="3" fillId="34" borderId="0" xfId="442" applyFont="1" applyFill="1" applyAlignment="1" applyProtection="1">
      <alignment horizontal="centerContinuous" vertical="center"/>
      <protection/>
    </xf>
    <xf numFmtId="0" fontId="3" fillId="0" borderId="0" xfId="442" applyFont="1" applyAlignment="1" applyProtection="1">
      <alignment vertical="center"/>
      <protection locked="0"/>
    </xf>
    <xf numFmtId="0" fontId="3" fillId="34" borderId="0" xfId="442" applyFont="1" applyFill="1" applyAlignment="1" applyProtection="1">
      <alignment vertical="center"/>
      <protection/>
    </xf>
    <xf numFmtId="0" fontId="3" fillId="34" borderId="23" xfId="0" applyFont="1" applyFill="1" applyBorder="1" applyAlignment="1" applyProtection="1">
      <alignment horizontal="centerContinuous" vertical="center"/>
      <protection/>
    </xf>
    <xf numFmtId="0" fontId="3" fillId="34" borderId="25" xfId="0" applyFont="1" applyFill="1" applyBorder="1" applyAlignment="1" applyProtection="1">
      <alignment horizontal="centerContinuous" vertical="center"/>
      <protection/>
    </xf>
    <xf numFmtId="0" fontId="3" fillId="34" borderId="22" xfId="0" applyFont="1" applyFill="1" applyBorder="1" applyAlignment="1" applyProtection="1">
      <alignment horizontal="centerContinuous" vertical="center"/>
      <protection/>
    </xf>
    <xf numFmtId="0" fontId="3" fillId="34" borderId="15" xfId="0" applyFont="1" applyFill="1" applyBorder="1" applyAlignment="1" applyProtection="1">
      <alignment horizontal="centerContinuous" vertical="center"/>
      <protection/>
    </xf>
    <xf numFmtId="0" fontId="3" fillId="34" borderId="15" xfId="0" applyFont="1" applyFill="1" applyBorder="1" applyAlignment="1" applyProtection="1">
      <alignment horizontal="left" vertical="center"/>
      <protection/>
    </xf>
    <xf numFmtId="14" fontId="3" fillId="34" borderId="14" xfId="0" applyNumberFormat="1" applyFont="1" applyFill="1" applyBorder="1" applyAlignment="1" applyProtection="1" quotePrefix="1">
      <alignment horizontal="center" vertical="center"/>
      <protection/>
    </xf>
    <xf numFmtId="170" fontId="3" fillId="34" borderId="12" xfId="0" applyNumberFormat="1" applyFont="1" applyFill="1" applyBorder="1" applyAlignment="1" applyProtection="1">
      <alignment horizontal="left" vertical="center"/>
      <protection/>
    </xf>
    <xf numFmtId="171" fontId="3" fillId="34" borderId="12" xfId="0" applyNumberFormat="1" applyFont="1" applyFill="1" applyBorder="1" applyAlignment="1" applyProtection="1">
      <alignment horizontal="left" vertical="center"/>
      <protection/>
    </xf>
    <xf numFmtId="0" fontId="3" fillId="33" borderId="12" xfId="0" applyFont="1" applyFill="1" applyBorder="1" applyAlignment="1" applyProtection="1">
      <alignment horizontal="left" vertical="center"/>
      <protection locked="0"/>
    </xf>
    <xf numFmtId="171" fontId="3" fillId="33" borderId="12" xfId="0" applyNumberFormat="1" applyFont="1" applyFill="1" applyBorder="1" applyAlignment="1" applyProtection="1">
      <alignment horizontal="left" vertical="center"/>
      <protection locked="0"/>
    </xf>
    <xf numFmtId="2" fontId="3" fillId="33" borderId="12" xfId="0" applyNumberFormat="1" applyFont="1" applyFill="1" applyBorder="1" applyAlignment="1" applyProtection="1">
      <alignment vertical="center"/>
      <protection locked="0"/>
    </xf>
    <xf numFmtId="171" fontId="3" fillId="33" borderId="12" xfId="0" applyNumberFormat="1" applyFont="1" applyFill="1" applyBorder="1" applyAlignment="1" applyProtection="1">
      <alignment vertical="center"/>
      <protection locked="0"/>
    </xf>
    <xf numFmtId="37" fontId="3" fillId="33" borderId="12" xfId="0" applyNumberFormat="1" applyFont="1" applyFill="1" applyBorder="1" applyAlignment="1" applyProtection="1">
      <alignment vertical="center"/>
      <protection locked="0"/>
    </xf>
    <xf numFmtId="0" fontId="3" fillId="34" borderId="12" xfId="0" applyFont="1" applyFill="1" applyBorder="1" applyAlignment="1" applyProtection="1">
      <alignment vertical="center"/>
      <protection locked="0"/>
    </xf>
    <xf numFmtId="170" fontId="3" fillId="34" borderId="12" xfId="0" applyNumberFormat="1" applyFont="1" applyFill="1" applyBorder="1" applyAlignment="1" applyProtection="1">
      <alignment vertical="center"/>
      <protection locked="0"/>
    </xf>
    <xf numFmtId="2" fontId="3" fillId="34" borderId="12" xfId="0" applyNumberFormat="1" applyFont="1" applyFill="1" applyBorder="1" applyAlignment="1" applyProtection="1">
      <alignment vertical="center"/>
      <protection locked="0"/>
    </xf>
    <xf numFmtId="3" fontId="3" fillId="34" borderId="12" xfId="0" applyNumberFormat="1" applyFont="1" applyFill="1" applyBorder="1" applyAlignment="1" applyProtection="1">
      <alignment vertical="center"/>
      <protection locked="0"/>
    </xf>
    <xf numFmtId="37" fontId="3" fillId="37" borderId="12" xfId="0" applyNumberFormat="1" applyFont="1" applyFill="1" applyBorder="1" applyAlignment="1" applyProtection="1">
      <alignment vertical="center"/>
      <protection/>
    </xf>
    <xf numFmtId="171" fontId="3" fillId="34" borderId="12" xfId="0" applyNumberFormat="1" applyFont="1" applyFill="1" applyBorder="1" applyAlignment="1" applyProtection="1">
      <alignment vertical="center"/>
      <protection/>
    </xf>
    <xf numFmtId="170" fontId="3" fillId="34" borderId="12" xfId="0" applyNumberFormat="1" applyFont="1" applyFill="1" applyBorder="1" applyAlignment="1" applyProtection="1">
      <alignment vertical="center"/>
      <protection/>
    </xf>
    <xf numFmtId="2" fontId="3" fillId="34" borderId="12" xfId="0" applyNumberFormat="1" applyFont="1" applyFill="1" applyBorder="1" applyAlignment="1" applyProtection="1">
      <alignment vertical="center"/>
      <protection/>
    </xf>
    <xf numFmtId="0" fontId="3" fillId="34" borderId="12" xfId="442" applyFont="1" applyFill="1" applyBorder="1" applyAlignment="1" applyProtection="1">
      <alignment horizontal="left" vertical="center"/>
      <protection/>
    </xf>
    <xf numFmtId="0" fontId="3" fillId="34" borderId="23" xfId="442" applyFont="1" applyFill="1" applyBorder="1" applyAlignment="1" applyProtection="1">
      <alignment vertical="center"/>
      <protection/>
    </xf>
    <xf numFmtId="0" fontId="3" fillId="34" borderId="18" xfId="442" applyFont="1" applyFill="1" applyBorder="1" applyAlignment="1" applyProtection="1">
      <alignment vertical="center"/>
      <protection/>
    </xf>
    <xf numFmtId="3" fontId="3" fillId="34" borderId="25" xfId="442" applyNumberFormat="1" applyFont="1" applyFill="1" applyBorder="1" applyAlignment="1" applyProtection="1">
      <alignment vertical="center"/>
      <protection/>
    </xf>
    <xf numFmtId="37" fontId="4" fillId="37" borderId="12" xfId="442" applyNumberFormat="1" applyFont="1" applyFill="1" applyBorder="1" applyAlignment="1" applyProtection="1">
      <alignment vertical="center"/>
      <protection/>
    </xf>
    <xf numFmtId="0" fontId="3" fillId="34" borderId="25" xfId="442" applyFont="1" applyFill="1" applyBorder="1" applyAlignment="1" applyProtection="1">
      <alignment vertical="center"/>
      <protection/>
    </xf>
    <xf numFmtId="0" fontId="3" fillId="34" borderId="0" xfId="443" applyFont="1" applyFill="1" applyAlignment="1" applyProtection="1">
      <alignment horizontal="centerContinuous" vertical="center"/>
      <protection/>
    </xf>
    <xf numFmtId="0" fontId="3" fillId="34" borderId="0" xfId="443" applyFont="1" applyFill="1" applyAlignment="1" applyProtection="1">
      <alignment vertical="center"/>
      <protection/>
    </xf>
    <xf numFmtId="0" fontId="3" fillId="0" borderId="0" xfId="443" applyFont="1" applyAlignment="1">
      <alignment vertical="center"/>
      <protection/>
    </xf>
    <xf numFmtId="0" fontId="3" fillId="34" borderId="13" xfId="0" applyFont="1" applyFill="1" applyBorder="1" applyAlignment="1" applyProtection="1">
      <alignment vertical="center"/>
      <protection/>
    </xf>
    <xf numFmtId="0" fontId="3" fillId="34" borderId="26" xfId="443" applyFont="1" applyFill="1" applyBorder="1" applyAlignment="1" applyProtection="1">
      <alignment vertical="center"/>
      <protection/>
    </xf>
    <xf numFmtId="0" fontId="3" fillId="34" borderId="0" xfId="443" applyFont="1" applyFill="1" applyBorder="1" applyAlignment="1" applyProtection="1">
      <alignment vertical="center"/>
      <protection/>
    </xf>
    <xf numFmtId="0" fontId="3" fillId="34" borderId="19" xfId="0" applyFont="1" applyFill="1" applyBorder="1" applyAlignment="1" applyProtection="1">
      <alignment vertical="center"/>
      <protection/>
    </xf>
    <xf numFmtId="0" fontId="3" fillId="34" borderId="14" xfId="0" applyFont="1" applyFill="1" applyBorder="1" applyAlignment="1" applyProtection="1">
      <alignment horizontal="left" vertical="center"/>
      <protection/>
    </xf>
    <xf numFmtId="0" fontId="6" fillId="34" borderId="14" xfId="0" applyFont="1" applyFill="1" applyBorder="1" applyAlignment="1" applyProtection="1">
      <alignment horizontal="center" vertical="center"/>
      <protection/>
    </xf>
    <xf numFmtId="1" fontId="3" fillId="33" borderId="12" xfId="0" applyNumberFormat="1" applyFont="1" applyFill="1" applyBorder="1" applyAlignment="1" applyProtection="1">
      <alignment vertical="center"/>
      <protection locked="0"/>
    </xf>
    <xf numFmtId="0" fontId="3" fillId="34" borderId="12" xfId="442" applyFont="1" applyFill="1" applyBorder="1" applyAlignment="1" applyProtection="1">
      <alignment horizontal="left" vertical="center"/>
      <protection locked="0"/>
    </xf>
    <xf numFmtId="0" fontId="3" fillId="34" borderId="23" xfId="442" applyFont="1" applyFill="1" applyBorder="1" applyAlignment="1" applyProtection="1">
      <alignment vertical="center"/>
      <protection locked="0"/>
    </xf>
    <xf numFmtId="0" fontId="3" fillId="34" borderId="18" xfId="442" applyFont="1" applyFill="1" applyBorder="1" applyAlignment="1" applyProtection="1">
      <alignment vertical="center"/>
      <protection locked="0"/>
    </xf>
    <xf numFmtId="3" fontId="3" fillId="34" borderId="18" xfId="442" applyNumberFormat="1" applyFont="1" applyFill="1" applyBorder="1" applyAlignment="1" applyProtection="1">
      <alignment vertical="center"/>
      <protection locked="0"/>
    </xf>
    <xf numFmtId="3" fontId="4" fillId="34" borderId="12" xfId="442" applyNumberFormat="1" applyFont="1" applyFill="1" applyBorder="1" applyAlignment="1" applyProtection="1">
      <alignment vertical="center"/>
      <protection/>
    </xf>
    <xf numFmtId="37" fontId="4" fillId="34" borderId="12" xfId="442" applyNumberFormat="1" applyFont="1" applyFill="1" applyBorder="1" applyAlignment="1" applyProtection="1">
      <alignment vertical="center"/>
      <protection/>
    </xf>
    <xf numFmtId="0" fontId="3" fillId="39" borderId="0" xfId="442" applyFont="1" applyFill="1" applyAlignment="1" applyProtection="1">
      <alignment vertical="center"/>
      <protection locked="0"/>
    </xf>
    <xf numFmtId="165" fontId="3" fillId="34" borderId="0" xfId="0" applyNumberFormat="1" applyFont="1" applyFill="1" applyAlignment="1" applyProtection="1">
      <alignment vertical="center"/>
      <protection/>
    </xf>
    <xf numFmtId="165" fontId="3" fillId="34" borderId="0" xfId="0" applyNumberFormat="1" applyFont="1" applyFill="1" applyAlignment="1" applyProtection="1" quotePrefix="1">
      <alignment horizontal="right" vertical="center"/>
      <protection/>
    </xf>
    <xf numFmtId="37" fontId="3" fillId="34" borderId="13" xfId="0" applyNumberFormat="1" applyFont="1" applyFill="1" applyBorder="1" applyAlignment="1" applyProtection="1">
      <alignment horizontal="center" vertical="center"/>
      <protection/>
    </xf>
    <xf numFmtId="0" fontId="3" fillId="34" borderId="14" xfId="0" applyNumberFormat="1" applyFont="1" applyFill="1" applyBorder="1" applyAlignment="1" applyProtection="1">
      <alignment horizontal="center" vertical="center"/>
      <protection/>
    </xf>
    <xf numFmtId="3" fontId="3" fillId="33" borderId="17" xfId="0" applyNumberFormat="1" applyFont="1" applyFill="1" applyBorder="1" applyAlignment="1" applyProtection="1">
      <alignment vertical="center"/>
      <protection locked="0"/>
    </xf>
    <xf numFmtId="0" fontId="3" fillId="34" borderId="22" xfId="0" applyFont="1" applyFill="1" applyBorder="1" applyAlignment="1" applyProtection="1">
      <alignment horizontal="left" vertical="center"/>
      <protection/>
    </xf>
    <xf numFmtId="37" fontId="3" fillId="34" borderId="21" xfId="0" applyNumberFormat="1" applyFont="1" applyFill="1" applyBorder="1" applyAlignment="1" applyProtection="1">
      <alignment vertical="center"/>
      <protection/>
    </xf>
    <xf numFmtId="37" fontId="3" fillId="33" borderId="21" xfId="0" applyNumberFormat="1" applyFont="1" applyFill="1" applyBorder="1" applyAlignment="1" applyProtection="1">
      <alignment vertical="center"/>
      <protection locked="0"/>
    </xf>
    <xf numFmtId="0" fontId="3" fillId="33" borderId="21" xfId="0" applyFont="1" applyFill="1" applyBorder="1" applyAlignment="1" applyProtection="1">
      <alignment horizontal="left" vertical="center"/>
      <protection locked="0"/>
    </xf>
    <xf numFmtId="37" fontId="3" fillId="34" borderId="21" xfId="0" applyNumberFormat="1" applyFont="1" applyFill="1" applyBorder="1" applyAlignment="1" applyProtection="1">
      <alignment horizontal="left" vertical="center"/>
      <protection locked="0"/>
    </xf>
    <xf numFmtId="37" fontId="3" fillId="33" borderId="17" xfId="0" applyNumberFormat="1" applyFont="1" applyFill="1" applyBorder="1" applyAlignment="1" applyProtection="1">
      <alignment vertical="center"/>
      <protection locked="0"/>
    </xf>
    <xf numFmtId="3" fontId="20" fillId="40" borderId="17" xfId="0" applyNumberFormat="1" applyFont="1" applyFill="1" applyBorder="1" applyAlignment="1" applyProtection="1">
      <alignment horizontal="center" vertical="center"/>
      <protection/>
    </xf>
    <xf numFmtId="37" fontId="4" fillId="34" borderId="21" xfId="0" applyNumberFormat="1" applyFont="1" applyFill="1" applyBorder="1" applyAlignment="1" applyProtection="1">
      <alignment horizontal="left" vertical="center"/>
      <protection/>
    </xf>
    <xf numFmtId="3" fontId="4" fillId="37" borderId="12" xfId="0" applyNumberFormat="1" applyFont="1" applyFill="1" applyBorder="1" applyAlignment="1" applyProtection="1">
      <alignment vertical="center"/>
      <protection/>
    </xf>
    <xf numFmtId="0" fontId="20" fillId="0" borderId="0" xfId="0" applyFont="1" applyAlignment="1">
      <alignment vertical="center"/>
    </xf>
    <xf numFmtId="0" fontId="17" fillId="34" borderId="0" xfId="0" applyFont="1" applyFill="1" applyAlignment="1" applyProtection="1">
      <alignment horizontal="center" vertical="center"/>
      <protection/>
    </xf>
    <xf numFmtId="1" fontId="3" fillId="34" borderId="0" xfId="0" applyNumberFormat="1" applyFont="1" applyFill="1" applyBorder="1" applyAlignment="1" applyProtection="1">
      <alignment horizontal="right" vertical="center"/>
      <protection/>
    </xf>
    <xf numFmtId="37" fontId="3" fillId="34" borderId="0" xfId="0" applyNumberFormat="1" applyFont="1" applyFill="1" applyAlignment="1" applyProtection="1" quotePrefix="1">
      <alignment horizontal="right" vertical="center"/>
      <protection/>
    </xf>
    <xf numFmtId="37" fontId="3" fillId="34" borderId="0" xfId="0" applyNumberFormat="1" applyFont="1" applyFill="1" applyAlignment="1" applyProtection="1">
      <alignment horizontal="fill" vertical="center"/>
      <protection/>
    </xf>
    <xf numFmtId="37" fontId="3" fillId="34" borderId="0" xfId="0" applyNumberFormat="1" applyFont="1" applyFill="1" applyBorder="1" applyAlignment="1" applyProtection="1">
      <alignment vertical="center"/>
      <protection/>
    </xf>
    <xf numFmtId="3" fontId="3" fillId="34" borderId="12" xfId="42" applyNumberFormat="1" applyFont="1" applyFill="1" applyBorder="1" applyAlignment="1" applyProtection="1">
      <alignment horizontal="right" vertical="center"/>
      <protection/>
    </xf>
    <xf numFmtId="37" fontId="3" fillId="34" borderId="22" xfId="0" applyNumberFormat="1" applyFont="1" applyFill="1" applyBorder="1" applyAlignment="1" applyProtection="1">
      <alignment horizontal="left" vertical="center"/>
      <protection/>
    </xf>
    <xf numFmtId="3" fontId="3" fillId="34" borderId="12" xfId="0" applyNumberFormat="1" applyFont="1" applyFill="1" applyBorder="1" applyAlignment="1" applyProtection="1">
      <alignment horizontal="fill" vertical="center"/>
      <protection/>
    </xf>
    <xf numFmtId="3" fontId="3" fillId="33" borderId="12" xfId="0" applyNumberFormat="1" applyFont="1" applyFill="1" applyBorder="1" applyAlignment="1" applyProtection="1">
      <alignment horizontal="right" vertical="center"/>
      <protection locked="0"/>
    </xf>
    <xf numFmtId="3" fontId="3" fillId="34" borderId="12" xfId="0" applyNumberFormat="1" applyFont="1" applyFill="1" applyBorder="1" applyAlignment="1" applyProtection="1">
      <alignment horizontal="right" vertical="center"/>
      <protection/>
    </xf>
    <xf numFmtId="0" fontId="3" fillId="34" borderId="21" xfId="0" applyNumberFormat="1" applyFont="1" applyFill="1" applyBorder="1" applyAlignment="1" applyProtection="1">
      <alignment horizontal="left" vertical="center"/>
      <protection/>
    </xf>
    <xf numFmtId="0" fontId="3" fillId="33" borderId="21" xfId="0" applyNumberFormat="1" applyFont="1" applyFill="1" applyBorder="1" applyAlignment="1" applyProtection="1">
      <alignment horizontal="left" vertical="center"/>
      <protection locked="0"/>
    </xf>
    <xf numFmtId="3" fontId="3" fillId="33" borderId="12" xfId="0" applyNumberFormat="1" applyFont="1" applyFill="1" applyBorder="1" applyAlignment="1" applyProtection="1">
      <alignment horizontal="right" vertical="center"/>
      <protection locked="0"/>
    </xf>
    <xf numFmtId="0" fontId="3" fillId="33" borderId="23" xfId="0" applyNumberFormat="1" applyFont="1" applyFill="1" applyBorder="1" applyAlignment="1" applyProtection="1">
      <alignment horizontal="left" vertical="center"/>
      <protection locked="0"/>
    </xf>
    <xf numFmtId="3" fontId="4" fillId="37" borderId="14" xfId="0" applyNumberFormat="1" applyFont="1" applyFill="1" applyBorder="1" applyAlignment="1" applyProtection="1">
      <alignment horizontal="right" vertical="center"/>
      <protection/>
    </xf>
    <xf numFmtId="3" fontId="4" fillId="37" borderId="12" xfId="0" applyNumberFormat="1" applyFont="1" applyFill="1" applyBorder="1" applyAlignment="1" applyProtection="1">
      <alignment horizontal="right" vertical="center"/>
      <protection/>
    </xf>
    <xf numFmtId="0" fontId="3" fillId="33" borderId="21" xfId="0" applyFont="1" applyFill="1" applyBorder="1" applyAlignment="1" applyProtection="1">
      <alignment vertical="center"/>
      <protection locked="0"/>
    </xf>
    <xf numFmtId="0" fontId="20" fillId="0" borderId="0" xfId="0" applyFont="1" applyAlignment="1" applyProtection="1">
      <alignment vertical="center"/>
      <protection/>
    </xf>
    <xf numFmtId="0" fontId="3" fillId="33" borderId="0" xfId="0" applyFont="1" applyFill="1" applyAlignment="1" applyProtection="1">
      <alignment horizontal="left" vertical="center"/>
      <protection locked="0"/>
    </xf>
    <xf numFmtId="0" fontId="3" fillId="34" borderId="0" xfId="0" applyFont="1" applyFill="1" applyAlignment="1" applyProtection="1">
      <alignment horizontal="left" vertical="center"/>
      <protection locked="0"/>
    </xf>
    <xf numFmtId="1" fontId="3" fillId="34" borderId="13" xfId="0" applyNumberFormat="1" applyFont="1" applyFill="1" applyBorder="1" applyAlignment="1" applyProtection="1">
      <alignment horizontal="center" vertical="center"/>
      <protection/>
    </xf>
    <xf numFmtId="0" fontId="3" fillId="34" borderId="0" xfId="0" applyFont="1" applyFill="1" applyAlignment="1">
      <alignment horizontal="center" vertical="center"/>
    </xf>
    <xf numFmtId="0" fontId="4" fillId="34" borderId="0" xfId="0" applyFont="1" applyFill="1" applyAlignment="1">
      <alignment horizontal="center" vertical="center"/>
    </xf>
    <xf numFmtId="0" fontId="23" fillId="34" borderId="0" xfId="0" applyFont="1" applyFill="1" applyAlignment="1">
      <alignment horizontal="center" vertical="center"/>
    </xf>
    <xf numFmtId="0" fontId="3" fillId="34" borderId="17" xfId="0" applyFont="1" applyFill="1" applyBorder="1" applyAlignment="1">
      <alignment vertical="center"/>
    </xf>
    <xf numFmtId="0" fontId="3" fillId="34" borderId="10" xfId="0" applyFont="1" applyFill="1" applyBorder="1" applyAlignment="1">
      <alignment vertical="center"/>
    </xf>
    <xf numFmtId="0" fontId="24" fillId="34" borderId="13" xfId="0" applyFont="1" applyFill="1" applyBorder="1" applyAlignment="1">
      <alignment vertical="center"/>
    </xf>
    <xf numFmtId="0" fontId="24" fillId="34" borderId="17" xfId="0" applyFont="1" applyFill="1" applyBorder="1" applyAlignment="1">
      <alignment horizontal="center" vertical="center"/>
    </xf>
    <xf numFmtId="0" fontId="24" fillId="34" borderId="25" xfId="0" applyFont="1" applyFill="1" applyBorder="1" applyAlignment="1">
      <alignment vertical="center"/>
    </xf>
    <xf numFmtId="0" fontId="24" fillId="34" borderId="12"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2" xfId="0" applyFont="1" applyFill="1" applyBorder="1" applyAlignment="1">
      <alignment horizontal="center" vertical="center"/>
    </xf>
    <xf numFmtId="0" fontId="24" fillId="34" borderId="22" xfId="0" applyFont="1" applyFill="1" applyBorder="1" applyAlignment="1">
      <alignment vertical="center"/>
    </xf>
    <xf numFmtId="3" fontId="24" fillId="33" borderId="12" xfId="0" applyNumberFormat="1" applyFont="1" applyFill="1" applyBorder="1" applyAlignment="1" applyProtection="1">
      <alignment horizontal="center" vertical="center"/>
      <protection locked="0"/>
    </xf>
    <xf numFmtId="0" fontId="24" fillId="34" borderId="10" xfId="0" applyFont="1" applyFill="1" applyBorder="1" applyAlignment="1">
      <alignment vertical="center"/>
    </xf>
    <xf numFmtId="3" fontId="24" fillId="37" borderId="12" xfId="0" applyNumberFormat="1" applyFont="1" applyFill="1" applyBorder="1" applyAlignment="1">
      <alignment horizontal="center" vertical="center"/>
    </xf>
    <xf numFmtId="0" fontId="24" fillId="34" borderId="0" xfId="0" applyFont="1" applyFill="1" applyAlignment="1">
      <alignment vertical="center"/>
    </xf>
    <xf numFmtId="3" fontId="24" fillId="34" borderId="0" xfId="0" applyNumberFormat="1" applyFont="1" applyFill="1" applyAlignment="1">
      <alignment horizontal="center" vertical="center"/>
    </xf>
    <xf numFmtId="0" fontId="24" fillId="34" borderId="0" xfId="0" applyFont="1" applyFill="1" applyAlignment="1">
      <alignment horizontal="center" vertical="center"/>
    </xf>
    <xf numFmtId="0" fontId="24" fillId="33" borderId="12" xfId="0" applyFont="1" applyFill="1" applyBorder="1" applyAlignment="1" applyProtection="1">
      <alignment vertical="center"/>
      <protection locked="0"/>
    </xf>
    <xf numFmtId="0" fontId="24" fillId="33" borderId="25" xfId="0" applyFont="1" applyFill="1" applyBorder="1" applyAlignment="1" applyProtection="1">
      <alignment vertical="center"/>
      <protection locked="0"/>
    </xf>
    <xf numFmtId="3" fontId="24" fillId="33" borderId="25" xfId="0" applyNumberFormat="1" applyFont="1" applyFill="1" applyBorder="1" applyAlignment="1" applyProtection="1">
      <alignment horizontal="center" vertical="center"/>
      <protection locked="0"/>
    </xf>
    <xf numFmtId="0" fontId="24" fillId="33" borderId="0" xfId="0" applyFont="1" applyFill="1" applyAlignment="1" applyProtection="1">
      <alignment vertical="center"/>
      <protection locked="0"/>
    </xf>
    <xf numFmtId="3" fontId="24" fillId="33" borderId="15" xfId="0" applyNumberFormat="1" applyFont="1" applyFill="1" applyBorder="1" applyAlignment="1" applyProtection="1">
      <alignment horizontal="center" vertical="center"/>
      <protection locked="0"/>
    </xf>
    <xf numFmtId="3" fontId="24" fillId="33" borderId="17" xfId="0" applyNumberFormat="1" applyFont="1" applyFill="1" applyBorder="1" applyAlignment="1" applyProtection="1">
      <alignment horizontal="center" vertical="center"/>
      <protection locked="0"/>
    </xf>
    <xf numFmtId="0" fontId="24" fillId="33" borderId="17" xfId="0" applyFont="1" applyFill="1" applyBorder="1" applyAlignment="1" applyProtection="1">
      <alignment vertical="center"/>
      <protection locked="0"/>
    </xf>
    <xf numFmtId="0" fontId="24" fillId="33" borderId="14" xfId="0" applyFont="1" applyFill="1" applyBorder="1" applyAlignment="1" applyProtection="1">
      <alignment vertical="center"/>
      <protection locked="0"/>
    </xf>
    <xf numFmtId="3" fontId="24" fillId="33" borderId="20" xfId="0" applyNumberFormat="1" applyFont="1" applyFill="1" applyBorder="1" applyAlignment="1" applyProtection="1">
      <alignment horizontal="center" vertical="center"/>
      <protection locked="0"/>
    </xf>
    <xf numFmtId="0" fontId="24" fillId="33" borderId="20" xfId="0" applyFont="1" applyFill="1" applyBorder="1" applyAlignment="1" applyProtection="1">
      <alignment vertical="center"/>
      <protection locked="0"/>
    </xf>
    <xf numFmtId="3" fontId="24" fillId="37" borderId="14" xfId="0" applyNumberFormat="1" applyFont="1" applyFill="1" applyBorder="1" applyAlignment="1">
      <alignment horizontal="center" vertical="center"/>
    </xf>
    <xf numFmtId="3" fontId="24" fillId="40" borderId="12" xfId="0" applyNumberFormat="1" applyFont="1" applyFill="1" applyBorder="1" applyAlignment="1">
      <alignment horizontal="center" vertical="center"/>
    </xf>
    <xf numFmtId="3" fontId="3" fillId="34" borderId="0" xfId="0" applyNumberFormat="1" applyFont="1" applyFill="1" applyAlignment="1">
      <alignment vertical="center"/>
    </xf>
    <xf numFmtId="0" fontId="3" fillId="39" borderId="0" xfId="0" applyFont="1" applyFill="1" applyAlignment="1">
      <alignment vertical="center"/>
    </xf>
    <xf numFmtId="0" fontId="3" fillId="34" borderId="0" xfId="0" applyFont="1" applyFill="1" applyAlignment="1">
      <alignment horizontal="right" vertical="center"/>
    </xf>
    <xf numFmtId="3" fontId="3" fillId="0" borderId="0" xfId="0" applyNumberFormat="1" applyFont="1" applyAlignment="1">
      <alignment vertical="center"/>
    </xf>
    <xf numFmtId="0" fontId="3" fillId="34" borderId="0" xfId="0" applyFont="1" applyFill="1" applyAlignment="1" applyProtection="1">
      <alignment horizontal="centerContinuous" vertical="center"/>
      <protection locked="0"/>
    </xf>
    <xf numFmtId="0" fontId="3" fillId="34" borderId="21" xfId="0" applyFont="1" applyFill="1" applyBorder="1" applyAlignment="1" applyProtection="1">
      <alignment horizontal="centerContinuous" vertical="center"/>
      <protection/>
    </xf>
    <xf numFmtId="0" fontId="3" fillId="34" borderId="17" xfId="0" applyFont="1" applyFill="1" applyBorder="1" applyAlignment="1" applyProtection="1">
      <alignment horizontal="centerContinuous" vertical="center"/>
      <protection/>
    </xf>
    <xf numFmtId="0" fontId="3" fillId="34" borderId="12" xfId="0" applyFont="1" applyFill="1" applyBorder="1" applyAlignment="1" applyProtection="1">
      <alignment horizontal="centerContinuous" vertical="center"/>
      <protection/>
    </xf>
    <xf numFmtId="0" fontId="3" fillId="34" borderId="11" xfId="0" applyFont="1" applyFill="1" applyBorder="1" applyAlignment="1" applyProtection="1">
      <alignment horizontal="centerContinuous" vertical="center"/>
      <protection/>
    </xf>
    <xf numFmtId="0" fontId="3" fillId="34" borderId="19" xfId="0" applyFont="1" applyFill="1" applyBorder="1" applyAlignment="1" applyProtection="1">
      <alignment horizontal="center" vertical="center"/>
      <protection locked="0"/>
    </xf>
    <xf numFmtId="0" fontId="3" fillId="34" borderId="14" xfId="0" applyFont="1" applyFill="1" applyBorder="1" applyAlignment="1" applyProtection="1">
      <alignment horizontal="center" vertical="center"/>
      <protection locked="0"/>
    </xf>
    <xf numFmtId="37" fontId="3" fillId="37" borderId="17" xfId="0" applyNumberFormat="1" applyFont="1" applyFill="1" applyBorder="1" applyAlignment="1" applyProtection="1">
      <alignment vertical="center"/>
      <protection/>
    </xf>
    <xf numFmtId="164" fontId="3" fillId="34" borderId="0" xfId="0" applyNumberFormat="1" applyFont="1" applyFill="1" applyBorder="1" applyAlignment="1" applyProtection="1">
      <alignment vertical="center"/>
      <protection/>
    </xf>
    <xf numFmtId="164" fontId="3" fillId="34" borderId="19" xfId="0" applyNumberFormat="1" applyFont="1" applyFill="1" applyBorder="1" applyAlignment="1" applyProtection="1">
      <alignment vertical="center"/>
      <protection/>
    </xf>
    <xf numFmtId="37" fontId="3" fillId="37" borderId="14" xfId="0" applyNumberFormat="1" applyFont="1" applyFill="1" applyBorder="1" applyAlignment="1" applyProtection="1">
      <alignment vertical="center"/>
      <protection/>
    </xf>
    <xf numFmtId="37" fontId="3" fillId="34" borderId="15" xfId="0" applyNumberFormat="1" applyFont="1" applyFill="1" applyBorder="1" applyAlignment="1" applyProtection="1">
      <alignment vertical="center"/>
      <protection/>
    </xf>
    <xf numFmtId="37" fontId="3" fillId="37" borderId="12" xfId="0" applyNumberFormat="1" applyFont="1" applyFill="1" applyBorder="1" applyAlignment="1" applyProtection="1">
      <alignment horizontal="center" vertical="center"/>
      <protection/>
    </xf>
    <xf numFmtId="37" fontId="3" fillId="37" borderId="16" xfId="0" applyNumberFormat="1" applyFont="1" applyFill="1" applyBorder="1" applyAlignment="1" applyProtection="1">
      <alignment horizontal="center" vertical="center"/>
      <protection/>
    </xf>
    <xf numFmtId="165" fontId="3" fillId="34" borderId="0" xfId="0" applyNumberFormat="1" applyFont="1" applyFill="1" applyAlignment="1" applyProtection="1">
      <alignment vertical="center"/>
      <protection locked="0"/>
    </xf>
    <xf numFmtId="37" fontId="3" fillId="34" borderId="0" xfId="0" applyNumberFormat="1" applyFont="1" applyFill="1" applyAlignment="1" applyProtection="1">
      <alignment vertical="center"/>
      <protection locked="0"/>
    </xf>
    <xf numFmtId="0" fontId="3" fillId="34" borderId="25"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37" fontId="3" fillId="34" borderId="12"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center" vertical="center"/>
      <protection locked="0"/>
    </xf>
    <xf numFmtId="175" fontId="3" fillId="34" borderId="12" xfId="0" applyNumberFormat="1" applyFont="1" applyFill="1" applyBorder="1" applyAlignment="1" applyProtection="1">
      <alignment horizontal="center" vertical="center"/>
      <protection/>
    </xf>
    <xf numFmtId="3" fontId="3" fillId="34" borderId="16" xfId="0" applyNumberFormat="1" applyFont="1" applyFill="1" applyBorder="1" applyAlignment="1" applyProtection="1">
      <alignment horizontal="center" vertical="center"/>
      <protection/>
    </xf>
    <xf numFmtId="175" fontId="3" fillId="34" borderId="16" xfId="0" applyNumberFormat="1" applyFont="1" applyFill="1" applyBorder="1" applyAlignment="1" applyProtection="1">
      <alignment horizontal="center" vertical="center"/>
      <protection/>
    </xf>
    <xf numFmtId="3" fontId="3" fillId="34" borderId="10" xfId="0" applyNumberFormat="1" applyFont="1" applyFill="1" applyBorder="1" applyAlignment="1" applyProtection="1">
      <alignment horizontal="center" vertical="center"/>
      <protection/>
    </xf>
    <xf numFmtId="175" fontId="3" fillId="34" borderId="10" xfId="0" applyNumberFormat="1" applyFont="1" applyFill="1" applyBorder="1" applyAlignment="1" applyProtection="1">
      <alignment horizontal="center" vertical="center"/>
      <protection/>
    </xf>
    <xf numFmtId="175" fontId="3" fillId="34" borderId="0" xfId="0" applyNumberFormat="1" applyFont="1" applyFill="1" applyBorder="1" applyAlignment="1" applyProtection="1">
      <alignment horizontal="center" vertical="center"/>
      <protection/>
    </xf>
    <xf numFmtId="3" fontId="3" fillId="34" borderId="10" xfId="0" applyNumberFormat="1" applyFont="1" applyFill="1" applyBorder="1" applyAlignment="1">
      <alignment horizontal="center" vertical="center"/>
    </xf>
    <xf numFmtId="0" fontId="0" fillId="34" borderId="0" xfId="0" applyFill="1" applyAlignment="1">
      <alignment horizontal="center" vertical="center"/>
    </xf>
    <xf numFmtId="0" fontId="3" fillId="34" borderId="10" xfId="0" applyFont="1" applyFill="1" applyBorder="1" applyAlignment="1">
      <alignment horizontal="center" vertical="center"/>
    </xf>
    <xf numFmtId="0" fontId="3" fillId="0" borderId="0" xfId="0" applyFont="1" applyAlignment="1">
      <alignment vertical="center" wrapText="1"/>
    </xf>
    <xf numFmtId="0" fontId="27" fillId="0" borderId="0" xfId="0" applyFont="1" applyAlignment="1">
      <alignment horizontal="center" vertical="center"/>
    </xf>
    <xf numFmtId="0" fontId="4" fillId="0" borderId="0" xfId="0" applyFont="1" applyAlignment="1">
      <alignment vertical="center" wrapText="1"/>
    </xf>
    <xf numFmtId="0" fontId="68" fillId="0" borderId="0" xfId="0" applyFont="1" applyAlignment="1">
      <alignment vertical="center"/>
    </xf>
    <xf numFmtId="0" fontId="68" fillId="0" borderId="0" xfId="0" applyFont="1" applyAlignment="1">
      <alignment vertical="center" wrapText="1"/>
    </xf>
    <xf numFmtId="3" fontId="28" fillId="40" borderId="0" xfId="0" applyNumberFormat="1" applyFont="1" applyFill="1" applyAlignment="1">
      <alignment horizontal="center" vertical="center"/>
    </xf>
    <xf numFmtId="0" fontId="4" fillId="0" borderId="0" xfId="0" applyFont="1" applyAlignment="1" applyProtection="1">
      <alignment horizontal="centerContinuous" vertical="center"/>
      <protection/>
    </xf>
    <xf numFmtId="0" fontId="4" fillId="0" borderId="0" xfId="0" applyFont="1" applyAlignment="1">
      <alignment vertical="center"/>
    </xf>
    <xf numFmtId="0" fontId="3" fillId="0" borderId="0" xfId="0" applyFont="1" applyAlignment="1" applyProtection="1">
      <alignment horizontal="left" vertical="center" wrapText="1"/>
      <protection/>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pplyProtection="1">
      <alignment horizontal="center" vertical="center"/>
      <protection/>
    </xf>
    <xf numFmtId="0" fontId="3" fillId="0" borderId="0" xfId="0" applyFont="1" applyAlignment="1" applyProtection="1">
      <alignment vertical="center" wrapText="1"/>
      <protection/>
    </xf>
    <xf numFmtId="0" fontId="3" fillId="33" borderId="0" xfId="0" applyFont="1" applyFill="1" applyAlignment="1" applyProtection="1">
      <alignment vertical="center"/>
      <protection/>
    </xf>
    <xf numFmtId="0" fontId="3" fillId="34" borderId="0" xfId="0" applyFont="1" applyFill="1" applyAlignment="1" applyProtection="1">
      <alignment vertical="center" wrapText="1"/>
      <protection/>
    </xf>
    <xf numFmtId="0" fontId="3" fillId="38" borderId="0" xfId="0" applyFont="1" applyFill="1" applyAlignment="1">
      <alignment vertical="center" wrapText="1"/>
    </xf>
    <xf numFmtId="0" fontId="3" fillId="0" borderId="0" xfId="0" applyFont="1" applyFill="1" applyAlignment="1">
      <alignment vertical="center"/>
    </xf>
    <xf numFmtId="0" fontId="4" fillId="0" borderId="0" xfId="0" applyFont="1" applyAlignment="1">
      <alignment horizontal="center" vertical="center"/>
    </xf>
    <xf numFmtId="37" fontId="3" fillId="0" borderId="0" xfId="0" applyNumberFormat="1" applyFont="1" applyFill="1" applyAlignment="1" applyProtection="1">
      <alignment horizontal="left" vertical="center" wrapText="1"/>
      <protection/>
    </xf>
    <xf numFmtId="0" fontId="3" fillId="0" borderId="0" xfId="0" applyNumberFormat="1" applyFont="1" applyAlignment="1">
      <alignment vertical="center" wrapText="1"/>
    </xf>
    <xf numFmtId="0" fontId="3" fillId="0" borderId="0" xfId="145" applyFont="1" applyAlignment="1">
      <alignment vertical="center" wrapText="1"/>
      <protection/>
    </xf>
    <xf numFmtId="0" fontId="3" fillId="0" borderId="0" xfId="378" applyNumberFormat="1" applyFont="1" applyAlignment="1">
      <alignment vertical="center" wrapText="1"/>
      <protection/>
    </xf>
    <xf numFmtId="0" fontId="3" fillId="0" borderId="0" xfId="262" applyFont="1" applyAlignment="1">
      <alignment vertical="center" wrapText="1"/>
      <protection/>
    </xf>
    <xf numFmtId="0" fontId="3" fillId="0" borderId="0" xfId="408" applyFont="1" applyAlignment="1">
      <alignment vertical="center" wrapText="1"/>
      <protection/>
    </xf>
    <xf numFmtId="0" fontId="69" fillId="0" borderId="0" xfId="0" applyFont="1" applyAlignment="1">
      <alignment vertical="center" wrapText="1"/>
    </xf>
    <xf numFmtId="0" fontId="9" fillId="0" borderId="0" xfId="419" applyFont="1">
      <alignment/>
      <protection/>
    </xf>
    <xf numFmtId="0" fontId="9" fillId="0" borderId="0" xfId="419" applyNumberFormat="1" applyFont="1" applyAlignment="1">
      <alignment horizontal="left" vertical="center"/>
      <protection/>
    </xf>
    <xf numFmtId="0" fontId="3" fillId="0" borderId="0" xfId="419" applyFont="1" applyAlignment="1">
      <alignment horizontal="left" vertical="center"/>
      <protection/>
    </xf>
    <xf numFmtId="49" fontId="3" fillId="33" borderId="0" xfId="419" applyNumberFormat="1" applyFont="1" applyFill="1" applyAlignment="1" applyProtection="1">
      <alignment horizontal="left" vertical="center"/>
      <protection locked="0"/>
    </xf>
    <xf numFmtId="176" fontId="24" fillId="0" borderId="0" xfId="419" applyNumberFormat="1" applyFont="1" applyAlignment="1">
      <alignment horizontal="left" vertical="center"/>
      <protection/>
    </xf>
    <xf numFmtId="49" fontId="3" fillId="0" borderId="0" xfId="419" applyNumberFormat="1" applyFont="1" applyAlignment="1">
      <alignment horizontal="left" vertical="center"/>
      <protection/>
    </xf>
    <xf numFmtId="0" fontId="24" fillId="0" borderId="0" xfId="419" applyFont="1" applyAlignment="1">
      <alignment horizontal="left" vertical="center"/>
      <protection/>
    </xf>
    <xf numFmtId="177" fontId="24" fillId="0" borderId="0" xfId="419" applyNumberFormat="1" applyFont="1" applyAlignment="1">
      <alignment horizontal="left" vertical="center"/>
      <protection/>
    </xf>
    <xf numFmtId="0" fontId="3" fillId="33" borderId="0" xfId="419" applyFont="1" applyFill="1" applyAlignment="1" applyProtection="1">
      <alignment horizontal="left" vertical="center"/>
      <protection locked="0"/>
    </xf>
    <xf numFmtId="0" fontId="9" fillId="33" borderId="0" xfId="419" applyFont="1" applyFill="1" applyAlignment="1" applyProtection="1">
      <alignment horizontal="left" vertical="center"/>
      <protection locked="0"/>
    </xf>
    <xf numFmtId="37" fontId="3" fillId="41" borderId="0" xfId="0" applyNumberFormat="1" applyFont="1" applyFill="1" applyAlignment="1" applyProtection="1">
      <alignment horizontal="centerContinuous" vertical="center"/>
      <protection/>
    </xf>
    <xf numFmtId="0" fontId="3" fillId="41" borderId="0" xfId="0" applyFont="1" applyFill="1" applyAlignment="1" applyProtection="1">
      <alignment horizontal="centerContinuous" vertical="center"/>
      <protection/>
    </xf>
    <xf numFmtId="0" fontId="3" fillId="0" borderId="0" xfId="439" applyFont="1" applyAlignment="1">
      <alignment vertical="center" wrapText="1"/>
      <protection/>
    </xf>
    <xf numFmtId="0" fontId="3" fillId="0" borderId="0" xfId="72" applyFont="1" applyAlignment="1">
      <alignment vertical="center" wrapText="1"/>
      <protection/>
    </xf>
    <xf numFmtId="3" fontId="3" fillId="42" borderId="10" xfId="0" applyNumberFormat="1" applyFont="1" applyFill="1" applyBorder="1" applyAlignment="1" applyProtection="1">
      <alignment vertical="center"/>
      <protection/>
    </xf>
    <xf numFmtId="0" fontId="3" fillId="34" borderId="0" xfId="0" applyFont="1" applyFill="1" applyAlignment="1">
      <alignment/>
    </xf>
    <xf numFmtId="0" fontId="70" fillId="34" borderId="0" xfId="0" applyFont="1" applyFill="1" applyAlignment="1" applyProtection="1">
      <alignment horizontal="right" vertical="center"/>
      <protection locked="0"/>
    </xf>
    <xf numFmtId="0" fontId="6" fillId="34" borderId="0" xfId="0" applyFont="1" applyFill="1" applyAlignment="1" applyProtection="1">
      <alignment horizontal="left" vertical="center"/>
      <protection locked="0"/>
    </xf>
    <xf numFmtId="3" fontId="3" fillId="33" borderId="21" xfId="0" applyNumberFormat="1" applyFont="1" applyFill="1" applyBorder="1" applyAlignment="1" applyProtection="1">
      <alignment vertical="center"/>
      <protection locked="0"/>
    </xf>
    <xf numFmtId="3" fontId="20" fillId="40" borderId="21" xfId="0" applyNumberFormat="1" applyFont="1" applyFill="1" applyBorder="1" applyAlignment="1" applyProtection="1">
      <alignment horizontal="center" vertical="center"/>
      <protection/>
    </xf>
    <xf numFmtId="3" fontId="4" fillId="37" borderId="21" xfId="0" applyNumberFormat="1" applyFont="1" applyFill="1" applyBorder="1" applyAlignment="1" applyProtection="1">
      <alignment vertical="center"/>
      <protection/>
    </xf>
    <xf numFmtId="3" fontId="3" fillId="37" borderId="21" xfId="0" applyNumberFormat="1" applyFont="1" applyFill="1" applyBorder="1" applyAlignment="1" applyProtection="1">
      <alignment vertical="center"/>
      <protection/>
    </xf>
    <xf numFmtId="1" fontId="3" fillId="34" borderId="23" xfId="0" applyNumberFormat="1" applyFont="1" applyFill="1" applyBorder="1" applyAlignment="1" applyProtection="1">
      <alignment horizontal="center" vertical="center"/>
      <protection/>
    </xf>
    <xf numFmtId="37" fontId="3" fillId="34" borderId="23" xfId="0" applyNumberFormat="1" applyFont="1" applyFill="1" applyBorder="1" applyAlignment="1" applyProtection="1">
      <alignment horizontal="center" vertical="center"/>
      <protection/>
    </xf>
    <xf numFmtId="0" fontId="3" fillId="34" borderId="22" xfId="0" applyNumberFormat="1" applyFont="1" applyFill="1" applyBorder="1" applyAlignment="1" applyProtection="1">
      <alignment horizontal="center" vertical="center"/>
      <protection/>
    </xf>
    <xf numFmtId="3" fontId="3" fillId="34" borderId="21" xfId="0" applyNumberFormat="1" applyFont="1" applyFill="1" applyBorder="1" applyAlignment="1" applyProtection="1">
      <alignment vertical="center"/>
      <protection/>
    </xf>
    <xf numFmtId="3" fontId="3" fillId="37" borderId="21" xfId="0" applyNumberFormat="1" applyFont="1" applyFill="1" applyBorder="1" applyAlignment="1" applyProtection="1">
      <alignment horizontal="right" vertical="center"/>
      <protection/>
    </xf>
    <xf numFmtId="3" fontId="3" fillId="33" borderId="21" xfId="0" applyNumberFormat="1" applyFont="1" applyFill="1" applyBorder="1" applyAlignment="1" applyProtection="1">
      <alignment horizontal="right" vertical="center"/>
      <protection locked="0"/>
    </xf>
    <xf numFmtId="3" fontId="4" fillId="37" borderId="21" xfId="0" applyNumberFormat="1" applyFont="1" applyFill="1" applyBorder="1" applyAlignment="1" applyProtection="1">
      <alignment horizontal="right" vertical="center"/>
      <protection/>
    </xf>
    <xf numFmtId="3" fontId="3" fillId="34" borderId="21" xfId="0" applyNumberFormat="1" applyFont="1" applyFill="1" applyBorder="1" applyAlignment="1" applyProtection="1">
      <alignment horizontal="right" vertical="center"/>
      <protection/>
    </xf>
    <xf numFmtId="1" fontId="3" fillId="34" borderId="22" xfId="0" applyNumberFormat="1" applyFont="1" applyFill="1" applyBorder="1" applyAlignment="1" applyProtection="1">
      <alignment horizontal="center" vertical="center"/>
      <protection/>
    </xf>
    <xf numFmtId="3" fontId="3" fillId="34" borderId="21" xfId="42" applyNumberFormat="1" applyFont="1" applyFill="1" applyBorder="1" applyAlignment="1" applyProtection="1">
      <alignment horizontal="right" vertical="center"/>
      <protection/>
    </xf>
    <xf numFmtId="14" fontId="3" fillId="33" borderId="12" xfId="0" applyNumberFormat="1" applyFont="1" applyFill="1" applyBorder="1" applyAlignment="1" applyProtection="1">
      <alignment horizontal="left" vertical="center"/>
      <protection locked="0"/>
    </xf>
    <xf numFmtId="14" fontId="3" fillId="33" borderId="12" xfId="0" applyNumberFormat="1" applyFont="1" applyFill="1" applyBorder="1" applyAlignment="1" applyProtection="1">
      <alignment vertical="center"/>
      <protection locked="0"/>
    </xf>
    <xf numFmtId="175" fontId="3" fillId="33" borderId="12" xfId="0" applyNumberFormat="1" applyFont="1" applyFill="1" applyBorder="1" applyAlignment="1" applyProtection="1">
      <alignment vertical="center"/>
      <protection locked="0"/>
    </xf>
    <xf numFmtId="3" fontId="3" fillId="37" borderId="13" xfId="0" applyNumberFormat="1" applyFont="1" applyFill="1" applyBorder="1" applyAlignment="1" applyProtection="1">
      <alignment vertical="center"/>
      <protection/>
    </xf>
    <xf numFmtId="37" fontId="3" fillId="37" borderId="13" xfId="0" applyNumberFormat="1" applyFont="1" applyFill="1" applyBorder="1" applyAlignment="1" applyProtection="1">
      <alignment vertical="center"/>
      <protection/>
    </xf>
    <xf numFmtId="0" fontId="3" fillId="41" borderId="0" xfId="0" applyFont="1" applyFill="1" applyBorder="1" applyAlignment="1">
      <alignment horizontal="center" vertical="center" shrinkToFit="1"/>
    </xf>
    <xf numFmtId="0" fontId="3" fillId="41" borderId="0" xfId="0" applyFont="1" applyFill="1" applyBorder="1" applyAlignment="1" applyProtection="1">
      <alignment horizontal="left" vertical="center"/>
      <protection locked="0"/>
    </xf>
    <xf numFmtId="0" fontId="20" fillId="40" borderId="21" xfId="0" applyFont="1" applyFill="1" applyBorder="1" applyAlignment="1" applyProtection="1">
      <alignment horizontal="center" vertical="center"/>
      <protection/>
    </xf>
    <xf numFmtId="172" fontId="3" fillId="37" borderId="13" xfId="0" applyNumberFormat="1" applyFont="1" applyFill="1" applyBorder="1" applyAlignment="1" applyProtection="1">
      <alignment vertical="center"/>
      <protection/>
    </xf>
    <xf numFmtId="0" fontId="7" fillId="38" borderId="13" xfId="0" applyFont="1" applyFill="1" applyBorder="1" applyAlignment="1" applyProtection="1">
      <alignment horizontal="center" vertical="center"/>
      <protection/>
    </xf>
    <xf numFmtId="0" fontId="3"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1" fillId="34" borderId="0" xfId="0" applyFont="1" applyFill="1" applyAlignment="1" applyProtection="1">
      <alignment horizontal="center" vertical="center"/>
      <protection/>
    </xf>
    <xf numFmtId="3" fontId="20" fillId="40" borderId="12" xfId="0" applyNumberFormat="1" applyFont="1" applyFill="1" applyBorder="1" applyAlignment="1" applyProtection="1">
      <alignment horizontal="center" vertical="center"/>
      <protection/>
    </xf>
    <xf numFmtId="37" fontId="3" fillId="34" borderId="12" xfId="0" applyNumberFormat="1"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7" fillId="34" borderId="12" xfId="0" applyNumberFormat="1" applyFont="1" applyFill="1" applyBorder="1" applyAlignment="1" applyProtection="1">
      <alignment horizontal="center" vertical="center"/>
      <protection/>
    </xf>
    <xf numFmtId="0" fontId="3" fillId="43" borderId="10" xfId="0" applyFont="1" applyFill="1" applyBorder="1" applyAlignment="1" applyProtection="1">
      <alignment vertical="center"/>
      <protection/>
    </xf>
    <xf numFmtId="0" fontId="3" fillId="43" borderId="11" xfId="0" applyFont="1" applyFill="1" applyBorder="1" applyAlignment="1" applyProtection="1">
      <alignment horizontal="right" vertical="center"/>
      <protection/>
    </xf>
    <xf numFmtId="0" fontId="3" fillId="43" borderId="11" xfId="0" applyFont="1" applyFill="1" applyBorder="1" applyAlignment="1" applyProtection="1">
      <alignment vertical="center"/>
      <protection/>
    </xf>
    <xf numFmtId="0" fontId="3" fillId="43" borderId="11" xfId="0" applyFont="1" applyFill="1" applyBorder="1" applyAlignment="1" applyProtection="1">
      <alignment vertical="center"/>
      <protection locked="0"/>
    </xf>
    <xf numFmtId="0" fontId="3" fillId="43" borderId="11"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3" fillId="33" borderId="12" xfId="0" applyFont="1" applyFill="1" applyBorder="1" applyAlignment="1" applyProtection="1">
      <alignment horizontal="center" vertical="center"/>
      <protection locked="0"/>
    </xf>
    <xf numFmtId="0" fontId="69" fillId="0" borderId="0" xfId="0" applyFont="1" applyAlignment="1">
      <alignment wrapText="1"/>
    </xf>
    <xf numFmtId="0" fontId="4" fillId="0" borderId="0" xfId="0" applyFont="1" applyAlignment="1">
      <alignment wrapText="1"/>
    </xf>
    <xf numFmtId="178" fontId="33" fillId="44" borderId="15" xfId="0" applyNumberFormat="1" applyFont="1" applyFill="1" applyBorder="1" applyAlignment="1" applyProtection="1">
      <alignment horizontal="center" vertical="center"/>
      <protection/>
    </xf>
    <xf numFmtId="0" fontId="7" fillId="44" borderId="10" xfId="0" applyFont="1" applyFill="1" applyBorder="1" applyAlignment="1" applyProtection="1">
      <alignment vertical="center"/>
      <protection/>
    </xf>
    <xf numFmtId="0" fontId="3" fillId="44" borderId="10" xfId="0" applyFont="1" applyFill="1" applyBorder="1" applyAlignment="1" applyProtection="1">
      <alignment vertical="center"/>
      <protection/>
    </xf>
    <xf numFmtId="0" fontId="33" fillId="44" borderId="22" xfId="0" applyFont="1" applyFill="1" applyBorder="1" applyAlignment="1" applyProtection="1">
      <alignment vertical="center"/>
      <protection/>
    </xf>
    <xf numFmtId="0" fontId="33" fillId="41" borderId="15" xfId="0" applyFont="1" applyFill="1" applyBorder="1" applyAlignment="1" applyProtection="1">
      <alignment horizontal="center" vertical="center"/>
      <protection/>
    </xf>
    <xf numFmtId="178" fontId="7" fillId="43" borderId="12" xfId="0" applyNumberFormat="1" applyFont="1" applyFill="1" applyBorder="1" applyAlignment="1" applyProtection="1">
      <alignment horizontal="center" vertical="center"/>
      <protection locked="0"/>
    </xf>
    <xf numFmtId="0" fontId="7" fillId="41" borderId="26" xfId="0" applyFont="1" applyFill="1" applyBorder="1" applyAlignment="1" applyProtection="1">
      <alignment horizontal="left" vertical="center"/>
      <protection/>
    </xf>
    <xf numFmtId="178" fontId="7" fillId="41" borderId="20" xfId="0" applyNumberFormat="1" applyFont="1" applyFill="1" applyBorder="1" applyAlignment="1" applyProtection="1">
      <alignment horizontal="center" vertical="center"/>
      <protection/>
    </xf>
    <xf numFmtId="0" fontId="7" fillId="41" borderId="26"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1" fillId="41" borderId="11" xfId="0" applyFont="1" applyFill="1" applyBorder="1" applyAlignment="1" applyProtection="1">
      <alignment horizontal="center" vertical="center"/>
      <protection/>
    </xf>
    <xf numFmtId="0" fontId="7" fillId="41" borderId="11" xfId="0" applyFont="1" applyFill="1" applyBorder="1" applyAlignment="1" applyProtection="1">
      <alignment horizontal="left" vertical="center"/>
      <protection/>
    </xf>
    <xf numFmtId="175" fontId="33" fillId="41" borderId="21" xfId="0" applyNumberFormat="1" applyFont="1" applyFill="1" applyBorder="1" applyAlignment="1" applyProtection="1">
      <alignment horizontal="center" vertical="center"/>
      <protection/>
    </xf>
    <xf numFmtId="0" fontId="3" fillId="44" borderId="15" xfId="0" applyFont="1" applyFill="1" applyBorder="1" applyAlignment="1" applyProtection="1">
      <alignment vertical="center"/>
      <protection/>
    </xf>
    <xf numFmtId="0" fontId="33" fillId="44" borderId="10" xfId="0" applyFont="1" applyFill="1" applyBorder="1" applyAlignment="1" applyProtection="1">
      <alignment vertical="center"/>
      <protection/>
    </xf>
    <xf numFmtId="178" fontId="33" fillId="44" borderId="22" xfId="0" applyNumberFormat="1" applyFont="1" applyFill="1" applyBorder="1" applyAlignment="1" applyProtection="1">
      <alignment horizontal="center" vertical="center"/>
      <protection/>
    </xf>
    <xf numFmtId="178" fontId="7" fillId="41" borderId="26" xfId="0" applyNumberFormat="1" applyFont="1" applyFill="1" applyBorder="1" applyAlignment="1" applyProtection="1">
      <alignment vertical="center"/>
      <protection/>
    </xf>
    <xf numFmtId="178" fontId="7" fillId="41" borderId="22" xfId="0" applyNumberFormat="1" applyFont="1" applyFill="1" applyBorder="1" applyAlignment="1" applyProtection="1">
      <alignment horizontal="center" vertical="center"/>
      <protection/>
    </xf>
    <xf numFmtId="0" fontId="7" fillId="41" borderId="0" xfId="0" applyFont="1" applyFill="1" applyBorder="1" applyAlignment="1" applyProtection="1">
      <alignment vertical="center"/>
      <protection/>
    </xf>
    <xf numFmtId="0" fontId="3" fillId="41" borderId="20" xfId="0" applyFont="1" applyFill="1" applyBorder="1" applyAlignment="1" applyProtection="1">
      <alignment vertical="center"/>
      <protection/>
    </xf>
    <xf numFmtId="0" fontId="3" fillId="41" borderId="0" xfId="0" applyFont="1" applyFill="1" applyBorder="1" applyAlignment="1" applyProtection="1">
      <alignment vertical="center"/>
      <protection/>
    </xf>
    <xf numFmtId="3" fontId="3" fillId="37" borderId="27" xfId="0" applyNumberFormat="1" applyFont="1" applyFill="1" applyBorder="1" applyAlignment="1" applyProtection="1">
      <alignment vertical="center"/>
      <protection/>
    </xf>
    <xf numFmtId="0" fontId="3" fillId="34" borderId="28" xfId="0" applyFont="1" applyFill="1" applyBorder="1" applyAlignment="1" applyProtection="1">
      <alignment vertical="center"/>
      <protection/>
    </xf>
    <xf numFmtId="37" fontId="3" fillId="34" borderId="28" xfId="0" applyNumberFormat="1" applyFont="1" applyFill="1" applyBorder="1" applyAlignment="1" applyProtection="1">
      <alignment vertical="center"/>
      <protection/>
    </xf>
    <xf numFmtId="164" fontId="3" fillId="37" borderId="14" xfId="0" applyNumberFormat="1" applyFont="1" applyFill="1" applyBorder="1" applyAlignment="1" applyProtection="1">
      <alignment vertical="center"/>
      <protection/>
    </xf>
    <xf numFmtId="165" fontId="3" fillId="33" borderId="0" xfId="0" applyNumberFormat="1" applyFont="1" applyFill="1" applyAlignment="1" applyProtection="1">
      <alignment horizontal="left" vertical="center"/>
      <protection locked="0"/>
    </xf>
    <xf numFmtId="3" fontId="3" fillId="43" borderId="12" xfId="0" applyNumberFormat="1" applyFont="1" applyFill="1" applyBorder="1" applyAlignment="1" applyProtection="1">
      <alignment horizontal="right" vertical="center"/>
      <protection locked="0"/>
    </xf>
    <xf numFmtId="0" fontId="3" fillId="43" borderId="21" xfId="0" applyNumberFormat="1" applyFont="1" applyFill="1" applyBorder="1" applyAlignment="1" applyProtection="1">
      <alignment horizontal="left" vertical="center"/>
      <protection locked="0"/>
    </xf>
    <xf numFmtId="0" fontId="7" fillId="41" borderId="0" xfId="0" applyFont="1" applyFill="1" applyBorder="1" applyAlignment="1" applyProtection="1">
      <alignment horizontal="left" vertical="center"/>
      <protection/>
    </xf>
    <xf numFmtId="178" fontId="7" fillId="41" borderId="26" xfId="0" applyNumberFormat="1" applyFont="1" applyFill="1" applyBorder="1" applyAlignment="1" applyProtection="1">
      <alignment horizontal="center" vertical="center"/>
      <protection/>
    </xf>
    <xf numFmtId="0" fontId="4" fillId="34" borderId="0" xfId="74" applyFont="1" applyFill="1" applyAlignment="1" applyProtection="1">
      <alignment vertical="center"/>
      <protection/>
    </xf>
    <xf numFmtId="0" fontId="3" fillId="34" borderId="0" xfId="86" applyFont="1" applyFill="1" applyAlignment="1" applyProtection="1">
      <alignment horizontal="right" vertical="center"/>
      <protection/>
    </xf>
    <xf numFmtId="175" fontId="3" fillId="34" borderId="0" xfId="70" applyNumberFormat="1" applyFont="1" applyFill="1" applyAlignment="1" applyProtection="1">
      <alignment horizontal="center" vertical="center"/>
      <protection/>
    </xf>
    <xf numFmtId="37" fontId="3" fillId="34" borderId="0" xfId="70" applyNumberFormat="1" applyFont="1" applyFill="1" applyAlignment="1" applyProtection="1">
      <alignment horizontal="right" vertical="center"/>
      <protection/>
    </xf>
    <xf numFmtId="0" fontId="72" fillId="34" borderId="0" xfId="70" applyFont="1" applyFill="1" applyAlignment="1" applyProtection="1">
      <alignment horizontal="center" vertical="center"/>
      <protection/>
    </xf>
    <xf numFmtId="0" fontId="3" fillId="41" borderId="26" xfId="0" applyFont="1" applyFill="1" applyBorder="1" applyAlignment="1" applyProtection="1">
      <alignment vertical="center"/>
      <protection/>
    </xf>
    <xf numFmtId="0" fontId="72" fillId="34" borderId="0" xfId="70" applyFont="1" applyFill="1" applyAlignment="1" applyProtection="1">
      <alignment horizontal="center" vertical="center"/>
      <protection/>
    </xf>
    <xf numFmtId="0" fontId="72" fillId="34" borderId="0" xfId="70" applyFont="1" applyFill="1" applyAlignment="1" applyProtection="1">
      <alignment horizontal="center" vertical="center"/>
      <protection/>
    </xf>
    <xf numFmtId="0" fontId="72" fillId="34" borderId="0" xfId="70" applyFont="1" applyFill="1" applyAlignment="1" applyProtection="1">
      <alignment horizontal="center" vertical="center"/>
      <protection/>
    </xf>
    <xf numFmtId="0" fontId="24" fillId="41" borderId="0" xfId="0" applyFont="1" applyFill="1" applyBorder="1" applyAlignment="1" applyProtection="1">
      <alignment horizontal="left" vertical="center"/>
      <protection/>
    </xf>
    <xf numFmtId="0" fontId="24" fillId="41" borderId="0" xfId="0" applyFont="1" applyFill="1" applyBorder="1" applyAlignment="1" applyProtection="1">
      <alignment vertical="center"/>
      <protection/>
    </xf>
    <xf numFmtId="0" fontId="24" fillId="44" borderId="10" xfId="0" applyFont="1" applyFill="1" applyBorder="1" applyAlignment="1" applyProtection="1">
      <alignment vertical="center"/>
      <protection/>
    </xf>
    <xf numFmtId="0" fontId="7" fillId="41" borderId="26" xfId="0" applyFont="1" applyFill="1" applyBorder="1" applyAlignment="1" applyProtection="1">
      <alignment/>
      <protection/>
    </xf>
    <xf numFmtId="0" fontId="3" fillId="41" borderId="0" xfId="0" applyFont="1" applyFill="1" applyBorder="1" applyAlignment="1" applyProtection="1">
      <alignment/>
      <protection/>
    </xf>
    <xf numFmtId="178" fontId="3" fillId="41" borderId="20" xfId="0" applyNumberFormat="1" applyFont="1" applyFill="1" applyBorder="1" applyAlignment="1" applyProtection="1">
      <alignment horizontal="center"/>
      <protection/>
    </xf>
    <xf numFmtId="0" fontId="3" fillId="41" borderId="22" xfId="0" applyFont="1" applyFill="1" applyBorder="1" applyAlignment="1" applyProtection="1">
      <alignment/>
      <protection/>
    </xf>
    <xf numFmtId="0" fontId="3" fillId="41" borderId="10" xfId="0" applyFont="1" applyFill="1" applyBorder="1" applyAlignment="1" applyProtection="1">
      <alignment/>
      <protection/>
    </xf>
    <xf numFmtId="178" fontId="3" fillId="44" borderId="15" xfId="0" applyNumberFormat="1" applyFont="1" applyFill="1" applyBorder="1" applyAlignment="1" applyProtection="1">
      <alignment horizontal="center"/>
      <protection/>
    </xf>
    <xf numFmtId="0" fontId="3" fillId="41" borderId="26" xfId="0" applyFont="1" applyFill="1" applyBorder="1" applyAlignment="1" applyProtection="1">
      <alignment/>
      <protection/>
    </xf>
    <xf numFmtId="0" fontId="3" fillId="41" borderId="20" xfId="0" applyFont="1" applyFill="1" applyBorder="1" applyAlignment="1" applyProtection="1">
      <alignment/>
      <protection/>
    </xf>
    <xf numFmtId="174" fontId="3" fillId="41" borderId="20" xfId="0" applyNumberFormat="1" applyFont="1" applyFill="1" applyBorder="1" applyAlignment="1" applyProtection="1">
      <alignment horizontal="center"/>
      <protection/>
    </xf>
    <xf numFmtId="0" fontId="3" fillId="44" borderId="26" xfId="0" applyFont="1" applyFill="1" applyBorder="1" applyAlignment="1" applyProtection="1">
      <alignment/>
      <protection/>
    </xf>
    <xf numFmtId="0" fontId="3" fillId="44" borderId="0" xfId="0" applyFont="1" applyFill="1" applyBorder="1" applyAlignment="1" applyProtection="1">
      <alignment/>
      <protection/>
    </xf>
    <xf numFmtId="178" fontId="3" fillId="44" borderId="20" xfId="0" applyNumberFormat="1" applyFont="1" applyFill="1" applyBorder="1" applyAlignment="1" applyProtection="1">
      <alignment horizontal="center"/>
      <protection/>
    </xf>
    <xf numFmtId="0" fontId="3" fillId="44" borderId="22" xfId="0" applyFont="1" applyFill="1" applyBorder="1" applyAlignment="1" applyProtection="1">
      <alignment vertical="center"/>
      <protection/>
    </xf>
    <xf numFmtId="178" fontId="3" fillId="44" borderId="15" xfId="0" applyNumberFormat="1" applyFont="1" applyFill="1" applyBorder="1" applyAlignment="1" applyProtection="1">
      <alignment horizontal="center" vertical="center"/>
      <protection/>
    </xf>
    <xf numFmtId="0" fontId="3" fillId="0" borderId="0" xfId="0" applyFont="1" applyAlignment="1" applyProtection="1">
      <alignment/>
      <protection/>
    </xf>
    <xf numFmtId="178" fontId="3" fillId="41" borderId="15" xfId="0" applyNumberFormat="1" applyFont="1" applyFill="1" applyBorder="1" applyAlignment="1" applyProtection="1">
      <alignment horizontal="center"/>
      <protection/>
    </xf>
    <xf numFmtId="0" fontId="3" fillId="44" borderId="22" xfId="0" applyFont="1" applyFill="1" applyBorder="1" applyAlignment="1" applyProtection="1">
      <alignment/>
      <protection/>
    </xf>
    <xf numFmtId="0" fontId="3" fillId="44" borderId="10" xfId="0" applyFont="1" applyFill="1" applyBorder="1" applyAlignment="1" applyProtection="1">
      <alignment/>
      <protection/>
    </xf>
    <xf numFmtId="0" fontId="3" fillId="0" borderId="0" xfId="0" applyFont="1" applyFill="1" applyBorder="1" applyAlignment="1" applyProtection="1">
      <alignment/>
      <protection/>
    </xf>
    <xf numFmtId="175" fontId="3" fillId="43" borderId="20" xfId="0" applyNumberFormat="1" applyFont="1" applyFill="1" applyBorder="1" applyAlignment="1" applyProtection="1">
      <alignment horizontal="center"/>
      <protection locked="0"/>
    </xf>
    <xf numFmtId="178" fontId="7" fillId="44" borderId="22" xfId="0" applyNumberFormat="1" applyFont="1" applyFill="1" applyBorder="1" applyAlignment="1" applyProtection="1">
      <alignment horizontal="center" vertical="center"/>
      <protection/>
    </xf>
    <xf numFmtId="0" fontId="7" fillId="44" borderId="21" xfId="0" applyFont="1" applyFill="1" applyBorder="1" applyAlignment="1" applyProtection="1">
      <alignment horizontal="center" vertical="center"/>
      <protection locked="0"/>
    </xf>
    <xf numFmtId="0" fontId="7" fillId="44" borderId="11" xfId="0" applyFont="1" applyFill="1" applyBorder="1" applyAlignment="1" applyProtection="1">
      <alignment vertical="center"/>
      <protection locked="0"/>
    </xf>
    <xf numFmtId="0" fontId="3" fillId="44" borderId="17" xfId="0" applyFont="1" applyFill="1" applyBorder="1" applyAlignment="1" applyProtection="1">
      <alignment vertical="center"/>
      <protection locked="0"/>
    </xf>
    <xf numFmtId="0" fontId="3" fillId="0" borderId="0" xfId="86" applyFont="1" applyAlignment="1">
      <alignment vertical="center" wrapText="1"/>
      <protection/>
    </xf>
    <xf numFmtId="0" fontId="3" fillId="0" borderId="0" xfId="70" applyFont="1" applyAlignment="1">
      <alignment vertical="center" wrapText="1"/>
      <protection/>
    </xf>
    <xf numFmtId="37" fontId="3"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7" fillId="3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16" fillId="34" borderId="0" xfId="0" applyFont="1" applyFill="1" applyAlignment="1" applyProtection="1">
      <alignment horizontal="center" vertical="center"/>
      <protection/>
    </xf>
    <xf numFmtId="0" fontId="2" fillId="0" borderId="0" xfId="0" applyFont="1" applyAlignment="1">
      <alignment horizontal="center" vertical="center"/>
    </xf>
    <xf numFmtId="37" fontId="4"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4" fillId="34" borderId="0" xfId="0" applyFont="1" applyFill="1" applyAlignment="1" applyProtection="1">
      <alignment horizontal="left" vertical="center"/>
      <protection/>
    </xf>
    <xf numFmtId="0" fontId="0" fillId="0" borderId="0" xfId="0" applyAlignment="1">
      <alignment horizontal="left" vertical="center"/>
    </xf>
    <xf numFmtId="0" fontId="3" fillId="35" borderId="13" xfId="0" applyFont="1" applyFill="1" applyBorder="1" applyAlignment="1" applyProtection="1">
      <alignment horizontal="center" vertical="center" wrapText="1"/>
      <protection/>
    </xf>
    <xf numFmtId="0" fontId="3" fillId="35" borderId="14" xfId="0" applyFont="1" applyFill="1" applyBorder="1" applyAlignment="1" applyProtection="1">
      <alignment horizontal="center" vertical="center" wrapText="1"/>
      <protection/>
    </xf>
    <xf numFmtId="37" fontId="16" fillId="34" borderId="0" xfId="0" applyNumberFormat="1" applyFont="1" applyFill="1" applyBorder="1" applyAlignment="1" applyProtection="1">
      <alignment horizontal="center" vertical="center"/>
      <protection/>
    </xf>
    <xf numFmtId="0" fontId="4" fillId="38" borderId="0" xfId="0" applyFont="1" applyFill="1" applyBorder="1" applyAlignment="1">
      <alignment horizontal="center" vertical="center"/>
    </xf>
    <xf numFmtId="0" fontId="2" fillId="38" borderId="0" xfId="0" applyFont="1" applyFill="1" applyBorder="1" applyAlignment="1">
      <alignment horizontal="center" vertical="center"/>
    </xf>
    <xf numFmtId="0" fontId="20" fillId="34" borderId="0" xfId="0" applyFont="1" applyFill="1" applyBorder="1" applyAlignment="1">
      <alignment vertical="center"/>
    </xf>
    <xf numFmtId="0" fontId="21" fillId="0" borderId="0" xfId="0" applyFont="1" applyAlignment="1">
      <alignment vertical="center"/>
    </xf>
    <xf numFmtId="0" fontId="3" fillId="0" borderId="0" xfId="419" applyFont="1" applyAlignment="1">
      <alignment horizontal="left" vertical="center" wrapText="1"/>
      <protection/>
    </xf>
    <xf numFmtId="0" fontId="9" fillId="0" borderId="0" xfId="419" applyFont="1" applyAlignment="1">
      <alignment horizontal="left" vertical="center" wrapText="1"/>
      <protection/>
    </xf>
    <xf numFmtId="0" fontId="16" fillId="0" borderId="0" xfId="419" applyFont="1" applyAlignment="1">
      <alignment horizontal="left" vertical="center"/>
      <protection/>
    </xf>
    <xf numFmtId="0" fontId="7"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8" fillId="45" borderId="0" xfId="0" applyFont="1" applyFill="1" applyAlignment="1">
      <alignment horizontal="right" vertical="center" textRotation="180" wrapText="1"/>
    </xf>
    <xf numFmtId="0" fontId="4" fillId="34" borderId="0" xfId="0" applyFont="1" applyFill="1" applyAlignment="1" applyProtection="1">
      <alignment horizontal="center" vertical="center"/>
      <protection/>
    </xf>
    <xf numFmtId="37" fontId="3" fillId="34" borderId="0" xfId="0" applyNumberFormat="1" applyFont="1" applyFill="1" applyAlignment="1" applyProtection="1">
      <alignment horizontal="center" vertical="center"/>
      <protection/>
    </xf>
    <xf numFmtId="0" fontId="3"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3" fillId="34" borderId="19" xfId="0" applyFont="1" applyFill="1" applyBorder="1" applyAlignment="1" applyProtection="1">
      <alignment horizontal="center" vertical="center" wrapText="1"/>
      <protection/>
    </xf>
    <xf numFmtId="0" fontId="7"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3"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 fillId="34" borderId="18" xfId="0" applyFont="1" applyFill="1" applyBorder="1" applyAlignment="1" applyProtection="1">
      <alignment horizontal="center" vertical="center"/>
      <protection/>
    </xf>
    <xf numFmtId="0" fontId="0" fillId="0" borderId="18" xfId="0" applyBorder="1" applyAlignment="1">
      <alignment vertical="center"/>
    </xf>
    <xf numFmtId="0" fontId="3" fillId="34" borderId="0" xfId="0" applyFont="1" applyFill="1" applyAlignment="1" applyProtection="1">
      <alignment horizontal="center" vertical="center"/>
      <protection/>
    </xf>
    <xf numFmtId="37" fontId="4" fillId="34" borderId="0" xfId="0" applyNumberFormat="1"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3" fillId="34" borderId="13" xfId="0" applyNumberFormat="1"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protection/>
    </xf>
    <xf numFmtId="0" fontId="3" fillId="34" borderId="0" xfId="58" applyNumberFormat="1" applyFont="1" applyFill="1" applyBorder="1" applyAlignment="1" applyProtection="1">
      <alignment horizontal="right" vertical="center"/>
      <protection/>
    </xf>
    <xf numFmtId="0" fontId="3" fillId="0" borderId="0" xfId="58" applyFont="1" applyAlignment="1" applyProtection="1">
      <alignment horizontal="right" vertical="center"/>
      <protection/>
    </xf>
    <xf numFmtId="3" fontId="3" fillId="34" borderId="18" xfId="86" applyNumberFormat="1" applyFont="1" applyFill="1" applyBorder="1" applyAlignment="1" applyProtection="1">
      <alignment horizontal="right" vertical="center"/>
      <protection/>
    </xf>
    <xf numFmtId="0" fontId="0" fillId="0" borderId="25" xfId="86" applyBorder="1" applyAlignment="1">
      <alignment horizontal="right" vertical="center"/>
      <protection/>
    </xf>
    <xf numFmtId="0" fontId="3" fillId="34" borderId="0" xfId="86" applyFont="1" applyFill="1" applyAlignment="1" applyProtection="1">
      <alignment horizontal="right" vertical="center"/>
      <protection/>
    </xf>
    <xf numFmtId="0" fontId="3" fillId="0" borderId="20" xfId="86" applyFont="1" applyBorder="1" applyAlignment="1">
      <alignment horizontal="right" vertical="center"/>
      <protection/>
    </xf>
    <xf numFmtId="0" fontId="31" fillId="41" borderId="23" xfId="0" applyFont="1" applyFill="1" applyBorder="1" applyAlignment="1" applyProtection="1">
      <alignment horizontal="center" vertical="center"/>
      <protection/>
    </xf>
    <xf numFmtId="0" fontId="32"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1" fillId="41" borderId="18" xfId="0" applyFont="1" applyFill="1" applyBorder="1" applyAlignment="1" applyProtection="1">
      <alignment horizontal="center" vertical="center"/>
      <protection/>
    </xf>
    <xf numFmtId="0" fontId="34" fillId="41" borderId="23" xfId="0" applyFont="1" applyFill="1" applyBorder="1" applyAlignment="1" applyProtection="1">
      <alignment horizontal="center" vertical="center"/>
      <protection/>
    </xf>
    <xf numFmtId="0" fontId="18" fillId="0" borderId="18" xfId="0" applyFont="1" applyBorder="1" applyAlignment="1" applyProtection="1">
      <alignment horizontal="center" vertical="center"/>
      <protection/>
    </xf>
    <xf numFmtId="0" fontId="18" fillId="0" borderId="25" xfId="0" applyFont="1" applyBorder="1" applyAlignment="1" applyProtection="1">
      <alignment horizontal="center" vertical="center"/>
      <protection/>
    </xf>
    <xf numFmtId="0" fontId="4" fillId="34" borderId="21" xfId="0" applyFont="1" applyFill="1" applyBorder="1" applyAlignment="1">
      <alignment vertical="center"/>
    </xf>
    <xf numFmtId="0" fontId="4" fillId="34" borderId="17" xfId="0" applyFont="1" applyFill="1" applyBorder="1" applyAlignment="1">
      <alignment vertical="center"/>
    </xf>
    <xf numFmtId="0" fontId="16"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6" fillId="41" borderId="18" xfId="0" applyFont="1" applyFill="1" applyBorder="1" applyAlignment="1" applyProtection="1">
      <alignment horizontal="center"/>
      <protection/>
    </xf>
    <xf numFmtId="0" fontId="16" fillId="41" borderId="25" xfId="0" applyFont="1" applyFill="1" applyBorder="1" applyAlignment="1" applyProtection="1">
      <alignment horizontal="center"/>
      <protection/>
    </xf>
    <xf numFmtId="0" fontId="0" fillId="0" borderId="0" xfId="0" applyAlignment="1">
      <alignment vertical="center"/>
    </xf>
    <xf numFmtId="0" fontId="7" fillId="34" borderId="13" xfId="0" applyFont="1" applyFill="1" applyBorder="1" applyAlignment="1">
      <alignment horizontal="center" vertical="center" wrapText="1" shrinkToFit="1"/>
    </xf>
    <xf numFmtId="0" fontId="19" fillId="0" borderId="14" xfId="0" applyFont="1" applyBorder="1" applyAlignment="1">
      <alignment horizontal="center" vertical="center" wrapText="1" shrinkToFit="1"/>
    </xf>
    <xf numFmtId="0" fontId="5" fillId="34" borderId="0" xfId="0" applyFont="1" applyFill="1" applyAlignment="1" applyProtection="1">
      <alignment horizontal="center" vertical="center"/>
      <protection/>
    </xf>
    <xf numFmtId="37" fontId="3" fillId="41" borderId="0" xfId="0" applyNumberFormat="1" applyFont="1" applyFill="1" applyAlignment="1" applyProtection="1">
      <alignment horizontal="center" vertical="center"/>
      <protection/>
    </xf>
    <xf numFmtId="0" fontId="3"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3" fillId="34" borderId="0" xfId="0" applyFont="1" applyFill="1" applyAlignment="1" applyProtection="1">
      <alignment horizontal="right" vertical="center"/>
      <protection/>
    </xf>
    <xf numFmtId="0" fontId="12" fillId="0" borderId="0" xfId="0" applyFont="1" applyAlignment="1">
      <alignment horizontal="center"/>
    </xf>
    <xf numFmtId="0" fontId="13" fillId="0" borderId="0" xfId="0" applyFont="1" applyAlignment="1">
      <alignment horizontal="center"/>
    </xf>
    <xf numFmtId="0" fontId="6" fillId="0" borderId="0" xfId="0" applyFont="1" applyAlignment="1">
      <alignment horizontal="left" vertical="top" wrapText="1"/>
    </xf>
    <xf numFmtId="0" fontId="0" fillId="0" borderId="0" xfId="0" applyAlignment="1">
      <alignment vertical="top" wrapText="1"/>
    </xf>
    <xf numFmtId="0" fontId="6" fillId="0" borderId="0" xfId="0" applyFont="1" applyAlignment="1">
      <alignment horizontal="center"/>
    </xf>
    <xf numFmtId="0" fontId="6" fillId="0" borderId="0" xfId="444" applyFont="1" applyAlignment="1">
      <alignment horizontal="center"/>
      <protection/>
    </xf>
    <xf numFmtId="0" fontId="12" fillId="0" borderId="0" xfId="0" applyFont="1" applyAlignment="1">
      <alignment horizontal="left" wrapText="1"/>
    </xf>
    <xf numFmtId="0" fontId="0" fillId="0" borderId="0" xfId="0" applyAlignment="1">
      <alignment wrapText="1"/>
    </xf>
    <xf numFmtId="0" fontId="6"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cellXfs>
  <cellStyles count="43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3 2" xfId="47"/>
    <cellStyle name="Comma 6" xfId="48"/>
    <cellStyle name="Comma 7" xfId="49"/>
    <cellStyle name="Currency" xfId="50"/>
    <cellStyle name="Currency [0]" xfId="51"/>
    <cellStyle name="Explanatory Text" xfId="52"/>
    <cellStyle name="Good" xfId="53"/>
    <cellStyle name="Heading 1" xfId="54"/>
    <cellStyle name="Heading 2" xfId="55"/>
    <cellStyle name="Heading 3" xfId="56"/>
    <cellStyle name="Heading 4" xfId="57"/>
    <cellStyle name="Hyperlink" xfId="58"/>
    <cellStyle name="Hyperlink 2 2" xfId="59"/>
    <cellStyle name="Hyperlink 3 2" xfId="60"/>
    <cellStyle name="Hyperlink 3 3" xfId="61"/>
    <cellStyle name="Hyperlink 3 4" xfId="62"/>
    <cellStyle name="Hyperlink 4 2" xfId="63"/>
    <cellStyle name="Hyperlink 7" xfId="64"/>
    <cellStyle name="Hyperlink 7 2" xfId="65"/>
    <cellStyle name="Input" xfId="66"/>
    <cellStyle name="Linked Cell" xfId="67"/>
    <cellStyle name="Neutral" xfId="68"/>
    <cellStyle name="Normal 10" xfId="69"/>
    <cellStyle name="Normal 10 2" xfId="70"/>
    <cellStyle name="Normal 10 2 2" xfId="71"/>
    <cellStyle name="Normal 10 3" xfId="72"/>
    <cellStyle name="Normal 10 4" xfId="73"/>
    <cellStyle name="Normal 10 5" xfId="74"/>
    <cellStyle name="Normal 10 6" xfId="75"/>
    <cellStyle name="Normal 11" xfId="76"/>
    <cellStyle name="Normal 11 2" xfId="77"/>
    <cellStyle name="Normal 11 2 2" xfId="78"/>
    <cellStyle name="Normal 11 3" xfId="79"/>
    <cellStyle name="Normal 11 4" xfId="80"/>
    <cellStyle name="Normal 11 5" xfId="81"/>
    <cellStyle name="Normal 12" xfId="82"/>
    <cellStyle name="Normal 12 10" xfId="83"/>
    <cellStyle name="Normal 12 11" xfId="84"/>
    <cellStyle name="Normal 12 12" xfId="85"/>
    <cellStyle name="Normal 12 2" xfId="86"/>
    <cellStyle name="Normal 12 2 2" xfId="87"/>
    <cellStyle name="Normal 12 3" xfId="88"/>
    <cellStyle name="Normal 12 4" xfId="89"/>
    <cellStyle name="Normal 12 5" xfId="90"/>
    <cellStyle name="Normal 12 6" xfId="91"/>
    <cellStyle name="Normal 12 7" xfId="92"/>
    <cellStyle name="Normal 12 8" xfId="93"/>
    <cellStyle name="Normal 12 9" xfId="94"/>
    <cellStyle name="Normal 13" xfId="95"/>
    <cellStyle name="Normal 13 10" xfId="96"/>
    <cellStyle name="Normal 13 11" xfId="97"/>
    <cellStyle name="Normal 13 12" xfId="98"/>
    <cellStyle name="Normal 13 2" xfId="99"/>
    <cellStyle name="Normal 13 2 2" xfId="100"/>
    <cellStyle name="Normal 13 3" xfId="101"/>
    <cellStyle name="Normal 13 4" xfId="102"/>
    <cellStyle name="Normal 13 5" xfId="103"/>
    <cellStyle name="Normal 13 6" xfId="104"/>
    <cellStyle name="Normal 13 7" xfId="105"/>
    <cellStyle name="Normal 13 8" xfId="106"/>
    <cellStyle name="Normal 13 9" xfId="107"/>
    <cellStyle name="Normal 14" xfId="108"/>
    <cellStyle name="Normal 14 2" xfId="109"/>
    <cellStyle name="Normal 14 3" xfId="110"/>
    <cellStyle name="Normal 14 4" xfId="111"/>
    <cellStyle name="Normal 14 5" xfId="112"/>
    <cellStyle name="Normal 14 6" xfId="113"/>
    <cellStyle name="Normal 15" xfId="114"/>
    <cellStyle name="Normal 15 2" xfId="115"/>
    <cellStyle name="Normal 15 3" xfId="116"/>
    <cellStyle name="Normal 15 4" xfId="117"/>
    <cellStyle name="Normal 16" xfId="118"/>
    <cellStyle name="Normal 16 2" xfId="119"/>
    <cellStyle name="Normal 16 3" xfId="120"/>
    <cellStyle name="Normal 16 4" xfId="121"/>
    <cellStyle name="Normal 17" xfId="122"/>
    <cellStyle name="Normal 17 2" xfId="123"/>
    <cellStyle name="Normal 17 3" xfId="124"/>
    <cellStyle name="Normal 17 4" xfId="125"/>
    <cellStyle name="Normal 18" xfId="126"/>
    <cellStyle name="Normal 18 2" xfId="127"/>
    <cellStyle name="Normal 18 2 2" xfId="128"/>
    <cellStyle name="Normal 18 2 3" xfId="129"/>
    <cellStyle name="Normal 18 3" xfId="130"/>
    <cellStyle name="Normal 18 4" xfId="131"/>
    <cellStyle name="Normal 18 5" xfId="132"/>
    <cellStyle name="Normal 18 6" xfId="133"/>
    <cellStyle name="Normal 18 7" xfId="134"/>
    <cellStyle name="Normal 18 8" xfId="135"/>
    <cellStyle name="Normal 19" xfId="136"/>
    <cellStyle name="Normal 19 2" xfId="137"/>
    <cellStyle name="Normal 19 2 2" xfId="138"/>
    <cellStyle name="Normal 19 2 3" xfId="139"/>
    <cellStyle name="Normal 19 3" xfId="140"/>
    <cellStyle name="Normal 19 4" xfId="141"/>
    <cellStyle name="Normal 19 5" xfId="142"/>
    <cellStyle name="Normal 19 6" xfId="143"/>
    <cellStyle name="Normal 19 7" xfId="144"/>
    <cellStyle name="Normal 2" xfId="145"/>
    <cellStyle name="Normal 2 10" xfId="146"/>
    <cellStyle name="Normal 2 10 10" xfId="147"/>
    <cellStyle name="Normal 2 10 11" xfId="148"/>
    <cellStyle name="Normal 2 10 12" xfId="149"/>
    <cellStyle name="Normal 2 10 2" xfId="150"/>
    <cellStyle name="Normal 2 10 2 2" xfId="151"/>
    <cellStyle name="Normal 2 10 3" xfId="152"/>
    <cellStyle name="Normal 2 10 3 2" xfId="153"/>
    <cellStyle name="Normal 2 10 4" xfId="154"/>
    <cellStyle name="Normal 2 10 4 2" xfId="155"/>
    <cellStyle name="Normal 2 10 5" xfId="156"/>
    <cellStyle name="Normal 2 10 5 2" xfId="157"/>
    <cellStyle name="Normal 2 10 6" xfId="158"/>
    <cellStyle name="Normal 2 10 6 2" xfId="159"/>
    <cellStyle name="Normal 2 10 7" xfId="160"/>
    <cellStyle name="Normal 2 10 7 2" xfId="161"/>
    <cellStyle name="Normal 2 10 8" xfId="162"/>
    <cellStyle name="Normal 2 10 8 2" xfId="163"/>
    <cellStyle name="Normal 2 10 9" xfId="164"/>
    <cellStyle name="Normal 2 11" xfId="165"/>
    <cellStyle name="Normal 2 11 10" xfId="166"/>
    <cellStyle name="Normal 2 11 2" xfId="167"/>
    <cellStyle name="Normal 2 11 2 2" xfId="168"/>
    <cellStyle name="Normal 2 11 3" xfId="169"/>
    <cellStyle name="Normal 2 11 3 2" xfId="170"/>
    <cellStyle name="Normal 2 11 4" xfId="171"/>
    <cellStyle name="Normal 2 11 4 2" xfId="172"/>
    <cellStyle name="Normal 2 11 5" xfId="173"/>
    <cellStyle name="Normal 2 11 5 2" xfId="174"/>
    <cellStyle name="Normal 2 11 6" xfId="175"/>
    <cellStyle name="Normal 2 11 6 2" xfId="176"/>
    <cellStyle name="Normal 2 11 7" xfId="177"/>
    <cellStyle name="Normal 2 11 7 2" xfId="178"/>
    <cellStyle name="Normal 2 11 8" xfId="179"/>
    <cellStyle name="Normal 2 11 8 2" xfId="180"/>
    <cellStyle name="Normal 2 11 9" xfId="181"/>
    <cellStyle name="Normal 2 12" xfId="182"/>
    <cellStyle name="Normal 2 13" xfId="183"/>
    <cellStyle name="Normal 2 14" xfId="184"/>
    <cellStyle name="Normal 2 15" xfId="185"/>
    <cellStyle name="Normal 2 16" xfId="186"/>
    <cellStyle name="Normal 2 2" xfId="187"/>
    <cellStyle name="Normal 2 2 10" xfId="188"/>
    <cellStyle name="Normal 2 2 10 2" xfId="189"/>
    <cellStyle name="Normal 2 2 11" xfId="190"/>
    <cellStyle name="Normal 2 2 11 2" xfId="191"/>
    <cellStyle name="Normal 2 2 12" xfId="192"/>
    <cellStyle name="Normal 2 2 12 2" xfId="193"/>
    <cellStyle name="Normal 2 2 12 2 2" xfId="194"/>
    <cellStyle name="Normal 2 2 12 3" xfId="195"/>
    <cellStyle name="Normal 2 2 13" xfId="196"/>
    <cellStyle name="Normal 2 2 13 2" xfId="197"/>
    <cellStyle name="Normal 2 2 13 2 2" xfId="198"/>
    <cellStyle name="Normal 2 2 13 3" xfId="199"/>
    <cellStyle name="Normal 2 2 14" xfId="200"/>
    <cellStyle name="Normal 2 2 14 2" xfId="201"/>
    <cellStyle name="Normal 2 2 15" xfId="202"/>
    <cellStyle name="Normal 2 2 15 2" xfId="203"/>
    <cellStyle name="Normal 2 2 16" xfId="204"/>
    <cellStyle name="Normal 2 2 16 2" xfId="205"/>
    <cellStyle name="Normal 2 2 16 3" xfId="206"/>
    <cellStyle name="Normal 2 2 17" xfId="207"/>
    <cellStyle name="Normal 2 2 18" xfId="208"/>
    <cellStyle name="Normal 2 2 19" xfId="209"/>
    <cellStyle name="Normal 2 2 2" xfId="210"/>
    <cellStyle name="Normal 2 2 2 2" xfId="211"/>
    <cellStyle name="Normal 2 2 2 2 2" xfId="212"/>
    <cellStyle name="Normal 2 2 2 2 3" xfId="213"/>
    <cellStyle name="Normal 2 2 2 3" xfId="214"/>
    <cellStyle name="Normal 2 2 2 3 2" xfId="215"/>
    <cellStyle name="Normal 2 2 2 4" xfId="216"/>
    <cellStyle name="Normal 2 2 2 4 2" xfId="217"/>
    <cellStyle name="Normal 2 2 2 5" xfId="218"/>
    <cellStyle name="Normal 2 2 2 5 2" xfId="219"/>
    <cellStyle name="Normal 2 2 2 6" xfId="220"/>
    <cellStyle name="Normal 2 2 2 6 2" xfId="221"/>
    <cellStyle name="Normal 2 2 2 7" xfId="222"/>
    <cellStyle name="Normal 2 2 2 8" xfId="223"/>
    <cellStyle name="Normal 2 2 20" xfId="224"/>
    <cellStyle name="Normal 2 2 21" xfId="225"/>
    <cellStyle name="Normal 2 2 3" xfId="226"/>
    <cellStyle name="Normal 2 2 3 2" xfId="227"/>
    <cellStyle name="Normal 2 2 4" xfId="228"/>
    <cellStyle name="Normal 2 2 4 2" xfId="229"/>
    <cellStyle name="Normal 2 2 5" xfId="230"/>
    <cellStyle name="Normal 2 2 5 2" xfId="231"/>
    <cellStyle name="Normal 2 2 6" xfId="232"/>
    <cellStyle name="Normal 2 2 6 2" xfId="233"/>
    <cellStyle name="Normal 2 2 7" xfId="234"/>
    <cellStyle name="Normal 2 2 7 2" xfId="235"/>
    <cellStyle name="Normal 2 2 8" xfId="236"/>
    <cellStyle name="Normal 2 2 8 2" xfId="237"/>
    <cellStyle name="Normal 2 2 9" xfId="238"/>
    <cellStyle name="Normal 2 2 9 2" xfId="239"/>
    <cellStyle name="Normal 2 3" xfId="240"/>
    <cellStyle name="Normal 2 3 10" xfId="241"/>
    <cellStyle name="Normal 2 3 11" xfId="242"/>
    <cellStyle name="Normal 2 3 12" xfId="243"/>
    <cellStyle name="Normal 2 3 13" xfId="244"/>
    <cellStyle name="Normal 2 3 14" xfId="245"/>
    <cellStyle name="Normal 2 3 15" xfId="246"/>
    <cellStyle name="Normal 2 3 2" xfId="247"/>
    <cellStyle name="Normal 2 3 2 2" xfId="248"/>
    <cellStyle name="Normal 2 3 2 2 2" xfId="249"/>
    <cellStyle name="Normal 2 3 2 2 3" xfId="250"/>
    <cellStyle name="Normal 2 3 2 3" xfId="251"/>
    <cellStyle name="Normal 2 3 2 4" xfId="252"/>
    <cellStyle name="Normal 2 3 3" xfId="253"/>
    <cellStyle name="Normal 2 3 3 2" xfId="254"/>
    <cellStyle name="Normal 2 3 3 3"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12" xfId="265"/>
    <cellStyle name="Normal 2 4 13" xfId="266"/>
    <cellStyle name="Normal 2 4 2" xfId="267"/>
    <cellStyle name="Normal 2 4 2 2" xfId="268"/>
    <cellStyle name="Normal 2 4 2 2 2" xfId="269"/>
    <cellStyle name="Normal 2 4 2 2 3" xfId="270"/>
    <cellStyle name="Normal 2 4 2 3" xfId="271"/>
    <cellStyle name="Normal 2 4 2 4" xfId="272"/>
    <cellStyle name="Normal 2 4 3" xfId="273"/>
    <cellStyle name="Normal 2 4 3 2" xfId="274"/>
    <cellStyle name="Normal 2 4 3 3" xfId="275"/>
    <cellStyle name="Normal 2 4 4" xfId="276"/>
    <cellStyle name="Normal 2 4 5" xfId="277"/>
    <cellStyle name="Normal 2 4 6" xfId="278"/>
    <cellStyle name="Normal 2 4 7" xfId="279"/>
    <cellStyle name="Normal 2 4 8" xfId="280"/>
    <cellStyle name="Normal 2 4 9" xfId="281"/>
    <cellStyle name="Normal 2 5" xfId="282"/>
    <cellStyle name="Normal 2 5 10" xfId="283"/>
    <cellStyle name="Normal 2 5 11" xfId="284"/>
    <cellStyle name="Normal 2 5 12" xfId="285"/>
    <cellStyle name="Normal 2 5 12 2" xfId="286"/>
    <cellStyle name="Normal 2 5 2" xfId="287"/>
    <cellStyle name="Normal 2 5 2 2" xfId="288"/>
    <cellStyle name="Normal 2 5 3" xfId="289"/>
    <cellStyle name="Normal 2 5 3 2" xfId="290"/>
    <cellStyle name="Normal 2 5 4" xfId="291"/>
    <cellStyle name="Normal 2 5 5" xfId="292"/>
    <cellStyle name="Normal 2 5 6" xfId="293"/>
    <cellStyle name="Normal 2 5 7" xfId="294"/>
    <cellStyle name="Normal 2 5 8" xfId="295"/>
    <cellStyle name="Normal 2 5 9" xfId="296"/>
    <cellStyle name="Normal 2 6" xfId="297"/>
    <cellStyle name="Normal 2 6 10" xfId="298"/>
    <cellStyle name="Normal 2 6 11" xfId="299"/>
    <cellStyle name="Normal 2 6 12" xfId="300"/>
    <cellStyle name="Normal 2 6 2" xfId="301"/>
    <cellStyle name="Normal 2 6 2 2" xfId="302"/>
    <cellStyle name="Normal 2 6 3" xfId="303"/>
    <cellStyle name="Normal 2 6 3 2" xfId="304"/>
    <cellStyle name="Normal 2 6 4" xfId="305"/>
    <cellStyle name="Normal 2 6 5" xfId="306"/>
    <cellStyle name="Normal 2 6 6" xfId="307"/>
    <cellStyle name="Normal 2 6 7" xfId="308"/>
    <cellStyle name="Normal 2 6 8" xfId="309"/>
    <cellStyle name="Normal 2 6 9" xfId="310"/>
    <cellStyle name="Normal 2 7" xfId="311"/>
    <cellStyle name="Normal 2 7 10" xfId="312"/>
    <cellStyle name="Normal 2 7 2" xfId="313"/>
    <cellStyle name="Normal 2 7 2 2" xfId="314"/>
    <cellStyle name="Normal 2 7 2 3" xfId="315"/>
    <cellStyle name="Normal 2 7 3" xfId="316"/>
    <cellStyle name="Normal 2 7 3 2" xfId="317"/>
    <cellStyle name="Normal 2 7 4" xfId="318"/>
    <cellStyle name="Normal 2 7 4 2" xfId="319"/>
    <cellStyle name="Normal 2 7 5" xfId="320"/>
    <cellStyle name="Normal 2 7 5 2" xfId="321"/>
    <cellStyle name="Normal 2 7 6" xfId="322"/>
    <cellStyle name="Normal 2 7 6 2" xfId="323"/>
    <cellStyle name="Normal 2 7 7" xfId="324"/>
    <cellStyle name="Normal 2 7 7 2" xfId="325"/>
    <cellStyle name="Normal 2 7 8" xfId="326"/>
    <cellStyle name="Normal 2 7 8 2" xfId="327"/>
    <cellStyle name="Normal 2 7 9" xfId="328"/>
    <cellStyle name="Normal 2 8" xfId="329"/>
    <cellStyle name="Normal 2 8 10" xfId="330"/>
    <cellStyle name="Normal 2 8 2" xfId="331"/>
    <cellStyle name="Normal 2 8 2 2" xfId="332"/>
    <cellStyle name="Normal 2 8 3" xfId="333"/>
    <cellStyle name="Normal 2 8 3 2" xfId="334"/>
    <cellStyle name="Normal 2 8 4" xfId="335"/>
    <cellStyle name="Normal 2 8 4 2" xfId="336"/>
    <cellStyle name="Normal 2 8 5" xfId="337"/>
    <cellStyle name="Normal 2 8 5 2" xfId="338"/>
    <cellStyle name="Normal 2 8 6" xfId="339"/>
    <cellStyle name="Normal 2 8 6 2" xfId="340"/>
    <cellStyle name="Normal 2 8 7" xfId="341"/>
    <cellStyle name="Normal 2 8 7 2" xfId="342"/>
    <cellStyle name="Normal 2 8 8" xfId="343"/>
    <cellStyle name="Normal 2 8 8 2" xfId="344"/>
    <cellStyle name="Normal 2 8 9" xfId="345"/>
    <cellStyle name="Normal 2 9" xfId="346"/>
    <cellStyle name="Normal 2 9 10" xfId="347"/>
    <cellStyle name="Normal 2 9 2" xfId="348"/>
    <cellStyle name="Normal 2 9 2 2" xfId="349"/>
    <cellStyle name="Normal 2 9 3" xfId="350"/>
    <cellStyle name="Normal 2 9 3 2" xfId="351"/>
    <cellStyle name="Normal 2 9 4" xfId="352"/>
    <cellStyle name="Normal 2 9 4 2" xfId="353"/>
    <cellStyle name="Normal 2 9 5" xfId="354"/>
    <cellStyle name="Normal 2 9 5 2" xfId="355"/>
    <cellStyle name="Normal 2 9 6" xfId="356"/>
    <cellStyle name="Normal 2 9 6 2" xfId="357"/>
    <cellStyle name="Normal 2 9 7" xfId="358"/>
    <cellStyle name="Normal 2 9 7 2" xfId="359"/>
    <cellStyle name="Normal 2 9 8" xfId="360"/>
    <cellStyle name="Normal 2 9 8 2" xfId="361"/>
    <cellStyle name="Normal 2 9 9" xfId="362"/>
    <cellStyle name="Normal 20" xfId="363"/>
    <cellStyle name="Normal 20 2" xfId="364"/>
    <cellStyle name="Normal 20 3" xfId="365"/>
    <cellStyle name="Normal 22" xfId="366"/>
    <cellStyle name="Normal 22 2" xfId="367"/>
    <cellStyle name="Normal 22 3" xfId="368"/>
    <cellStyle name="Normal 23" xfId="369"/>
    <cellStyle name="Normal 23 2" xfId="370"/>
    <cellStyle name="Normal 23 3" xfId="371"/>
    <cellStyle name="Normal 24" xfId="372"/>
    <cellStyle name="Normal 24 2" xfId="373"/>
    <cellStyle name="Normal 24 3" xfId="374"/>
    <cellStyle name="Normal 25" xfId="375"/>
    <cellStyle name="Normal 25 2" xfId="376"/>
    <cellStyle name="Normal 25 3" xfId="377"/>
    <cellStyle name="Normal 3" xfId="378"/>
    <cellStyle name="Normal 3 2" xfId="379"/>
    <cellStyle name="Normal 3 2 2" xfId="380"/>
    <cellStyle name="Normal 3 2 2 2" xfId="381"/>
    <cellStyle name="Normal 3 2 2 3" xfId="382"/>
    <cellStyle name="Normal 3 2 3" xfId="383"/>
    <cellStyle name="Normal 3 2 4" xfId="384"/>
    <cellStyle name="Normal 3 3" xfId="385"/>
    <cellStyle name="Normal 3 3 2" xfId="386"/>
    <cellStyle name="Normal 3 3 2 2" xfId="387"/>
    <cellStyle name="Normal 3 3 2 3" xfId="388"/>
    <cellStyle name="Normal 3 3 3" xfId="389"/>
    <cellStyle name="Normal 3 4" xfId="390"/>
    <cellStyle name="Normal 3 5" xfId="391"/>
    <cellStyle name="Normal 3 6" xfId="392"/>
    <cellStyle name="Normal 3 7" xfId="393"/>
    <cellStyle name="Normal 3 8" xfId="394"/>
    <cellStyle name="Normal 3 9" xfId="395"/>
    <cellStyle name="Normal 4 2" xfId="396"/>
    <cellStyle name="Normal 4 2 2" xfId="397"/>
    <cellStyle name="Normal 4 2 2 2" xfId="398"/>
    <cellStyle name="Normal 4 2 2 3" xfId="399"/>
    <cellStyle name="Normal 4 2 3" xfId="400"/>
    <cellStyle name="Normal 4 2 4" xfId="401"/>
    <cellStyle name="Normal 4 3" xfId="402"/>
    <cellStyle name="Normal 4 3 2" xfId="403"/>
    <cellStyle name="Normal 4 3 3" xfId="404"/>
    <cellStyle name="Normal 4 4" xfId="405"/>
    <cellStyle name="Normal 4 5" xfId="406"/>
    <cellStyle name="Normal 4 6" xfId="407"/>
    <cellStyle name="Normal 5" xfId="408"/>
    <cellStyle name="Normal 5 2" xfId="409"/>
    <cellStyle name="Normal 5 3" xfId="410"/>
    <cellStyle name="Normal 5 3 2" xfId="411"/>
    <cellStyle name="Normal 5 3 3" xfId="412"/>
    <cellStyle name="Normal 5 4" xfId="413"/>
    <cellStyle name="Normal 6" xfId="414"/>
    <cellStyle name="Normal 6 2" xfId="415"/>
    <cellStyle name="Normal 6 3" xfId="416"/>
    <cellStyle name="Normal 6 4" xfId="417"/>
    <cellStyle name="Normal 6 5" xfId="418"/>
    <cellStyle name="Normal 7" xfId="419"/>
    <cellStyle name="Normal 7 2" xfId="420"/>
    <cellStyle name="Normal 7 2 2" xfId="421"/>
    <cellStyle name="Normal 7 2 2 2" xfId="422"/>
    <cellStyle name="Normal 7 2 3" xfId="423"/>
    <cellStyle name="Normal 7 2 4" xfId="424"/>
    <cellStyle name="Normal 7 3" xfId="425"/>
    <cellStyle name="Normal 7 4" xfId="426"/>
    <cellStyle name="Normal 7 4 2" xfId="427"/>
    <cellStyle name="Normal 7 4 3" xfId="428"/>
    <cellStyle name="Normal 7 5" xfId="429"/>
    <cellStyle name="Normal 7 5 2" xfId="430"/>
    <cellStyle name="Normal 7 5 3" xfId="431"/>
    <cellStyle name="Normal 7 5 4" xfId="432"/>
    <cellStyle name="Normal 7 6" xfId="433"/>
    <cellStyle name="Normal 8" xfId="434"/>
    <cellStyle name="Normal 8 2" xfId="435"/>
    <cellStyle name="Normal 9" xfId="436"/>
    <cellStyle name="Normal 9 2" xfId="437"/>
    <cellStyle name="Normal 9 2 2" xfId="438"/>
    <cellStyle name="Normal 9 3" xfId="439"/>
    <cellStyle name="Normal 9 4" xfId="440"/>
    <cellStyle name="Normal 9 5" xfId="441"/>
    <cellStyle name="Normal_debt" xfId="442"/>
    <cellStyle name="Normal_lpform" xfId="443"/>
    <cellStyle name="Normal_Township 07" xfId="444"/>
    <cellStyle name="Note" xfId="445"/>
    <cellStyle name="Output" xfId="446"/>
    <cellStyle name="Percent" xfId="447"/>
    <cellStyle name="Title" xfId="448"/>
    <cellStyle name="Total" xfId="449"/>
    <cellStyle name="Warning Text" xfId="45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oleObject" Target="../embeddings/oleObject_19_0.bin" /><Relationship Id="rId2" Type="http://schemas.openxmlformats.org/officeDocument/2006/relationships/vmlDrawing" Target="../drawings/vmlDrawing2.vm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6" t="s">
        <v>75</v>
      </c>
      <c r="B1" s="347"/>
    </row>
    <row r="2" spans="1:2" ht="15.75">
      <c r="A2" s="346"/>
      <c r="B2" s="347"/>
    </row>
    <row r="3" ht="35.25" customHeight="1">
      <c r="A3" s="348" t="s">
        <v>176</v>
      </c>
    </row>
    <row r="4" ht="15.75">
      <c r="A4" s="349"/>
    </row>
    <row r="5" ht="15.75">
      <c r="A5" s="349" t="s">
        <v>212</v>
      </c>
    </row>
    <row r="6" ht="15.75">
      <c r="A6" s="349"/>
    </row>
    <row r="7" ht="57.75" customHeight="1">
      <c r="A7" s="350" t="s">
        <v>233</v>
      </c>
    </row>
    <row r="8" ht="15.75">
      <c r="A8" s="349"/>
    </row>
    <row r="9" spans="1:2" ht="15.75">
      <c r="A9" s="351" t="s">
        <v>208</v>
      </c>
      <c r="B9" s="347"/>
    </row>
    <row r="10" spans="1:2" ht="15.75">
      <c r="A10" s="351"/>
      <c r="B10" s="347"/>
    </row>
    <row r="11" spans="1:2" ht="15.75">
      <c r="A11" s="349" t="s">
        <v>209</v>
      </c>
      <c r="B11" s="347"/>
    </row>
    <row r="12" ht="14.25" customHeight="1">
      <c r="A12" s="153"/>
    </row>
    <row r="13" s="340" customFormat="1" ht="42" customHeight="1">
      <c r="A13" s="352" t="s">
        <v>234</v>
      </c>
    </row>
    <row r="16" ht="15.75">
      <c r="A16" s="351" t="s">
        <v>0</v>
      </c>
    </row>
    <row r="17" ht="15.75">
      <c r="A17" s="153"/>
    </row>
    <row r="18" ht="15.75">
      <c r="A18" s="273" t="s">
        <v>203</v>
      </c>
    </row>
    <row r="19" ht="17.25" customHeight="1">
      <c r="A19" s="352" t="s">
        <v>127</v>
      </c>
    </row>
    <row r="20" ht="24.75" customHeight="1">
      <c r="A20" s="353" t="s">
        <v>126</v>
      </c>
    </row>
    <row r="21" ht="52.5" customHeight="1">
      <c r="A21" s="354" t="s">
        <v>128</v>
      </c>
    </row>
    <row r="22" ht="20.25" customHeight="1">
      <c r="A22" s="355" t="s">
        <v>177</v>
      </c>
    </row>
    <row r="23" s="356" customFormat="1" ht="20.25" customHeight="1">
      <c r="A23" s="308" t="s">
        <v>207</v>
      </c>
    </row>
    <row r="24" ht="21" customHeight="1">
      <c r="A24" s="352" t="s">
        <v>74</v>
      </c>
    </row>
    <row r="25" ht="15.75">
      <c r="A25" s="153"/>
    </row>
    <row r="26" ht="15.75">
      <c r="A26" s="357" t="s">
        <v>1</v>
      </c>
    </row>
    <row r="28" ht="21" customHeight="1">
      <c r="A28" s="340" t="s">
        <v>145</v>
      </c>
    </row>
    <row r="30" ht="71.25" customHeight="1">
      <c r="A30" s="340" t="s">
        <v>332</v>
      </c>
    </row>
    <row r="31" ht="49.5" customHeight="1">
      <c r="A31" s="358" t="s">
        <v>206</v>
      </c>
    </row>
    <row r="32" ht="73.5" customHeight="1">
      <c r="A32" s="377" t="s">
        <v>275</v>
      </c>
    </row>
    <row r="33" ht="69.75" customHeight="1">
      <c r="A33" s="378" t="s">
        <v>276</v>
      </c>
    </row>
    <row r="35" ht="71.25" customHeight="1">
      <c r="A35" s="340" t="s">
        <v>333</v>
      </c>
    </row>
    <row r="36" ht="57.75" customHeight="1">
      <c r="A36" s="340" t="s">
        <v>277</v>
      </c>
    </row>
    <row r="37" ht="105" customHeight="1">
      <c r="A37" s="340" t="s">
        <v>278</v>
      </c>
    </row>
    <row r="38" ht="15.75">
      <c r="A38" s="340"/>
    </row>
    <row r="39" ht="70.5" customHeight="1">
      <c r="A39" s="340" t="s">
        <v>279</v>
      </c>
    </row>
    <row r="40" ht="70.5" customHeight="1">
      <c r="A40" s="340" t="s">
        <v>280</v>
      </c>
    </row>
    <row r="41" ht="39" customHeight="1">
      <c r="A41" s="340" t="s">
        <v>281</v>
      </c>
    </row>
    <row r="42" ht="15.75">
      <c r="A42" s="340"/>
    </row>
    <row r="43" ht="71.25" customHeight="1">
      <c r="A43" s="340" t="s">
        <v>282</v>
      </c>
    </row>
    <row r="44" ht="42" customHeight="1">
      <c r="A44" s="340" t="s">
        <v>283</v>
      </c>
    </row>
    <row r="45" ht="44.25" customHeight="1">
      <c r="A45" s="340" t="s">
        <v>284</v>
      </c>
    </row>
    <row r="47" ht="51.75" customHeight="1">
      <c r="A47" s="340" t="s">
        <v>285</v>
      </c>
    </row>
    <row r="49" ht="35.25" customHeight="1">
      <c r="A49" s="340" t="s">
        <v>286</v>
      </c>
    </row>
    <row r="50" ht="23.25" customHeight="1">
      <c r="A50" s="98" t="s">
        <v>287</v>
      </c>
    </row>
    <row r="51" ht="72.75" customHeight="1">
      <c r="A51" s="340" t="s">
        <v>301</v>
      </c>
    </row>
    <row r="52" ht="29.25" customHeight="1">
      <c r="A52" s="340" t="s">
        <v>288</v>
      </c>
    </row>
    <row r="54" ht="72" customHeight="1">
      <c r="A54" s="340" t="s">
        <v>289</v>
      </c>
    </row>
    <row r="56" ht="67.5" customHeight="1">
      <c r="A56" s="340" t="s">
        <v>290</v>
      </c>
    </row>
    <row r="57" ht="15.75">
      <c r="A57" s="340"/>
    </row>
    <row r="58" ht="53.25" customHeight="1">
      <c r="A58" s="340" t="s">
        <v>291</v>
      </c>
    </row>
    <row r="59" ht="70.5" customHeight="1">
      <c r="A59" s="492" t="s">
        <v>334</v>
      </c>
    </row>
    <row r="60" ht="53.25" customHeight="1">
      <c r="A60" s="492" t="s">
        <v>335</v>
      </c>
    </row>
    <row r="61" ht="53.25" customHeight="1">
      <c r="A61" s="493" t="s">
        <v>336</v>
      </c>
    </row>
    <row r="62" ht="68.25" customHeight="1">
      <c r="A62" s="492" t="s">
        <v>337</v>
      </c>
    </row>
    <row r="63" ht="69" customHeight="1">
      <c r="A63" s="340" t="s">
        <v>338</v>
      </c>
    </row>
    <row r="64" ht="90" customHeight="1">
      <c r="A64" s="340" t="s">
        <v>339</v>
      </c>
    </row>
    <row r="65" ht="113.25" customHeight="1">
      <c r="A65" s="360" t="s">
        <v>340</v>
      </c>
    </row>
    <row r="66" ht="105.75" customHeight="1">
      <c r="A66" s="361" t="s">
        <v>341</v>
      </c>
    </row>
    <row r="67" ht="77.25" customHeight="1">
      <c r="A67" s="362" t="s">
        <v>342</v>
      </c>
    </row>
    <row r="68" ht="91.5" customHeight="1">
      <c r="A68" s="340" t="s">
        <v>343</v>
      </c>
    </row>
    <row r="69" ht="113.25" customHeight="1">
      <c r="A69" s="363" t="s">
        <v>344</v>
      </c>
    </row>
    <row r="70" ht="11.25" customHeight="1">
      <c r="A70" s="340"/>
    </row>
    <row r="71" ht="120.75" customHeight="1">
      <c r="A71" s="340" t="s">
        <v>292</v>
      </c>
    </row>
    <row r="72" ht="108" customHeight="1">
      <c r="A72" s="359" t="s">
        <v>293</v>
      </c>
    </row>
    <row r="73" ht="66" customHeight="1">
      <c r="A73" s="359" t="s">
        <v>294</v>
      </c>
    </row>
    <row r="74" ht="21" customHeight="1">
      <c r="A74" s="340" t="s">
        <v>295</v>
      </c>
    </row>
    <row r="75" ht="11.25" customHeight="1">
      <c r="A75" s="340"/>
    </row>
    <row r="76" s="340" customFormat="1" ht="50.25" customHeight="1">
      <c r="A76" s="340" t="s">
        <v>296</v>
      </c>
    </row>
    <row r="77" s="340" customFormat="1" ht="23.25" customHeight="1">
      <c r="A77" s="340" t="s">
        <v>299</v>
      </c>
    </row>
    <row r="78" s="340" customFormat="1" ht="70.5" customHeight="1">
      <c r="A78" s="492" t="s">
        <v>345</v>
      </c>
    </row>
    <row r="79" s="340" customFormat="1" ht="88.5" customHeight="1">
      <c r="A79" s="492" t="s">
        <v>346</v>
      </c>
    </row>
    <row r="80" s="340" customFormat="1" ht="43.5" customHeight="1">
      <c r="A80" s="340" t="s">
        <v>347</v>
      </c>
    </row>
    <row r="81" s="340" customFormat="1" ht="54" customHeight="1">
      <c r="A81" s="340" t="s">
        <v>348</v>
      </c>
    </row>
    <row r="83" s="340" customFormat="1" ht="33.75" customHeight="1">
      <c r="A83" s="340" t="s">
        <v>297</v>
      </c>
    </row>
    <row r="85" ht="21.75" customHeight="1">
      <c r="A85" s="340" t="s">
        <v>298</v>
      </c>
    </row>
    <row r="87" ht="49.5" customHeight="1">
      <c r="A87" s="492" t="s">
        <v>349</v>
      </c>
    </row>
    <row r="88" ht="81.75" customHeight="1">
      <c r="A88" s="492" t="s">
        <v>350</v>
      </c>
    </row>
    <row r="89" ht="97.5" customHeight="1">
      <c r="A89" s="492" t="s">
        <v>351</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3">
      <selection activeCell="F30" sqref="F3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Library District #2 </v>
      </c>
      <c r="B1" s="18"/>
      <c r="C1" s="18"/>
      <c r="D1" s="18"/>
      <c r="E1" s="18"/>
      <c r="F1" s="18"/>
      <c r="G1" s="18"/>
      <c r="H1" s="18"/>
      <c r="I1" s="18"/>
      <c r="J1" s="18"/>
      <c r="K1" s="192">
        <f>inputPrYr!D6</f>
        <v>2013</v>
      </c>
    </row>
    <row r="2" spans="1:11" ht="15.75">
      <c r="A2" s="18" t="str">
        <f>inputPrYr!$D$4</f>
        <v>Linn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83</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56</v>
      </c>
      <c r="C6" s="105" t="s">
        <v>65</v>
      </c>
      <c r="D6" s="105"/>
      <c r="E6" s="105" t="s">
        <v>26</v>
      </c>
      <c r="F6" s="197"/>
      <c r="G6" s="198"/>
      <c r="H6" s="197" t="s">
        <v>57</v>
      </c>
      <c r="I6" s="198"/>
      <c r="J6" s="197" t="s">
        <v>57</v>
      </c>
      <c r="K6" s="198"/>
    </row>
    <row r="7" spans="1:11" s="195" customFormat="1" ht="15.75">
      <c r="A7" s="18"/>
      <c r="B7" s="108" t="s">
        <v>58</v>
      </c>
      <c r="C7" s="108" t="s">
        <v>59</v>
      </c>
      <c r="D7" s="108" t="s">
        <v>26</v>
      </c>
      <c r="E7" s="108" t="s">
        <v>130</v>
      </c>
      <c r="F7" s="199" t="s">
        <v>60</v>
      </c>
      <c r="G7" s="200"/>
      <c r="H7" s="199">
        <f>K1-1</f>
        <v>2012</v>
      </c>
      <c r="I7" s="200"/>
      <c r="J7" s="199">
        <f>K1</f>
        <v>2013</v>
      </c>
      <c r="K7" s="200"/>
    </row>
    <row r="8" spans="1:11" s="195" customFormat="1" ht="15.75">
      <c r="A8" s="201" t="s">
        <v>61</v>
      </c>
      <c r="B8" s="117" t="s">
        <v>62</v>
      </c>
      <c r="C8" s="117" t="s">
        <v>38</v>
      </c>
      <c r="D8" s="117" t="s">
        <v>63</v>
      </c>
      <c r="E8" s="202" t="str">
        <f>CONCATENATE("Jan 1,",K1-1,"")</f>
        <v>Jan 1,2012</v>
      </c>
      <c r="F8" s="114" t="s">
        <v>65</v>
      </c>
      <c r="G8" s="114" t="s">
        <v>66</v>
      </c>
      <c r="H8" s="114" t="s">
        <v>65</v>
      </c>
      <c r="I8" s="114" t="s">
        <v>66</v>
      </c>
      <c r="J8" s="114" t="s">
        <v>65</v>
      </c>
      <c r="K8" s="114" t="s">
        <v>66</v>
      </c>
    </row>
    <row r="9" spans="1:11" s="195" customFormat="1" ht="15.75">
      <c r="A9" s="35" t="s">
        <v>178</v>
      </c>
      <c r="B9" s="203"/>
      <c r="C9" s="35"/>
      <c r="D9" s="35"/>
      <c r="E9" s="35"/>
      <c r="F9" s="204"/>
      <c r="G9" s="204"/>
      <c r="H9" s="35"/>
      <c r="I9" s="35"/>
      <c r="J9" s="35"/>
      <c r="K9" s="35"/>
    </row>
    <row r="10" spans="1:11" s="195" customFormat="1" ht="15.75">
      <c r="A10" s="205"/>
      <c r="B10" s="397"/>
      <c r="C10" s="205"/>
      <c r="D10" s="205"/>
      <c r="E10" s="58"/>
      <c r="F10" s="206"/>
      <c r="G10" s="206"/>
      <c r="H10" s="205"/>
      <c r="I10" s="205"/>
      <c r="J10" s="205"/>
      <c r="K10" s="205"/>
    </row>
    <row r="11" spans="1:11" s="195" customFormat="1" ht="15.75">
      <c r="A11" s="36"/>
      <c r="B11" s="398"/>
      <c r="C11" s="207"/>
      <c r="D11" s="37"/>
      <c r="E11" s="37"/>
      <c r="F11" s="208"/>
      <c r="G11" s="208"/>
      <c r="H11" s="209"/>
      <c r="I11" s="209"/>
      <c r="J11" s="209"/>
      <c r="K11" s="209"/>
    </row>
    <row r="12" spans="1:11" s="195" customFormat="1" ht="15.75">
      <c r="A12" s="210" t="s">
        <v>179</v>
      </c>
      <c r="B12" s="211"/>
      <c r="C12" s="212"/>
      <c r="D12" s="213"/>
      <c r="E12" s="214">
        <f>SUM(E10:E11)</f>
        <v>0</v>
      </c>
      <c r="F12" s="215"/>
      <c r="G12" s="215"/>
      <c r="H12" s="214">
        <f>SUM(H10:H11)</f>
        <v>0</v>
      </c>
      <c r="I12" s="214">
        <f>SUM(I10:I11)</f>
        <v>0</v>
      </c>
      <c r="J12" s="214">
        <f>SUM(J10:J11)</f>
        <v>0</v>
      </c>
      <c r="K12" s="214">
        <f>SUM(K10:K11)</f>
        <v>0</v>
      </c>
    </row>
    <row r="13" spans="1:11" s="195" customFormat="1" ht="15.75">
      <c r="A13" s="210" t="s">
        <v>180</v>
      </c>
      <c r="B13" s="211"/>
      <c r="C13" s="212"/>
      <c r="D13" s="213"/>
      <c r="E13" s="128"/>
      <c r="F13" s="215"/>
      <c r="G13" s="215"/>
      <c r="H13" s="128"/>
      <c r="I13" s="128"/>
      <c r="J13" s="128"/>
      <c r="K13" s="128"/>
    </row>
    <row r="14" spans="1:11" s="195" customFormat="1" ht="15.75">
      <c r="A14" s="36"/>
      <c r="B14" s="398"/>
      <c r="C14" s="207"/>
      <c r="D14" s="37"/>
      <c r="E14" s="209"/>
      <c r="F14" s="208"/>
      <c r="G14" s="208"/>
      <c r="H14" s="209"/>
      <c r="I14" s="209"/>
      <c r="J14" s="209"/>
      <c r="K14" s="209"/>
    </row>
    <row r="15" spans="1:11" s="195" customFormat="1" ht="15.75">
      <c r="A15" s="36"/>
      <c r="B15" s="398"/>
      <c r="C15" s="207"/>
      <c r="D15" s="37"/>
      <c r="E15" s="209"/>
      <c r="F15" s="208"/>
      <c r="G15" s="208"/>
      <c r="H15" s="209"/>
      <c r="I15" s="209"/>
      <c r="J15" s="209"/>
      <c r="K15" s="209"/>
    </row>
    <row r="16" spans="1:11" s="195" customFormat="1" ht="15.75">
      <c r="A16" s="210" t="s">
        <v>181</v>
      </c>
      <c r="B16" s="211"/>
      <c r="C16" s="212"/>
      <c r="D16" s="213"/>
      <c r="E16" s="128">
        <f>SUM(E14:E15)</f>
        <v>0</v>
      </c>
      <c r="F16" s="215"/>
      <c r="G16" s="215"/>
      <c r="H16" s="214">
        <f>SUM(H14:H15)</f>
        <v>0</v>
      </c>
      <c r="I16" s="214">
        <f>SUM(I14:I15)</f>
        <v>0</v>
      </c>
      <c r="J16" s="214">
        <f>SUM(J14:J15)</f>
        <v>0</v>
      </c>
      <c r="K16" s="214">
        <f>SUM(K14:K15)</f>
        <v>0</v>
      </c>
    </row>
    <row r="17" spans="1:11" s="195" customFormat="1" ht="15.75">
      <c r="A17" s="210" t="s">
        <v>182</v>
      </c>
      <c r="B17" s="211"/>
      <c r="C17" s="212"/>
      <c r="D17" s="213"/>
      <c r="E17" s="128"/>
      <c r="F17" s="215"/>
      <c r="G17" s="215"/>
      <c r="H17" s="128"/>
      <c r="I17" s="128"/>
      <c r="J17" s="128"/>
      <c r="K17" s="128"/>
    </row>
    <row r="18" spans="1:11" s="195" customFormat="1" ht="15.75">
      <c r="A18" s="36"/>
      <c r="B18" s="398"/>
      <c r="C18" s="207"/>
      <c r="D18" s="37"/>
      <c r="E18" s="209"/>
      <c r="F18" s="208"/>
      <c r="G18" s="208"/>
      <c r="H18" s="209"/>
      <c r="I18" s="209"/>
      <c r="J18" s="209"/>
      <c r="K18" s="209"/>
    </row>
    <row r="19" spans="1:11" s="195" customFormat="1" ht="15.75">
      <c r="A19" s="36"/>
      <c r="B19" s="398"/>
      <c r="C19" s="207"/>
      <c r="D19" s="37"/>
      <c r="E19" s="209"/>
      <c r="F19" s="208"/>
      <c r="G19" s="208"/>
      <c r="H19" s="209"/>
      <c r="I19" s="209"/>
      <c r="J19" s="209"/>
      <c r="K19" s="209"/>
    </row>
    <row r="20" spans="1:11" s="195" customFormat="1" ht="15.75">
      <c r="A20" s="38" t="s">
        <v>183</v>
      </c>
      <c r="B20" s="216"/>
      <c r="C20" s="217"/>
      <c r="D20" s="47"/>
      <c r="E20" s="214">
        <f>SUM(E18:E19)</f>
        <v>0</v>
      </c>
      <c r="F20" s="215"/>
      <c r="G20" s="215"/>
      <c r="H20" s="214">
        <f>SUM(H18:H19)</f>
        <v>0</v>
      </c>
      <c r="I20" s="214">
        <f>SUM(I18:I19)</f>
        <v>0</v>
      </c>
      <c r="J20" s="214">
        <f>SUM(J18:J19)</f>
        <v>0</v>
      </c>
      <c r="K20" s="214">
        <f>SUM(K18:K19)</f>
        <v>0</v>
      </c>
    </row>
    <row r="21" spans="1:11" s="195" customFormat="1" ht="15.75">
      <c r="A21" s="218" t="s">
        <v>84</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78</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64</v>
      </c>
      <c r="D25" s="227"/>
      <c r="E25" s="105" t="s">
        <v>8</v>
      </c>
      <c r="F25" s="227"/>
      <c r="G25" s="227"/>
      <c r="H25" s="227"/>
      <c r="I25" s="228"/>
      <c r="J25" s="229"/>
      <c r="K25" s="225"/>
    </row>
    <row r="26" spans="1:11" s="226" customFormat="1" ht="15.75">
      <c r="A26" s="230"/>
      <c r="B26" s="108"/>
      <c r="C26" s="108" t="s">
        <v>58</v>
      </c>
      <c r="D26" s="108" t="s">
        <v>65</v>
      </c>
      <c r="E26" s="108" t="s">
        <v>26</v>
      </c>
      <c r="F26" s="108" t="s">
        <v>66</v>
      </c>
      <c r="G26" s="108" t="s">
        <v>67</v>
      </c>
      <c r="H26" s="108" t="s">
        <v>67</v>
      </c>
      <c r="I26" s="225"/>
      <c r="J26" s="225"/>
      <c r="K26" s="225"/>
    </row>
    <row r="27" spans="1:11" s="226" customFormat="1" ht="15.75">
      <c r="A27" s="230"/>
      <c r="B27" s="108" t="s">
        <v>68</v>
      </c>
      <c r="C27" s="108" t="s">
        <v>69</v>
      </c>
      <c r="D27" s="108" t="s">
        <v>59</v>
      </c>
      <c r="E27" s="108" t="s">
        <v>70</v>
      </c>
      <c r="F27" s="108" t="s">
        <v>110</v>
      </c>
      <c r="G27" s="108" t="s">
        <v>71</v>
      </c>
      <c r="H27" s="108" t="s">
        <v>71</v>
      </c>
      <c r="I27" s="225"/>
      <c r="J27" s="225"/>
      <c r="K27" s="225"/>
    </row>
    <row r="28" spans="1:11" s="226" customFormat="1" ht="15.75">
      <c r="A28" s="231" t="s">
        <v>72</v>
      </c>
      <c r="B28" s="117" t="s">
        <v>56</v>
      </c>
      <c r="C28" s="232" t="s">
        <v>73</v>
      </c>
      <c r="D28" s="117" t="s">
        <v>38</v>
      </c>
      <c r="E28" s="232" t="s">
        <v>131</v>
      </c>
      <c r="F28" s="202" t="str">
        <f>E8</f>
        <v>Jan 1,2012</v>
      </c>
      <c r="G28" s="117">
        <f>K1-1</f>
        <v>2012</v>
      </c>
      <c r="H28" s="117">
        <f>K1</f>
        <v>2013</v>
      </c>
      <c r="I28" s="225"/>
      <c r="J28" s="225"/>
      <c r="K28" s="225"/>
    </row>
    <row r="29" spans="1:11" s="226" customFormat="1" ht="15.75">
      <c r="A29" s="36" t="s">
        <v>356</v>
      </c>
      <c r="B29" s="398">
        <v>39171</v>
      </c>
      <c r="C29" s="233">
        <v>180</v>
      </c>
      <c r="D29" s="207">
        <v>4.92</v>
      </c>
      <c r="E29" s="37">
        <v>1187966</v>
      </c>
      <c r="F29" s="37">
        <v>874769</v>
      </c>
      <c r="G29" s="37">
        <v>109612</v>
      </c>
      <c r="H29" s="37">
        <v>109612</v>
      </c>
      <c r="I29" s="225"/>
      <c r="J29" s="225"/>
      <c r="K29" s="225"/>
    </row>
    <row r="30" spans="1:11" s="226" customFormat="1" ht="15.75">
      <c r="A30" s="36"/>
      <c r="B30" s="398"/>
      <c r="C30" s="233"/>
      <c r="D30" s="207"/>
      <c r="E30" s="37"/>
      <c r="F30" s="37"/>
      <c r="G30" s="37"/>
      <c r="H30" s="37"/>
      <c r="I30" s="225"/>
      <c r="J30" s="225"/>
      <c r="K30" s="225"/>
    </row>
    <row r="31" spans="1:11" s="226" customFormat="1" ht="15.75">
      <c r="A31" s="36"/>
      <c r="B31" s="398"/>
      <c r="C31" s="233"/>
      <c r="D31" s="207"/>
      <c r="E31" s="37"/>
      <c r="F31" s="37"/>
      <c r="G31" s="37"/>
      <c r="H31" s="37"/>
      <c r="I31" s="225"/>
      <c r="J31" s="225"/>
      <c r="K31" s="225"/>
    </row>
    <row r="32" spans="1:11" s="226" customFormat="1" ht="15.75">
      <c r="A32" s="36"/>
      <c r="B32" s="398"/>
      <c r="C32" s="233"/>
      <c r="D32" s="207"/>
      <c r="E32" s="37"/>
      <c r="F32" s="37"/>
      <c r="G32" s="37"/>
      <c r="H32" s="37"/>
      <c r="I32" s="225"/>
      <c r="J32" s="225"/>
      <c r="K32" s="225"/>
    </row>
    <row r="33" spans="1:11" s="226" customFormat="1" ht="15.75">
      <c r="A33" s="36"/>
      <c r="B33" s="398"/>
      <c r="C33" s="233"/>
      <c r="D33" s="207"/>
      <c r="E33" s="37"/>
      <c r="F33" s="37"/>
      <c r="G33" s="37"/>
      <c r="H33" s="37"/>
      <c r="I33" s="225"/>
      <c r="J33" s="225"/>
      <c r="K33" s="225"/>
    </row>
    <row r="34" spans="1:11" s="226" customFormat="1" ht="15.75">
      <c r="A34" s="36"/>
      <c r="B34" s="398"/>
      <c r="C34" s="233"/>
      <c r="D34" s="207"/>
      <c r="E34" s="37"/>
      <c r="F34" s="37"/>
      <c r="G34" s="37"/>
      <c r="H34" s="37"/>
      <c r="I34" s="225"/>
      <c r="J34" s="225"/>
      <c r="K34" s="225"/>
    </row>
    <row r="35" spans="1:11" s="226" customFormat="1" ht="15.75">
      <c r="A35" s="36"/>
      <c r="B35" s="398"/>
      <c r="C35" s="233"/>
      <c r="D35" s="207"/>
      <c r="E35" s="37"/>
      <c r="F35" s="37"/>
      <c r="G35" s="37"/>
      <c r="H35" s="37"/>
      <c r="I35" s="225"/>
      <c r="J35" s="225"/>
      <c r="K35" s="225"/>
    </row>
    <row r="36" spans="1:11" s="226" customFormat="1" ht="15.75">
      <c r="A36" s="36"/>
      <c r="B36" s="398"/>
      <c r="C36" s="233"/>
      <c r="D36" s="207"/>
      <c r="E36" s="37"/>
      <c r="F36" s="37"/>
      <c r="G36" s="37"/>
      <c r="H36" s="37"/>
      <c r="I36" s="225"/>
      <c r="J36" s="225"/>
      <c r="K36" s="225"/>
    </row>
    <row r="37" spans="1:11" s="226" customFormat="1" ht="15.75">
      <c r="A37" s="36"/>
      <c r="B37" s="398"/>
      <c r="C37" s="233"/>
      <c r="D37" s="207"/>
      <c r="E37" s="37"/>
      <c r="F37" s="37"/>
      <c r="G37" s="37"/>
      <c r="H37" s="37"/>
      <c r="I37" s="225"/>
      <c r="J37" s="225"/>
      <c r="K37" s="225"/>
    </row>
    <row r="38" spans="1:11" s="226" customFormat="1" ht="15.75">
      <c r="A38" s="36"/>
      <c r="B38" s="398"/>
      <c r="C38" s="233"/>
      <c r="D38" s="207"/>
      <c r="E38" s="37"/>
      <c r="F38" s="37"/>
      <c r="G38" s="37"/>
      <c r="H38" s="37"/>
      <c r="I38" s="225"/>
      <c r="J38" s="225"/>
      <c r="K38" s="225"/>
    </row>
    <row r="39" spans="1:11" s="226" customFormat="1" ht="15.75">
      <c r="A39" s="36"/>
      <c r="B39" s="398"/>
      <c r="C39" s="233"/>
      <c r="D39" s="207"/>
      <c r="E39" s="37"/>
      <c r="F39" s="37"/>
      <c r="G39" s="37"/>
      <c r="H39" s="37"/>
      <c r="I39" s="225"/>
      <c r="J39" s="225"/>
      <c r="K39" s="225"/>
    </row>
    <row r="40" spans="1:11" s="226" customFormat="1" ht="15.75">
      <c r="A40" s="36"/>
      <c r="B40" s="398"/>
      <c r="C40" s="233"/>
      <c r="D40" s="207"/>
      <c r="E40" s="37"/>
      <c r="F40" s="37"/>
      <c r="G40" s="37"/>
      <c r="H40" s="37"/>
      <c r="I40" s="225"/>
      <c r="J40" s="225"/>
      <c r="K40" s="225"/>
    </row>
    <row r="41" spans="1:11" s="195" customFormat="1" ht="15.75">
      <c r="A41" s="234" t="s">
        <v>84</v>
      </c>
      <c r="B41" s="235"/>
      <c r="C41" s="236"/>
      <c r="D41" s="237"/>
      <c r="E41" s="238">
        <f>SUM(E29:E40)</f>
        <v>1187966</v>
      </c>
      <c r="F41" s="239">
        <f>SUM(F29:F40)</f>
        <v>874769</v>
      </c>
      <c r="G41" s="239">
        <f>SUM(G29:G40)</f>
        <v>109612</v>
      </c>
      <c r="H41" s="239">
        <f>SUM(H29:H40)</f>
        <v>109612</v>
      </c>
      <c r="I41" s="196"/>
      <c r="J41" s="196"/>
      <c r="K41" s="79"/>
    </row>
    <row r="42" spans="1:11" ht="15.75">
      <c r="A42" s="54"/>
      <c r="B42" s="54"/>
      <c r="C42" s="54"/>
      <c r="D42" s="54"/>
      <c r="E42" s="54"/>
      <c r="F42" s="54"/>
      <c r="G42" s="54"/>
      <c r="H42" s="54"/>
      <c r="I42" s="18"/>
      <c r="J42" s="18"/>
      <c r="K42" s="18"/>
    </row>
    <row r="43" spans="1:11" ht="15.75">
      <c r="A43" s="240" t="s">
        <v>214</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J58" sqref="J5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Library District #2 </v>
      </c>
      <c r="C1" s="241"/>
      <c r="D1" s="18"/>
      <c r="E1" s="192"/>
    </row>
    <row r="2" spans="2:5" ht="15.75">
      <c r="B2" s="18" t="str">
        <f>inputPrYr!D4</f>
        <v>Linn County</v>
      </c>
      <c r="C2" s="241"/>
      <c r="D2" s="18"/>
      <c r="E2" s="145"/>
    </row>
    <row r="3" spans="2:6" ht="15.75">
      <c r="B3" s="456" t="s">
        <v>79</v>
      </c>
      <c r="C3" s="241"/>
      <c r="D3" s="18"/>
      <c r="E3" s="242"/>
      <c r="F3" s="192">
        <f>inputPrYr!$D$6</f>
        <v>2013</v>
      </c>
    </row>
    <row r="4" spans="2:5" ht="15.75">
      <c r="B4" s="18"/>
      <c r="C4" s="103"/>
      <c r="D4" s="103"/>
      <c r="E4" s="103"/>
    </row>
    <row r="5" spans="2:5" ht="15.75">
      <c r="B5" s="17" t="s">
        <v>27</v>
      </c>
      <c r="C5" s="387" t="s">
        <v>232</v>
      </c>
      <c r="D5" s="388" t="s">
        <v>231</v>
      </c>
      <c r="E5" s="243" t="s">
        <v>228</v>
      </c>
    </row>
    <row r="6" spans="2:5" ht="15.75">
      <c r="B6" s="412" t="str">
        <f>inputPrYr!B19</f>
        <v>General</v>
      </c>
      <c r="C6" s="389" t="str">
        <f>CONCATENATE("Actual ",F3-2,"")</f>
        <v>Actual 2011</v>
      </c>
      <c r="D6" s="389" t="str">
        <f>CONCATENATE("Estimate ",F3-1,"")</f>
        <v>Estimate 2012</v>
      </c>
      <c r="E6" s="244" t="str">
        <f>CONCATENATE("Year ",F3,"")</f>
        <v>Year 2013</v>
      </c>
    </row>
    <row r="7" spans="2:5" ht="15.75">
      <c r="B7" s="122" t="s">
        <v>123</v>
      </c>
      <c r="C7" s="383">
        <v>0</v>
      </c>
      <c r="D7" s="390">
        <f>C51</f>
        <v>667.789999999979</v>
      </c>
      <c r="E7" s="47">
        <f>D51</f>
        <v>930.789999999979</v>
      </c>
    </row>
    <row r="8" spans="2:5" ht="15.75">
      <c r="B8" s="246" t="s">
        <v>125</v>
      </c>
      <c r="C8" s="247"/>
      <c r="D8" s="247"/>
      <c r="E8" s="128"/>
    </row>
    <row r="9" spans="2:5" ht="15.75">
      <c r="B9" s="122" t="s">
        <v>28</v>
      </c>
      <c r="C9" s="383">
        <v>285825.79</v>
      </c>
      <c r="D9" s="390">
        <f>inputPrYr!E19</f>
        <v>298172</v>
      </c>
      <c r="E9" s="135" t="s">
        <v>23</v>
      </c>
    </row>
    <row r="10" spans="2:5" ht="15.75">
      <c r="B10" s="122" t="s">
        <v>29</v>
      </c>
      <c r="C10" s="383">
        <v>2238</v>
      </c>
      <c r="D10" s="383" t="s">
        <v>357</v>
      </c>
      <c r="E10" s="209"/>
    </row>
    <row r="11" spans="2:5" ht="15.75">
      <c r="B11" s="122" t="s">
        <v>30</v>
      </c>
      <c r="C11" s="383">
        <v>6753</v>
      </c>
      <c r="D11" s="383">
        <v>7669</v>
      </c>
      <c r="E11" s="47">
        <f>mvalloc!D11</f>
        <v>6988</v>
      </c>
    </row>
    <row r="12" spans="2:5" ht="15.75">
      <c r="B12" s="122" t="s">
        <v>31</v>
      </c>
      <c r="C12" s="383">
        <v>303</v>
      </c>
      <c r="D12" s="383">
        <v>321</v>
      </c>
      <c r="E12" s="47">
        <f>mvalloc!E11</f>
        <v>314</v>
      </c>
    </row>
    <row r="13" spans="2:5" ht="15.75">
      <c r="B13" s="247" t="s">
        <v>107</v>
      </c>
      <c r="C13" s="383"/>
      <c r="D13" s="383">
        <v>213</v>
      </c>
      <c r="E13" s="47">
        <f>mvalloc!F11</f>
        <v>242</v>
      </c>
    </row>
    <row r="14" spans="2:5" ht="15.75">
      <c r="B14" s="247" t="s">
        <v>157</v>
      </c>
      <c r="C14" s="383"/>
      <c r="D14" s="383"/>
      <c r="E14" s="47">
        <f>inputOth!E30</f>
        <v>0</v>
      </c>
    </row>
    <row r="15" spans="2:5" ht="15.75">
      <c r="B15" s="247" t="s">
        <v>158</v>
      </c>
      <c r="C15" s="383"/>
      <c r="D15" s="383"/>
      <c r="E15" s="47">
        <f>mvalloc!G11</f>
        <v>0</v>
      </c>
    </row>
    <row r="16" spans="2:5" ht="15.75">
      <c r="B16" s="248" t="s">
        <v>32</v>
      </c>
      <c r="C16" s="383"/>
      <c r="D16" s="383"/>
      <c r="E16" s="209"/>
    </row>
    <row r="17" spans="2:5" ht="15.75">
      <c r="B17" s="248"/>
      <c r="C17" s="383"/>
      <c r="D17" s="383"/>
      <c r="E17" s="209"/>
    </row>
    <row r="18" spans="2:5" ht="15.75">
      <c r="B18" s="248"/>
      <c r="C18" s="383"/>
      <c r="D18" s="383"/>
      <c r="E18" s="209"/>
    </row>
    <row r="19" spans="2:5" ht="15.75">
      <c r="B19" s="248"/>
      <c r="C19" s="383"/>
      <c r="D19" s="383"/>
      <c r="E19" s="209"/>
    </row>
    <row r="20" spans="2:5" ht="15.75">
      <c r="B20" s="248"/>
      <c r="C20" s="383"/>
      <c r="D20" s="383"/>
      <c r="E20" s="209"/>
    </row>
    <row r="21" spans="2:5" ht="15.75">
      <c r="B21" s="248"/>
      <c r="C21" s="383"/>
      <c r="D21" s="383"/>
      <c r="E21" s="209"/>
    </row>
    <row r="22" spans="2:5" ht="15.75">
      <c r="B22" s="248"/>
      <c r="C22" s="383"/>
      <c r="D22" s="383"/>
      <c r="E22" s="209"/>
    </row>
    <row r="23" spans="2:5" ht="15.75">
      <c r="B23" s="248"/>
      <c r="C23" s="383"/>
      <c r="D23" s="383"/>
      <c r="E23" s="209"/>
    </row>
    <row r="24" spans="2:5" ht="15.75">
      <c r="B24" s="249"/>
      <c r="C24" s="383"/>
      <c r="D24" s="383"/>
      <c r="E24" s="209"/>
    </row>
    <row r="25" spans="2:5" ht="15.75">
      <c r="B25" s="249" t="s">
        <v>33</v>
      </c>
      <c r="C25" s="383"/>
      <c r="D25" s="383"/>
      <c r="E25" s="209"/>
    </row>
    <row r="26" spans="2:5" ht="15.75">
      <c r="B26" s="250" t="s">
        <v>204</v>
      </c>
      <c r="C26" s="248"/>
      <c r="D26" s="248"/>
      <c r="E26" s="209"/>
    </row>
    <row r="27" spans="2:5" ht="15.75">
      <c r="B27" s="250" t="s">
        <v>309</v>
      </c>
      <c r="C27" s="384">
        <f>IF(C28*0.1&lt;C26,"Exceed 10% Rule","")</f>
      </c>
      <c r="D27" s="384">
        <f>IF(D28*0.1&lt;D26,"Exceed 10% Rule","")</f>
      </c>
      <c r="E27" s="410">
        <f>IF(E28*0.1+E57&lt;E26,"Exceed 10% Rule","")</f>
      </c>
    </row>
    <row r="28" spans="2:5" ht="15.75">
      <c r="B28" s="253" t="s">
        <v>34</v>
      </c>
      <c r="C28" s="385">
        <f>SUM(C9:C26)</f>
        <v>295119.79</v>
      </c>
      <c r="D28" s="385">
        <f>SUM(D9:D26)</f>
        <v>306375</v>
      </c>
      <c r="E28" s="254">
        <f>SUM(E9:E26)</f>
        <v>7544</v>
      </c>
    </row>
    <row r="29" spans="2:5" ht="15.75">
      <c r="B29" s="253" t="s">
        <v>35</v>
      </c>
      <c r="C29" s="385">
        <f>C7+C28</f>
        <v>295119.79</v>
      </c>
      <c r="D29" s="385">
        <f>D7+D28</f>
        <v>307042.79</v>
      </c>
      <c r="E29" s="254">
        <f>E7+E28</f>
        <v>8474.789999999979</v>
      </c>
    </row>
    <row r="30" spans="2:5" ht="15.75">
      <c r="B30" s="122" t="s">
        <v>36</v>
      </c>
      <c r="C30" s="126"/>
      <c r="D30" s="126"/>
      <c r="E30" s="38"/>
    </row>
    <row r="31" spans="2:5" ht="15.75">
      <c r="B31" s="248" t="s">
        <v>358</v>
      </c>
      <c r="C31" s="383">
        <v>24380</v>
      </c>
      <c r="D31" s="383">
        <v>27000</v>
      </c>
      <c r="E31" s="209">
        <v>32000</v>
      </c>
    </row>
    <row r="32" spans="2:5" ht="15.75">
      <c r="B32" s="248" t="s">
        <v>359</v>
      </c>
      <c r="C32" s="383">
        <v>1432</v>
      </c>
      <c r="D32" s="383">
        <v>500</v>
      </c>
      <c r="E32" s="209">
        <v>500</v>
      </c>
    </row>
    <row r="33" spans="2:5" ht="15.75">
      <c r="B33" s="248" t="s">
        <v>360</v>
      </c>
      <c r="C33" s="383">
        <v>380</v>
      </c>
      <c r="D33" s="383">
        <v>1000</v>
      </c>
      <c r="E33" s="209">
        <v>1000</v>
      </c>
    </row>
    <row r="34" spans="2:5" ht="15.75">
      <c r="B34" s="248" t="s">
        <v>361</v>
      </c>
      <c r="C34" s="383">
        <v>7332</v>
      </c>
      <c r="D34" s="383">
        <v>8000</v>
      </c>
      <c r="E34" s="209">
        <v>9000</v>
      </c>
    </row>
    <row r="35" spans="2:5" ht="15.75">
      <c r="B35" s="248" t="s">
        <v>362</v>
      </c>
      <c r="C35" s="383">
        <v>109612</v>
      </c>
      <c r="D35" s="383">
        <v>109612</v>
      </c>
      <c r="E35" s="209">
        <v>109612</v>
      </c>
    </row>
    <row r="36" spans="2:5" ht="15.75">
      <c r="B36" s="248" t="s">
        <v>363</v>
      </c>
      <c r="C36" s="383">
        <v>12321</v>
      </c>
      <c r="D36" s="383">
        <v>11000</v>
      </c>
      <c r="E36" s="209">
        <v>12000</v>
      </c>
    </row>
    <row r="37" spans="2:5" ht="15.75">
      <c r="B37" s="248" t="s">
        <v>364</v>
      </c>
      <c r="C37" s="383">
        <v>5862</v>
      </c>
      <c r="D37" s="383">
        <v>7000</v>
      </c>
      <c r="E37" s="209">
        <v>8000</v>
      </c>
    </row>
    <row r="38" spans="2:5" ht="15.75">
      <c r="B38" s="248" t="s">
        <v>365</v>
      </c>
      <c r="C38" s="383">
        <v>3171</v>
      </c>
      <c r="D38" s="383">
        <v>3000</v>
      </c>
      <c r="E38" s="209">
        <v>3000</v>
      </c>
    </row>
    <row r="39" spans="2:5" ht="15.75">
      <c r="B39" s="248" t="s">
        <v>366</v>
      </c>
      <c r="C39" s="383">
        <v>2080</v>
      </c>
      <c r="D39" s="383">
        <v>2000</v>
      </c>
      <c r="E39" s="209">
        <v>2000</v>
      </c>
    </row>
    <row r="40" spans="2:5" ht="15.75">
      <c r="B40" s="248" t="s">
        <v>367</v>
      </c>
      <c r="C40" s="383">
        <v>84561</v>
      </c>
      <c r="D40" s="383">
        <v>89000</v>
      </c>
      <c r="E40" s="209">
        <v>92000</v>
      </c>
    </row>
    <row r="41" spans="2:5" ht="15.75">
      <c r="B41" s="248" t="s">
        <v>368</v>
      </c>
      <c r="C41" s="383">
        <v>14710</v>
      </c>
      <c r="D41" s="383">
        <v>16000</v>
      </c>
      <c r="E41" s="209">
        <v>18000</v>
      </c>
    </row>
    <row r="42" spans="2:5" ht="15.75">
      <c r="B42" s="248" t="s">
        <v>369</v>
      </c>
      <c r="C42" s="383">
        <v>10967</v>
      </c>
      <c r="D42" s="383">
        <v>12000</v>
      </c>
      <c r="E42" s="209">
        <v>12000</v>
      </c>
    </row>
    <row r="43" spans="2:10" ht="15.75">
      <c r="B43" s="248" t="s">
        <v>370</v>
      </c>
      <c r="C43" s="383">
        <v>17644</v>
      </c>
      <c r="D43" s="383">
        <v>20000</v>
      </c>
      <c r="E43" s="209">
        <v>25000</v>
      </c>
      <c r="G43" s="541" t="str">
        <f>CONCATENATE("Projected Carryover Into ",F3+1,"")</f>
        <v>Projected Carryover Into 2014</v>
      </c>
      <c r="H43" s="542"/>
      <c r="I43" s="542"/>
      <c r="J43" s="543"/>
    </row>
    <row r="44" spans="2:10" ht="15.75">
      <c r="B44" s="248"/>
      <c r="C44" s="383"/>
      <c r="D44" s="383"/>
      <c r="E44" s="209"/>
      <c r="G44" s="461"/>
      <c r="H44" s="446"/>
      <c r="I44" s="446"/>
      <c r="J44" s="445"/>
    </row>
    <row r="45" spans="2:10" ht="15.75">
      <c r="B45" s="248"/>
      <c r="C45" s="383"/>
      <c r="D45" s="383"/>
      <c r="E45" s="209"/>
      <c r="G45" s="455">
        <f>D51</f>
        <v>930.789999999979</v>
      </c>
      <c r="H45" s="454" t="str">
        <f>CONCATENATE("",F3-1," Ending Cash Balance (est.)")</f>
        <v>2012 Ending Cash Balance (est.)</v>
      </c>
      <c r="I45" s="444"/>
      <c r="J45" s="445"/>
    </row>
    <row r="46" spans="2:10" ht="15.75">
      <c r="B46" s="248"/>
      <c r="C46" s="383"/>
      <c r="D46" s="383"/>
      <c r="E46" s="209"/>
      <c r="G46" s="455">
        <f>E28</f>
        <v>7544</v>
      </c>
      <c r="H46" s="444" t="str">
        <f>CONCATENATE("",F3," Non-AV Receipts (est.)")</f>
        <v>2013 Non-AV Receipts (est.)</v>
      </c>
      <c r="I46" s="444"/>
      <c r="J46" s="445"/>
    </row>
    <row r="47" spans="2:10" ht="15.75">
      <c r="B47" s="126" t="s">
        <v>205</v>
      </c>
      <c r="C47" s="383"/>
      <c r="D47" s="383"/>
      <c r="E47" s="214">
        <f>Nhood!E7</f>
      </c>
      <c r="G47" s="443">
        <f>E57</f>
        <v>315637.21</v>
      </c>
      <c r="H47" s="444" t="str">
        <f>CONCATENATE("",F3," Ad Valorem Tax (est.)")</f>
        <v>2013 Ad Valorem Tax (est.)</v>
      </c>
      <c r="I47" s="444"/>
      <c r="J47" s="445"/>
    </row>
    <row r="48" spans="2:10" ht="15.75">
      <c r="B48" s="126" t="s">
        <v>204</v>
      </c>
      <c r="C48" s="383"/>
      <c r="D48" s="383"/>
      <c r="E48" s="37"/>
      <c r="G48" s="455">
        <f>SUM(G45:G47)</f>
        <v>324112</v>
      </c>
      <c r="H48" s="444" t="str">
        <f>CONCATENATE("Total ",E4," Resources Available")</f>
        <v>Total  Resources Available</v>
      </c>
      <c r="I48" s="444"/>
      <c r="J48" s="445"/>
    </row>
    <row r="49" spans="2:10" ht="15.75">
      <c r="B49" s="126" t="s">
        <v>308</v>
      </c>
      <c r="C49" s="384">
        <f>IF(C50*0.1&lt;C48,"Exceed 10% Rule","")</f>
      </c>
      <c r="D49" s="384">
        <f>IF(D50*0.1&lt;D48,"Exceed 10% Rule","")</f>
      </c>
      <c r="E49" s="410">
        <f>IF(E50*0.1&lt;E48,"Exceed 10% Rule","")</f>
      </c>
      <c r="G49" s="442"/>
      <c r="H49" s="444"/>
      <c r="I49" s="444"/>
      <c r="J49" s="445"/>
    </row>
    <row r="50" spans="2:10" ht="15.75">
      <c r="B50" s="253" t="s">
        <v>37</v>
      </c>
      <c r="C50" s="385">
        <f>SUM(C31:C48)</f>
        <v>294452</v>
      </c>
      <c r="D50" s="385">
        <f>SUM(D31:D48)</f>
        <v>306112</v>
      </c>
      <c r="E50" s="254">
        <f>SUM(E31:E48)</f>
        <v>324112</v>
      </c>
      <c r="G50" s="443">
        <f>C50*0.05+C50</f>
        <v>309174.6</v>
      </c>
      <c r="H50" s="444" t="str">
        <f>CONCATENATE("Less ",F3-2," Expenditures + 5%")</f>
        <v>Less 2011 Expenditures + 5%</v>
      </c>
      <c r="I50" s="444"/>
      <c r="J50" s="445"/>
    </row>
    <row r="51" spans="2:10" ht="15.75">
      <c r="B51" s="122" t="s">
        <v>124</v>
      </c>
      <c r="C51" s="386">
        <f>C29-C50</f>
        <v>667.789999999979</v>
      </c>
      <c r="D51" s="386">
        <f>D29-D50</f>
        <v>930.789999999979</v>
      </c>
      <c r="E51" s="135" t="s">
        <v>23</v>
      </c>
      <c r="G51" s="441">
        <f>G48-G50</f>
        <v>14937.400000000023</v>
      </c>
      <c r="H51" s="440" t="str">
        <f>CONCATENATE("Projected ",F3+1," Carryover (est.)")</f>
        <v>Projected 2014 Carryover (est.)</v>
      </c>
      <c r="I51" s="426"/>
      <c r="J51" s="439"/>
    </row>
    <row r="52" spans="2:10" ht="15.75">
      <c r="B52" s="145" t="str">
        <f>CONCATENATE("",F3-2,"/",F3-1," Budget Authority Amount:")</f>
        <v>2011/2012 Budget Authority Amount:</v>
      </c>
      <c r="C52" s="123">
        <f>inputOth!B42</f>
        <v>297000</v>
      </c>
      <c r="D52" s="411">
        <f>inputPrYr!D19</f>
        <v>306112</v>
      </c>
      <c r="E52" s="135" t="s">
        <v>23</v>
      </c>
      <c r="F52" s="255"/>
      <c r="G52" s="16"/>
      <c r="H52" s="16"/>
      <c r="I52" s="16"/>
      <c r="J52" s="16"/>
    </row>
    <row r="53" spans="2:10" ht="15.75">
      <c r="B53" s="145"/>
      <c r="C53" s="537" t="s">
        <v>321</v>
      </c>
      <c r="D53" s="538"/>
      <c r="E53" s="37"/>
      <c r="F53" s="255">
        <f>IF(E50/0.95-E50&lt;E53,"Exceeds 5%","")</f>
      </c>
      <c r="G53" s="438">
        <f>IF(inputOth!E7=0,"",ROUND(gen!E57/inputOth!E7*1000,3))</f>
        <v>2.887</v>
      </c>
      <c r="H53" s="437" t="str">
        <f>CONCATENATE("Projected ",F3-1," Mill Rate (est.)")</f>
        <v>Projected 2012 Mill Rate (est.)</v>
      </c>
      <c r="I53" s="436"/>
      <c r="J53" s="435"/>
    </row>
    <row r="54" spans="2:10" ht="15.75">
      <c r="B54" s="409" t="str">
        <f>CONCATENATE(C70,"     ",D70)</f>
        <v>     </v>
      </c>
      <c r="C54" s="539" t="s">
        <v>322</v>
      </c>
      <c r="D54" s="540"/>
      <c r="E54" s="47">
        <f>E50+E53</f>
        <v>324112</v>
      </c>
      <c r="G54" s="434"/>
      <c r="H54" s="434"/>
      <c r="I54" s="434"/>
      <c r="J54" s="434"/>
    </row>
    <row r="55" spans="2:10" ht="15.75">
      <c r="B55" s="409" t="str">
        <f>CONCATENATE(C71,"     ",D71)</f>
        <v>     </v>
      </c>
      <c r="C55" s="460"/>
      <c r="D55" s="459" t="s">
        <v>323</v>
      </c>
      <c r="E55" s="44">
        <f>IF(E54-E29&gt;0,E54-E29,0)</f>
        <v>315637.21</v>
      </c>
      <c r="G55" s="541" t="str">
        <f>CONCATENATE("Desired Carryover Into ",F3+1,"")</f>
        <v>Desired Carryover Into 2014</v>
      </c>
      <c r="H55" s="544"/>
      <c r="I55" s="544"/>
      <c r="J55" s="543"/>
    </row>
    <row r="56" spans="2:10" ht="15.75">
      <c r="B56" s="165"/>
      <c r="C56" s="457" t="s">
        <v>324</v>
      </c>
      <c r="D56" s="458">
        <f>inputOth!$E$36</f>
        <v>0</v>
      </c>
      <c r="E56" s="47">
        <f>ROUND(IF(D56&gt;0,(E55*D56),0),0)</f>
        <v>0</v>
      </c>
      <c r="G56" s="433"/>
      <c r="H56" s="446"/>
      <c r="I56" s="444"/>
      <c r="J56" s="432"/>
    </row>
    <row r="57" spans="2:10" ht="15.75">
      <c r="B57" s="18"/>
      <c r="C57" s="535" t="str">
        <f>CONCATENATE("Amount of  ",$F$3-1," Ad Valorem Tax")</f>
        <v>Amount of  2012 Ad Valorem Tax</v>
      </c>
      <c r="D57" s="536"/>
      <c r="E57" s="44">
        <f>E55+E56</f>
        <v>315637.21</v>
      </c>
      <c r="G57" s="431" t="s">
        <v>327</v>
      </c>
      <c r="H57" s="444"/>
      <c r="I57" s="444"/>
      <c r="J57" s="430">
        <v>0</v>
      </c>
    </row>
    <row r="58" spans="2:10" ht="15.75">
      <c r="B58" s="18"/>
      <c r="C58" s="18"/>
      <c r="D58" s="18"/>
      <c r="E58" s="18"/>
      <c r="G58" s="433" t="s">
        <v>328</v>
      </c>
      <c r="H58" s="446"/>
      <c r="I58" s="446"/>
      <c r="J58" s="429">
        <f>IF(gen!J57=0,"",ROUND((J57+E57-G51)/inputOth!E7*1000,3)-G53)</f>
      </c>
    </row>
    <row r="59" spans="2:10" ht="15.75">
      <c r="B59" s="18"/>
      <c r="C59" s="18"/>
      <c r="D59" s="18"/>
      <c r="E59" s="18"/>
      <c r="G59" s="428" t="str">
        <f>CONCATENATE("",F3," Total Expenditures Must Be:")</f>
        <v>2013 Total Expenditures Must Be:</v>
      </c>
      <c r="H59" s="427"/>
      <c r="I59" s="426"/>
      <c r="J59" s="425">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211</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Library District #2 </v>
      </c>
      <c r="C1" s="18"/>
      <c r="D1" s="18"/>
      <c r="E1" s="257">
        <f>inputPrYr!$D$6</f>
        <v>2013</v>
      </c>
    </row>
    <row r="2" spans="2:5" ht="15.75">
      <c r="B2" s="18"/>
      <c r="C2" s="18"/>
      <c r="D2" s="18"/>
      <c r="E2" s="165"/>
    </row>
    <row r="3" spans="2:5" ht="15.75">
      <c r="B3" s="456" t="s">
        <v>79</v>
      </c>
      <c r="C3" s="241"/>
      <c r="D3" s="241"/>
      <c r="E3" s="258"/>
    </row>
    <row r="4" spans="2:5" ht="15.75">
      <c r="B4" s="18"/>
      <c r="C4" s="259"/>
      <c r="D4" s="259"/>
      <c r="E4" s="259"/>
    </row>
    <row r="5" spans="2:5" ht="15.75">
      <c r="B5" s="45" t="s">
        <v>27</v>
      </c>
      <c r="C5" s="387" t="s">
        <v>155</v>
      </c>
      <c r="D5" s="388" t="s">
        <v>231</v>
      </c>
      <c r="E5" s="243" t="s">
        <v>228</v>
      </c>
    </row>
    <row r="6" spans="2:5" ht="15.75">
      <c r="B6" s="413" t="s">
        <v>235</v>
      </c>
      <c r="C6" s="395">
        <f>E1-2</f>
        <v>2011</v>
      </c>
      <c r="D6" s="395" t="str">
        <f>CONCATENATE("Estimate ",E1-1,"")</f>
        <v>Estimate 2012</v>
      </c>
      <c r="E6" s="180" t="str">
        <f>CONCATENATE("Year ",E1,"")</f>
        <v>Year 2013</v>
      </c>
    </row>
    <row r="7" spans="2:5" ht="15.75">
      <c r="B7" s="116" t="s">
        <v>123</v>
      </c>
      <c r="C7" s="392"/>
      <c r="D7" s="396">
        <f>C55</f>
        <v>0</v>
      </c>
      <c r="E7" s="261">
        <f>D55</f>
        <v>0</v>
      </c>
    </row>
    <row r="8" spans="2:5" ht="15.75">
      <c r="B8" s="262" t="s">
        <v>125</v>
      </c>
      <c r="C8" s="394"/>
      <c r="D8" s="396"/>
      <c r="E8" s="261"/>
    </row>
    <row r="9" spans="2:5" ht="15.75">
      <c r="B9" s="116" t="s">
        <v>28</v>
      </c>
      <c r="C9" s="383"/>
      <c r="D9" s="394">
        <f>inputPrYr!E20</f>
        <v>0</v>
      </c>
      <c r="E9" s="263" t="s">
        <v>23</v>
      </c>
    </row>
    <row r="10" spans="2:5" ht="15.75">
      <c r="B10" s="116" t="s">
        <v>29</v>
      </c>
      <c r="C10" s="383"/>
      <c r="D10" s="383"/>
      <c r="E10" s="264"/>
    </row>
    <row r="11" spans="2:5" ht="15.75">
      <c r="B11" s="116" t="s">
        <v>30</v>
      </c>
      <c r="C11" s="383"/>
      <c r="D11" s="383"/>
      <c r="E11" s="265">
        <f>mvalloc!D12</f>
        <v>0</v>
      </c>
    </row>
    <row r="12" spans="2:5" ht="15.75">
      <c r="B12" s="116" t="s">
        <v>31</v>
      </c>
      <c r="C12" s="383"/>
      <c r="D12" s="383"/>
      <c r="E12" s="265">
        <f>mvalloc!E12</f>
        <v>0</v>
      </c>
    </row>
    <row r="13" spans="2:5" ht="15.75">
      <c r="B13" s="266" t="s">
        <v>107</v>
      </c>
      <c r="C13" s="383"/>
      <c r="D13" s="383"/>
      <c r="E13" s="265">
        <f>mvalloc!F12</f>
        <v>0</v>
      </c>
    </row>
    <row r="14" spans="2:5" ht="15.75">
      <c r="B14" s="266" t="s">
        <v>158</v>
      </c>
      <c r="C14" s="383"/>
      <c r="D14" s="383"/>
      <c r="E14" s="265">
        <f>mvalloc!G12</f>
        <v>0</v>
      </c>
    </row>
    <row r="15" spans="2:5" ht="15.75">
      <c r="B15" s="266"/>
      <c r="C15" s="383"/>
      <c r="D15" s="383"/>
      <c r="E15" s="265"/>
    </row>
    <row r="16" spans="2:5" ht="15.75">
      <c r="B16" s="453"/>
      <c r="C16" s="383"/>
      <c r="D16" s="383"/>
      <c r="E16" s="452"/>
    </row>
    <row r="17" spans="2:5" ht="15.75">
      <c r="B17" s="267"/>
      <c r="C17" s="383"/>
      <c r="D17" s="383"/>
      <c r="E17" s="264"/>
    </row>
    <row r="18" spans="2:5" ht="15.75">
      <c r="B18" s="267"/>
      <c r="C18" s="383"/>
      <c r="D18" s="383"/>
      <c r="E18" s="268"/>
    </row>
    <row r="19" spans="2:5" ht="15.75">
      <c r="B19" s="267"/>
      <c r="C19" s="383"/>
      <c r="D19" s="383"/>
      <c r="E19" s="264"/>
    </row>
    <row r="20" spans="2:5" ht="15.75">
      <c r="B20" s="267"/>
      <c r="C20" s="383"/>
      <c r="D20" s="383"/>
      <c r="E20" s="264"/>
    </row>
    <row r="21" spans="2:5" ht="15.75">
      <c r="B21" s="267"/>
      <c r="C21" s="383"/>
      <c r="D21" s="383"/>
      <c r="E21" s="264"/>
    </row>
    <row r="22" spans="2:5" ht="15.75">
      <c r="B22" s="267"/>
      <c r="C22" s="383"/>
      <c r="D22" s="383"/>
      <c r="E22" s="264"/>
    </row>
    <row r="23" spans="2:5" ht="15.75">
      <c r="B23" s="267"/>
      <c r="C23" s="383"/>
      <c r="D23" s="383"/>
      <c r="E23" s="264"/>
    </row>
    <row r="24" spans="2:5" ht="15.75">
      <c r="B24" s="267"/>
      <c r="C24" s="383"/>
      <c r="D24" s="383"/>
      <c r="E24" s="264"/>
    </row>
    <row r="25" spans="2:5" ht="15.75">
      <c r="B25" s="267"/>
      <c r="C25" s="383"/>
      <c r="D25" s="383"/>
      <c r="E25" s="264"/>
    </row>
    <row r="26" spans="2:5" ht="15.75">
      <c r="B26" s="267" t="s">
        <v>156</v>
      </c>
      <c r="C26" s="383"/>
      <c r="D26" s="383"/>
      <c r="E26" s="264"/>
    </row>
    <row r="27" spans="2:5" ht="15.75">
      <c r="B27" s="269" t="s">
        <v>33</v>
      </c>
      <c r="C27" s="383"/>
      <c r="D27" s="383"/>
      <c r="E27" s="264"/>
    </row>
    <row r="28" spans="2:5" ht="15.75">
      <c r="B28" s="250" t="s">
        <v>204</v>
      </c>
      <c r="C28" s="392"/>
      <c r="D28" s="392"/>
      <c r="E28" s="264"/>
    </row>
    <row r="29" spans="2:5" ht="15.75">
      <c r="B29" s="250" t="s">
        <v>309</v>
      </c>
      <c r="C29" s="384">
        <f>IF(C30*0.1&lt;C28,"Exceed 10% Rule","")</f>
      </c>
      <c r="D29" s="384">
        <f>IF(D30*0.1&lt;D28,"Exceed 10% Rule","")</f>
      </c>
      <c r="E29" s="410">
        <f>IF(E30*0.1+E61&lt;E28,"Exceed 10% Rule","")</f>
      </c>
    </row>
    <row r="30" spans="2:5" ht="15.75">
      <c r="B30" s="253" t="s">
        <v>34</v>
      </c>
      <c r="C30" s="393">
        <f>SUM(C9:C28)</f>
        <v>0</v>
      </c>
      <c r="D30" s="393">
        <f>SUM(D9:D28)</f>
        <v>0</v>
      </c>
      <c r="E30" s="270">
        <f>SUM(E9:E28)</f>
        <v>0</v>
      </c>
    </row>
    <row r="31" spans="2:5" ht="15.75">
      <c r="B31" s="253" t="s">
        <v>35</v>
      </c>
      <c r="C31" s="393">
        <f>C7+C30</f>
        <v>0</v>
      </c>
      <c r="D31" s="393">
        <f>D7+D30</f>
        <v>0</v>
      </c>
      <c r="E31" s="271">
        <f>E7+E30</f>
        <v>0</v>
      </c>
    </row>
    <row r="32" spans="2:5" ht="15.75">
      <c r="B32" s="262" t="s">
        <v>36</v>
      </c>
      <c r="C32" s="394"/>
      <c r="D32" s="394"/>
      <c r="E32" s="265"/>
    </row>
    <row r="33" spans="2:5" ht="15.75">
      <c r="B33" s="272"/>
      <c r="C33" s="383"/>
      <c r="D33" s="383"/>
      <c r="E33" s="264"/>
    </row>
    <row r="34" spans="2:5" ht="15.75">
      <c r="B34" s="272"/>
      <c r="C34" s="383"/>
      <c r="D34" s="383"/>
      <c r="E34" s="264"/>
    </row>
    <row r="35" spans="2:5" ht="15.75">
      <c r="B35" s="272"/>
      <c r="C35" s="383"/>
      <c r="D35" s="383"/>
      <c r="E35" s="264"/>
    </row>
    <row r="36" spans="2:5" ht="15.75">
      <c r="B36" s="272"/>
      <c r="C36" s="383"/>
      <c r="D36" s="383"/>
      <c r="E36" s="264"/>
    </row>
    <row r="37" spans="2:5" ht="15.75">
      <c r="B37" s="272"/>
      <c r="C37" s="383"/>
      <c r="D37" s="383"/>
      <c r="E37" s="264"/>
    </row>
    <row r="38" spans="2:5" ht="15.75">
      <c r="B38" s="272"/>
      <c r="C38" s="383"/>
      <c r="D38" s="383"/>
      <c r="E38" s="264"/>
    </row>
    <row r="39" spans="2:5" ht="15.75">
      <c r="B39" s="272"/>
      <c r="C39" s="383"/>
      <c r="D39" s="383"/>
      <c r="E39" s="264"/>
    </row>
    <row r="40" spans="2:5" ht="15.75">
      <c r="B40" s="272"/>
      <c r="C40" s="383"/>
      <c r="D40" s="383"/>
      <c r="E40" s="264"/>
    </row>
    <row r="41" spans="2:5" ht="15.75">
      <c r="B41" s="272"/>
      <c r="C41" s="383"/>
      <c r="D41" s="383"/>
      <c r="E41" s="264"/>
    </row>
    <row r="42" spans="2:5" ht="15.75">
      <c r="B42" s="272"/>
      <c r="C42" s="383"/>
      <c r="D42" s="383"/>
      <c r="E42" s="264"/>
    </row>
    <row r="43" spans="2:5" ht="15.75">
      <c r="B43" s="272"/>
      <c r="C43" s="383"/>
      <c r="D43" s="383"/>
      <c r="E43" s="264"/>
    </row>
    <row r="44" spans="2:5" ht="15.75">
      <c r="B44" s="272"/>
      <c r="C44" s="383"/>
      <c r="D44" s="383"/>
      <c r="E44" s="264"/>
    </row>
    <row r="45" spans="2:5" ht="15.75">
      <c r="B45" s="272"/>
      <c r="C45" s="383"/>
      <c r="D45" s="383"/>
      <c r="E45" s="264"/>
    </row>
    <row r="46" spans="2:5" ht="15.75">
      <c r="B46" s="272"/>
      <c r="C46" s="383"/>
      <c r="D46" s="383"/>
      <c r="E46" s="264"/>
    </row>
    <row r="47" spans="2:5" ht="15.75">
      <c r="B47" s="272"/>
      <c r="C47" s="383"/>
      <c r="D47" s="383"/>
      <c r="E47" s="264"/>
    </row>
    <row r="48" spans="2:5" ht="15.75">
      <c r="B48" s="272"/>
      <c r="C48" s="383"/>
      <c r="D48" s="383"/>
      <c r="E48" s="264"/>
    </row>
    <row r="49" spans="2:5" ht="15.75">
      <c r="B49" s="272"/>
      <c r="C49" s="383"/>
      <c r="D49" s="383"/>
      <c r="E49" s="264"/>
    </row>
    <row r="50" spans="2:5" ht="15.75">
      <c r="B50" s="272"/>
      <c r="C50" s="383"/>
      <c r="D50" s="383"/>
      <c r="E50" s="264"/>
    </row>
    <row r="51" spans="2:5" ht="15.75">
      <c r="B51" s="126" t="s">
        <v>205</v>
      </c>
      <c r="C51" s="392"/>
      <c r="D51" s="392"/>
      <c r="E51" s="186">
        <f>Nhood!E8</f>
      </c>
    </row>
    <row r="52" spans="2:9" ht="15.75">
      <c r="B52" s="126" t="s">
        <v>204</v>
      </c>
      <c r="C52" s="392"/>
      <c r="D52" s="392"/>
      <c r="E52" s="264"/>
      <c r="G52" s="545" t="str">
        <f>CONCATENATE("Projected Carryover Into ",E1+1,"")</f>
        <v>Projected Carryover Into 2014</v>
      </c>
      <c r="H52" s="546"/>
      <c r="I52" s="547"/>
    </row>
    <row r="53" spans="2:9" ht="15.75">
      <c r="B53" s="126" t="s">
        <v>308</v>
      </c>
      <c r="C53" s="384">
        <f>IF(C54*0.1&lt;C52,"Exceed 10% Rule","")</f>
      </c>
      <c r="D53" s="384">
        <f>IF(D54*0.1&lt;D52,"Exceed 10% Rule","")</f>
      </c>
      <c r="E53" s="410">
        <f>IF(E54*0.1&lt;E52,"Exceed 10% Rule","")</f>
      </c>
      <c r="G53" s="461"/>
      <c r="H53" s="446"/>
      <c r="I53" s="445"/>
    </row>
    <row r="54" spans="2:9" ht="15.75">
      <c r="B54" s="253" t="s">
        <v>37</v>
      </c>
      <c r="C54" s="393">
        <f>SUM(C33:C52)</f>
        <v>0</v>
      </c>
      <c r="D54" s="393">
        <f>SUM(D33:D52)</f>
        <v>0</v>
      </c>
      <c r="E54" s="270">
        <f>SUM(E33:E52)</f>
        <v>0</v>
      </c>
      <c r="G54" s="455">
        <f>D54</f>
        <v>0</v>
      </c>
      <c r="H54" s="465" t="str">
        <f>CONCATENATE("",E1-1," Ending Cash Balance (est.)")</f>
        <v>2012 Ending Cash Balance (est.)</v>
      </c>
      <c r="I54" s="445"/>
    </row>
    <row r="55" spans="2:9" ht="15.75">
      <c r="B55" s="116" t="s">
        <v>124</v>
      </c>
      <c r="C55" s="391">
        <f>C31-C54</f>
        <v>0</v>
      </c>
      <c r="D55" s="391">
        <f>D31-D54</f>
        <v>0</v>
      </c>
      <c r="E55" s="263" t="s">
        <v>23</v>
      </c>
      <c r="G55" s="455">
        <f>E30</f>
        <v>0</v>
      </c>
      <c r="H55" s="466" t="str">
        <f>CONCATENATE("",E1," Non-AV Receipts (est.)")</f>
        <v>2013 Non-AV Receipts (est.)</v>
      </c>
      <c r="I55" s="445"/>
    </row>
    <row r="56" spans="2:9" ht="15.75">
      <c r="B56" s="145" t="str">
        <f>CONCATENATE("",E1-2,"/",E1-1," Budget Authority Amount:")</f>
        <v>2011/2012 Budget Authority Amount:</v>
      </c>
      <c r="C56" s="123">
        <f>inputOth!B43</f>
        <v>0</v>
      </c>
      <c r="D56" s="411">
        <f>inputPrYr!D20</f>
        <v>0</v>
      </c>
      <c r="E56" s="263" t="s">
        <v>23</v>
      </c>
      <c r="F56" s="273"/>
      <c r="G56" s="443">
        <f>E61</f>
        <v>0</v>
      </c>
      <c r="H56" s="466" t="str">
        <f>CONCATENATE("",E1," Ad Valorem Tax (est.)")</f>
        <v>2013 Ad Valorem Tax (est.)</v>
      </c>
      <c r="I56" s="445"/>
    </row>
    <row r="57" spans="2:9" ht="15.75">
      <c r="B57" s="145"/>
      <c r="C57" s="537" t="s">
        <v>321</v>
      </c>
      <c r="D57" s="538"/>
      <c r="E57" s="37"/>
      <c r="F57" s="273">
        <f>IF(E54/0.95-E54&lt;E57,"Exceeds 5%","")</f>
      </c>
      <c r="G57" s="455">
        <f>SUM(G54:G56)</f>
        <v>0</v>
      </c>
      <c r="H57" s="466" t="str">
        <f>CONCATENATE("Total ",E1," Resources Available")</f>
        <v>Total 2013 Resources Available</v>
      </c>
      <c r="I57" s="445"/>
    </row>
    <row r="58" spans="2:9" ht="15.75">
      <c r="B58" s="409" t="str">
        <f>CONCATENATE(C69,"     ",D69)</f>
        <v>     </v>
      </c>
      <c r="C58" s="539" t="s">
        <v>322</v>
      </c>
      <c r="D58" s="540"/>
      <c r="E58" s="47">
        <f>E54+E57</f>
        <v>0</v>
      </c>
      <c r="G58" s="442"/>
      <c r="H58" s="466"/>
      <c r="I58" s="445"/>
    </row>
    <row r="59" spans="2:9" ht="15.75">
      <c r="B59" s="409" t="str">
        <f>CONCATENATE(C70,"     ",D70)</f>
        <v>     </v>
      </c>
      <c r="C59" s="462"/>
      <c r="D59" s="459" t="s">
        <v>323</v>
      </c>
      <c r="E59" s="44">
        <f>IF(E58-E31&gt;0,E58-E31,0)</f>
        <v>0</v>
      </c>
      <c r="G59" s="443">
        <f>C54</f>
        <v>0</v>
      </c>
      <c r="H59" s="466" t="str">
        <f>CONCATENATE("Less ",E1-2," Expenditures")</f>
        <v>Less 2011 Expenditures</v>
      </c>
      <c r="I59" s="445"/>
    </row>
    <row r="60" spans="2:9" ht="15.75">
      <c r="B60" s="165"/>
      <c r="C60" s="457" t="s">
        <v>324</v>
      </c>
      <c r="D60" s="458">
        <f>inputOth!$E$36</f>
        <v>0</v>
      </c>
      <c r="E60" s="47">
        <f>ROUND(IF(D60&gt;0,(E59*D60),0),0)</f>
        <v>0</v>
      </c>
      <c r="G60" s="488">
        <f>G57-G59</f>
        <v>0</v>
      </c>
      <c r="H60" s="467" t="str">
        <f>CONCATENATE("Projected ",E1+1," carryover (est.)")</f>
        <v>Projected 2014 carryover (est.)</v>
      </c>
      <c r="I60" s="439"/>
    </row>
    <row r="61" spans="2:5" ht="15.75">
      <c r="B61" s="18"/>
      <c r="C61" s="535" t="str">
        <f>CONCATENATE("Amount of  ",$E$1-1," Ad Valorem Tax")</f>
        <v>Amount of  2012 Ad Valorem Tax</v>
      </c>
      <c r="D61" s="536"/>
      <c r="E61" s="44">
        <f>E59+E60</f>
        <v>0</v>
      </c>
    </row>
    <row r="62" spans="2:9" ht="15.75">
      <c r="B62" s="165"/>
      <c r="C62" s="18"/>
      <c r="D62" s="18"/>
      <c r="E62" s="18"/>
      <c r="G62" s="489">
        <f>IF(inputOth!E7&gt;0,ROUND(DebtService!E61/inputOth!E7*1000,3),0)</f>
        <v>0</v>
      </c>
      <c r="H62" s="490" t="str">
        <f>CONCATENATE("",E1," Mill Rate")</f>
        <v>2013 Mill Rate</v>
      </c>
      <c r="I62" s="491"/>
    </row>
    <row r="63" spans="2:5" ht="15.75">
      <c r="B63" s="145" t="s">
        <v>39</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Library District #2 </v>
      </c>
      <c r="C1" s="18"/>
      <c r="D1" s="18"/>
      <c r="E1" s="192"/>
    </row>
    <row r="2" spans="2:5" ht="15.75">
      <c r="B2" s="18" t="str">
        <f>inputPrYr!D4</f>
        <v>Linn County</v>
      </c>
      <c r="C2" s="18"/>
      <c r="D2" s="18"/>
      <c r="E2" s="145"/>
    </row>
    <row r="3" spans="2:6" ht="15.75">
      <c r="B3" s="27" t="s">
        <v>79</v>
      </c>
      <c r="C3" s="241"/>
      <c r="D3" s="241"/>
      <c r="E3" s="242"/>
      <c r="F3" s="98">
        <f>inputPrYr!D6</f>
        <v>2013</v>
      </c>
    </row>
    <row r="4" spans="2:5" ht="15.75">
      <c r="B4" s="18"/>
      <c r="C4" s="109"/>
      <c r="D4" s="109"/>
      <c r="E4" s="109"/>
    </row>
    <row r="5" spans="2:5" ht="15.75">
      <c r="B5" s="17" t="s">
        <v>27</v>
      </c>
      <c r="C5" s="387" t="s">
        <v>230</v>
      </c>
      <c r="D5" s="388" t="s">
        <v>229</v>
      </c>
      <c r="E5" s="243" t="s">
        <v>228</v>
      </c>
    </row>
    <row r="6" spans="2:5" ht="15.75">
      <c r="B6" s="412">
        <f>inputPrYr!B22</f>
        <v>0</v>
      </c>
      <c r="C6" s="389" t="str">
        <f>CONCATENATE("Actual ",$F$3-2,"")</f>
        <v>Actual 2011</v>
      </c>
      <c r="D6" s="389" t="str">
        <f>CONCATENATE("Estimate ",F3-1,"")</f>
        <v>Estimate 2012</v>
      </c>
      <c r="E6" s="244" t="str">
        <f>CONCATENATE("Year ",F3,"")</f>
        <v>Year 2013</v>
      </c>
    </row>
    <row r="7" spans="2:5" ht="15.75">
      <c r="B7" s="122" t="s">
        <v>123</v>
      </c>
      <c r="C7" s="383"/>
      <c r="D7" s="390">
        <f>C34</f>
        <v>0</v>
      </c>
      <c r="E7" s="47">
        <f>D34</f>
        <v>0</v>
      </c>
    </row>
    <row r="8" spans="2:5" ht="15.75">
      <c r="B8" s="246" t="s">
        <v>125</v>
      </c>
      <c r="C8" s="247"/>
      <c r="D8" s="247"/>
      <c r="E8" s="128"/>
    </row>
    <row r="9" spans="2:5" ht="15.75">
      <c r="B9" s="122" t="s">
        <v>28</v>
      </c>
      <c r="C9" s="383"/>
      <c r="D9" s="390">
        <f>inputPrYr!E22</f>
        <v>0</v>
      </c>
      <c r="E9" s="135" t="s">
        <v>23</v>
      </c>
    </row>
    <row r="10" spans="2:5" ht="15.75">
      <c r="B10" s="122" t="s">
        <v>29</v>
      </c>
      <c r="C10" s="383"/>
      <c r="D10" s="383"/>
      <c r="E10" s="209"/>
    </row>
    <row r="11" spans="2:5" ht="15.75">
      <c r="B11" s="122" t="s">
        <v>30</v>
      </c>
      <c r="C11" s="383"/>
      <c r="D11" s="383"/>
      <c r="E11" s="47">
        <f>mvalloc!D13</f>
        <v>0</v>
      </c>
    </row>
    <row r="12" spans="2:5" ht="15.75">
      <c r="B12" s="122" t="s">
        <v>31</v>
      </c>
      <c r="C12" s="383"/>
      <c r="D12" s="383"/>
      <c r="E12" s="47">
        <f>mvalloc!E13</f>
        <v>0</v>
      </c>
    </row>
    <row r="13" spans="2:5" ht="15.75">
      <c r="B13" s="247" t="s">
        <v>107</v>
      </c>
      <c r="C13" s="383"/>
      <c r="D13" s="383"/>
      <c r="E13" s="47">
        <f>mvalloc!F13</f>
        <v>0</v>
      </c>
    </row>
    <row r="14" spans="2:5" ht="15.75">
      <c r="B14" s="247" t="s">
        <v>158</v>
      </c>
      <c r="C14" s="383"/>
      <c r="D14" s="383"/>
      <c r="E14" s="47">
        <f>mvalloc!G13</f>
        <v>0</v>
      </c>
    </row>
    <row r="15" spans="2:5" ht="15.75">
      <c r="B15" s="248"/>
      <c r="C15" s="383"/>
      <c r="D15" s="383"/>
      <c r="E15" s="209"/>
    </row>
    <row r="16" spans="2:5" ht="15.75">
      <c r="B16" s="248"/>
      <c r="C16" s="383"/>
      <c r="D16" s="383"/>
      <c r="E16" s="209"/>
    </row>
    <row r="17" spans="2:5" ht="15.75">
      <c r="B17" s="248"/>
      <c r="C17" s="383"/>
      <c r="D17" s="383"/>
      <c r="E17" s="209"/>
    </row>
    <row r="18" spans="2:5" ht="15.75">
      <c r="B18" s="249" t="s">
        <v>33</v>
      </c>
      <c r="C18" s="383"/>
      <c r="D18" s="383"/>
      <c r="E18" s="209"/>
    </row>
    <row r="19" spans="2:5" ht="15.75">
      <c r="B19" s="250" t="s">
        <v>204</v>
      </c>
      <c r="C19" s="383"/>
      <c r="D19" s="383"/>
      <c r="E19" s="37"/>
    </row>
    <row r="20" spans="2:5" ht="15.75">
      <c r="B20" s="250" t="s">
        <v>309</v>
      </c>
      <c r="C20" s="384">
        <f>IF(C21*0.1&lt;C19,"Exceed 10% Rule","")</f>
      </c>
      <c r="D20" s="384">
        <f>IF(D21*0.1&lt;D19,"Exceed 10% Rule","")</f>
      </c>
      <c r="E20" s="410">
        <f>IF(E21*0.1+E40&lt;E19,"Exceed 10% Rule","")</f>
      </c>
    </row>
    <row r="21" spans="2:5" ht="15.75">
      <c r="B21" s="253" t="s">
        <v>34</v>
      </c>
      <c r="C21" s="385">
        <f>SUM(C9:C19)</f>
        <v>0</v>
      </c>
      <c r="D21" s="385">
        <f>SUM(D9:D19)</f>
        <v>0</v>
      </c>
      <c r="E21" s="254">
        <f>SUM(E9:E19)</f>
        <v>0</v>
      </c>
    </row>
    <row r="22" spans="2:5" ht="15.75">
      <c r="B22" s="253" t="s">
        <v>35</v>
      </c>
      <c r="C22" s="385">
        <f>C7+C21</f>
        <v>0</v>
      </c>
      <c r="D22" s="385">
        <f>D7+D21</f>
        <v>0</v>
      </c>
      <c r="E22" s="254">
        <f>E7+E21</f>
        <v>0</v>
      </c>
    </row>
    <row r="23" spans="2:5" ht="15.75">
      <c r="B23" s="122" t="s">
        <v>36</v>
      </c>
      <c r="C23" s="126"/>
      <c r="D23" s="126"/>
      <c r="E23" s="38"/>
    </row>
    <row r="24" spans="2:5" ht="15.75">
      <c r="B24" s="248"/>
      <c r="C24" s="383"/>
      <c r="D24" s="383"/>
      <c r="E24" s="209"/>
    </row>
    <row r="25" spans="2:5" ht="15.75">
      <c r="B25" s="248"/>
      <c r="C25" s="383"/>
      <c r="D25" s="383"/>
      <c r="E25" s="209"/>
    </row>
    <row r="26" spans="2:5" ht="15.75">
      <c r="B26" s="248"/>
      <c r="C26" s="383"/>
      <c r="D26" s="383"/>
      <c r="E26" s="209"/>
    </row>
    <row r="27" spans="2:5" ht="15.75">
      <c r="B27" s="248"/>
      <c r="C27" s="383"/>
      <c r="D27" s="383"/>
      <c r="E27" s="209"/>
    </row>
    <row r="28" spans="2:5" ht="15.75">
      <c r="B28" s="248"/>
      <c r="C28" s="383"/>
      <c r="D28" s="383"/>
      <c r="E28" s="209"/>
    </row>
    <row r="29" spans="2:5" ht="15.75">
      <c r="B29" s="248"/>
      <c r="C29" s="383"/>
      <c r="D29" s="383"/>
      <c r="E29" s="209"/>
    </row>
    <row r="30" spans="2:5" ht="15.75">
      <c r="B30" s="126" t="s">
        <v>205</v>
      </c>
      <c r="C30" s="383"/>
      <c r="D30" s="383"/>
      <c r="E30" s="214">
        <f>Nhood!E9</f>
      </c>
    </row>
    <row r="31" spans="2:5" ht="15.75">
      <c r="B31" s="126" t="s">
        <v>204</v>
      </c>
      <c r="C31" s="248"/>
      <c r="D31" s="248"/>
      <c r="E31" s="209"/>
    </row>
    <row r="32" spans="2:5" ht="15.75">
      <c r="B32" s="126" t="s">
        <v>308</v>
      </c>
      <c r="C32" s="384">
        <f>IF(C33*0.1&lt;C31,"Exceed 10% Rule","")</f>
      </c>
      <c r="D32" s="384">
        <f>IF(D33*0.1&lt;D31,"Exceed 10% Rule","")</f>
      </c>
      <c r="E32" s="410">
        <f>IF(E33*0.1&lt;E31,"Exceed 10% Rule","")</f>
      </c>
    </row>
    <row r="33" spans="2:5" ht="15.75">
      <c r="B33" s="253" t="s">
        <v>37</v>
      </c>
      <c r="C33" s="385">
        <f>SUM(C24:C31)</f>
        <v>0</v>
      </c>
      <c r="D33" s="385">
        <f>SUM(D24:D31)</f>
        <v>0</v>
      </c>
      <c r="E33" s="254">
        <f>SUM(E24:E31)</f>
        <v>0</v>
      </c>
    </row>
    <row r="34" spans="2:5" ht="15.75">
      <c r="B34" s="122" t="s">
        <v>124</v>
      </c>
      <c r="C34" s="386">
        <f>C22-C33</f>
        <v>0</v>
      </c>
      <c r="D34" s="386">
        <f>D22-D33</f>
        <v>0</v>
      </c>
      <c r="E34" s="135" t="s">
        <v>23</v>
      </c>
    </row>
    <row r="35" spans="2:6" ht="15.75">
      <c r="B35" s="145" t="str">
        <f>CONCATENATE("",F3-2,"/",F3-1," Budget Authority Amount:")</f>
        <v>2011/2012 Budget Authority Amount:</v>
      </c>
      <c r="C35" s="123">
        <f>inputOth!B44</f>
        <v>0</v>
      </c>
      <c r="D35" s="411">
        <f>inputPrYr!D22</f>
        <v>0</v>
      </c>
      <c r="E35" s="135" t="s">
        <v>23</v>
      </c>
      <c r="F35" s="255"/>
    </row>
    <row r="36" spans="2:6" ht="15.75">
      <c r="B36" s="145"/>
      <c r="C36" s="537" t="s">
        <v>321</v>
      </c>
      <c r="D36" s="538"/>
      <c r="E36" s="37"/>
      <c r="F36" s="255">
        <f>IF(E33/0.95-E33&lt;E36,"Exceeds 5%","")</f>
      </c>
    </row>
    <row r="37" spans="2:5" ht="15.75">
      <c r="B37" s="409" t="str">
        <f>CONCATENATE(C87,"     ",D87)</f>
        <v>     </v>
      </c>
      <c r="C37" s="539" t="s">
        <v>322</v>
      </c>
      <c r="D37" s="540"/>
      <c r="E37" s="47">
        <f>E33+E36</f>
        <v>0</v>
      </c>
    </row>
    <row r="38" spans="2:5" ht="15.75">
      <c r="B38" s="409" t="str">
        <f>CONCATENATE(C88,"     ",D88)</f>
        <v>     </v>
      </c>
      <c r="C38" s="464"/>
      <c r="D38" s="459" t="s">
        <v>323</v>
      </c>
      <c r="E38" s="44">
        <f>IF(E37-E22&gt;0,E37-E22,0)</f>
        <v>0</v>
      </c>
    </row>
    <row r="39" spans="2:5" ht="15.75">
      <c r="B39" s="165"/>
      <c r="C39" s="457" t="s">
        <v>324</v>
      </c>
      <c r="D39" s="458">
        <f>inputOth!$E$36</f>
        <v>0</v>
      </c>
      <c r="E39" s="47">
        <f>ROUND(IF(D39&gt;0,(E38*D39),0),0)</f>
        <v>0</v>
      </c>
    </row>
    <row r="40" spans="2:5" ht="15.75">
      <c r="B40" s="18"/>
      <c r="C40" s="535" t="str">
        <f>CONCATENATE("Amount of  ",$F$3-1," Ad Valorem Tax")</f>
        <v>Amount of  2012 Ad Valorem Tax</v>
      </c>
      <c r="D40" s="536"/>
      <c r="E40" s="44">
        <f>E38+E39</f>
        <v>0</v>
      </c>
    </row>
    <row r="41" spans="2:5" ht="15.75">
      <c r="B41" s="18"/>
      <c r="C41" s="18"/>
      <c r="D41" s="18"/>
      <c r="E41" s="18"/>
    </row>
    <row r="42" spans="2:5" ht="15.75">
      <c r="B42" s="17" t="s">
        <v>27</v>
      </c>
      <c r="C42" s="109"/>
      <c r="D42" s="109"/>
      <c r="E42" s="109"/>
    </row>
    <row r="43" spans="2:5" ht="15.75" customHeight="1">
      <c r="B43" s="18"/>
      <c r="C43" s="387" t="s">
        <v>230</v>
      </c>
      <c r="D43" s="388" t="s">
        <v>231</v>
      </c>
      <c r="E43" s="243" t="s">
        <v>228</v>
      </c>
    </row>
    <row r="44" spans="2:5" ht="15.75" customHeight="1">
      <c r="B44" s="412">
        <f>inputPrYr!B23</f>
        <v>0</v>
      </c>
      <c r="C44" s="389" t="str">
        <f>C6</f>
        <v>Actual 2011</v>
      </c>
      <c r="D44" s="389" t="str">
        <f>D6</f>
        <v>Estimate 2012</v>
      </c>
      <c r="E44" s="244" t="str">
        <f>E6</f>
        <v>Year 2013</v>
      </c>
    </row>
    <row r="45" spans="2:5" ht="15.75">
      <c r="B45" s="122" t="s">
        <v>123</v>
      </c>
      <c r="C45" s="383"/>
      <c r="D45" s="390">
        <f>C72</f>
        <v>0</v>
      </c>
      <c r="E45" s="47">
        <f>D72</f>
        <v>0</v>
      </c>
    </row>
    <row r="46" spans="2:5" ht="15.75">
      <c r="B46" s="246" t="s">
        <v>125</v>
      </c>
      <c r="C46" s="247"/>
      <c r="D46" s="247"/>
      <c r="E46" s="128"/>
    </row>
    <row r="47" spans="2:5" ht="15.75">
      <c r="B47" s="122" t="s">
        <v>28</v>
      </c>
      <c r="C47" s="383"/>
      <c r="D47" s="390">
        <f>inputPrYr!E23</f>
        <v>0</v>
      </c>
      <c r="E47" s="135" t="s">
        <v>23</v>
      </c>
    </row>
    <row r="48" spans="2:5" ht="15.75">
      <c r="B48" s="122" t="s">
        <v>29</v>
      </c>
      <c r="C48" s="383"/>
      <c r="D48" s="383"/>
      <c r="E48" s="209"/>
    </row>
    <row r="49" spans="2:5" ht="15.75">
      <c r="B49" s="122" t="s">
        <v>30</v>
      </c>
      <c r="C49" s="383"/>
      <c r="D49" s="383"/>
      <c r="E49" s="47">
        <f>mvalloc!D14</f>
        <v>0</v>
      </c>
    </row>
    <row r="50" spans="2:5" ht="15.75">
      <c r="B50" s="122" t="s">
        <v>31</v>
      </c>
      <c r="C50" s="383"/>
      <c r="D50" s="383"/>
      <c r="E50" s="47">
        <f>mvalloc!E14</f>
        <v>0</v>
      </c>
    </row>
    <row r="51" spans="2:5" ht="15.75">
      <c r="B51" s="247" t="s">
        <v>107</v>
      </c>
      <c r="C51" s="383"/>
      <c r="D51" s="383"/>
      <c r="E51" s="47">
        <f>mvalloc!F14</f>
        <v>0</v>
      </c>
    </row>
    <row r="52" spans="2:5" ht="15.75">
      <c r="B52" s="247" t="s">
        <v>158</v>
      </c>
      <c r="C52" s="383"/>
      <c r="D52" s="383"/>
      <c r="E52" s="47">
        <f>mvalloc!G14</f>
        <v>0</v>
      </c>
    </row>
    <row r="53" spans="2:5" ht="15.75">
      <c r="B53" s="248"/>
      <c r="C53" s="383"/>
      <c r="D53" s="383"/>
      <c r="E53" s="209"/>
    </row>
    <row r="54" spans="2:5" ht="15.75">
      <c r="B54" s="248"/>
      <c r="C54" s="383"/>
      <c r="D54" s="383"/>
      <c r="E54" s="209"/>
    </row>
    <row r="55" spans="2:5" ht="15.75">
      <c r="B55" s="248"/>
      <c r="C55" s="383"/>
      <c r="D55" s="383"/>
      <c r="E55" s="209"/>
    </row>
    <row r="56" spans="2:5" ht="15.75">
      <c r="B56" s="249" t="s">
        <v>33</v>
      </c>
      <c r="C56" s="383"/>
      <c r="D56" s="383"/>
      <c r="E56" s="209"/>
    </row>
    <row r="57" spans="2:5" ht="15.75">
      <c r="B57" s="250" t="s">
        <v>204</v>
      </c>
      <c r="C57" s="248"/>
      <c r="D57" s="248"/>
      <c r="E57" s="209"/>
    </row>
    <row r="58" spans="2:5" ht="15.75">
      <c r="B58" s="250" t="s">
        <v>309</v>
      </c>
      <c r="C58" s="384">
        <f>IF(C59*0.1&lt;C57,"Exceed 10% Rule","")</f>
      </c>
      <c r="D58" s="384">
        <f>IF(D59*0.1&lt;D57,"Exceed 10% Rule","")</f>
      </c>
      <c r="E58" s="410">
        <f>IF(E59*0.1+E78&lt;E57,"Exceed 10% Rule","")</f>
      </c>
    </row>
    <row r="59" spans="2:5" ht="15.75">
      <c r="B59" s="253" t="s">
        <v>34</v>
      </c>
      <c r="C59" s="385">
        <f>SUM(C47:C57)</f>
        <v>0</v>
      </c>
      <c r="D59" s="385">
        <f>SUM(D47:D57)</f>
        <v>0</v>
      </c>
      <c r="E59" s="254">
        <f>SUM(E47:E57)</f>
        <v>0</v>
      </c>
    </row>
    <row r="60" spans="2:5" ht="15.75">
      <c r="B60" s="253" t="s">
        <v>35</v>
      </c>
      <c r="C60" s="385">
        <f>C45+C59</f>
        <v>0</v>
      </c>
      <c r="D60" s="385">
        <f>D45+D59</f>
        <v>0</v>
      </c>
      <c r="E60" s="254">
        <f>E45+E59</f>
        <v>0</v>
      </c>
    </row>
    <row r="61" spans="2:5" ht="15.75">
      <c r="B61" s="122" t="s">
        <v>36</v>
      </c>
      <c r="C61" s="126"/>
      <c r="D61" s="126"/>
      <c r="E61" s="38"/>
    </row>
    <row r="62" spans="2:5" ht="15.75">
      <c r="B62" s="248"/>
      <c r="C62" s="383"/>
      <c r="D62" s="383"/>
      <c r="E62" s="209"/>
    </row>
    <row r="63" spans="2:5" ht="15.75">
      <c r="B63" s="248"/>
      <c r="C63" s="383"/>
      <c r="D63" s="383"/>
      <c r="E63" s="209"/>
    </row>
    <row r="64" spans="2:5" ht="15.75">
      <c r="B64" s="248"/>
      <c r="C64" s="383"/>
      <c r="D64" s="383"/>
      <c r="E64" s="209"/>
    </row>
    <row r="65" spans="2:5" ht="15.75">
      <c r="B65" s="248"/>
      <c r="C65" s="383"/>
      <c r="D65" s="383"/>
      <c r="E65" s="209"/>
    </row>
    <row r="66" spans="2:5" ht="15.75">
      <c r="B66" s="248"/>
      <c r="C66" s="383"/>
      <c r="D66" s="383"/>
      <c r="E66" s="209"/>
    </row>
    <row r="67" spans="2:5" ht="15.75">
      <c r="B67" s="248"/>
      <c r="C67" s="383"/>
      <c r="D67" s="383"/>
      <c r="E67" s="209"/>
    </row>
    <row r="68" spans="2:5" ht="15.75">
      <c r="B68" s="126" t="s">
        <v>205</v>
      </c>
      <c r="C68" s="383"/>
      <c r="D68" s="383"/>
      <c r="E68" s="214">
        <f>Nhood!E10</f>
      </c>
    </row>
    <row r="69" spans="2:5" ht="15.75">
      <c r="B69" s="126" t="s">
        <v>204</v>
      </c>
      <c r="C69" s="248"/>
      <c r="D69" s="248"/>
      <c r="E69" s="209"/>
    </row>
    <row r="70" spans="2:5" ht="15.75">
      <c r="B70" s="126" t="s">
        <v>308</v>
      </c>
      <c r="C70" s="384">
        <f>IF(C71*0.1&lt;C69,"Exceed 10% Rule","")</f>
      </c>
      <c r="D70" s="384">
        <f>IF(D71*0.1&lt;D69,"Exceed 10% Rule","")</f>
      </c>
      <c r="E70" s="410">
        <f>IF(E71*0.1&lt;E69,"Exceed 10% Rule","")</f>
      </c>
    </row>
    <row r="71" spans="2:5" ht="15.75">
      <c r="B71" s="253" t="s">
        <v>37</v>
      </c>
      <c r="C71" s="385">
        <f>SUM(C62:C69)</f>
        <v>0</v>
      </c>
      <c r="D71" s="385">
        <f>SUM(D62:D69)</f>
        <v>0</v>
      </c>
      <c r="E71" s="254">
        <f>SUM(E62:E69)</f>
        <v>0</v>
      </c>
    </row>
    <row r="72" spans="2:5" ht="15.75">
      <c r="B72" s="122" t="s">
        <v>124</v>
      </c>
      <c r="C72" s="386">
        <f>C60-C71</f>
        <v>0</v>
      </c>
      <c r="D72" s="386">
        <f>D60-D71</f>
        <v>0</v>
      </c>
      <c r="E72" s="135" t="s">
        <v>23</v>
      </c>
    </row>
    <row r="73" spans="2:6" ht="15.75">
      <c r="B73" s="145" t="str">
        <f>CONCATENATE("",F3-2,"/",F3-1," Budget Authority Amount:")</f>
        <v>2011/2012 Budget Authority Amount:</v>
      </c>
      <c r="C73" s="123">
        <f>inputOth!B45</f>
        <v>0</v>
      </c>
      <c r="D73" s="411">
        <f>inputPrYr!D23</f>
        <v>0</v>
      </c>
      <c r="E73" s="135" t="s">
        <v>23</v>
      </c>
      <c r="F73" s="255"/>
    </row>
    <row r="74" spans="2:6" ht="15.75">
      <c r="B74" s="145"/>
      <c r="C74" s="537" t="s">
        <v>321</v>
      </c>
      <c r="D74" s="538"/>
      <c r="E74" s="37"/>
      <c r="F74" s="255">
        <f>IF(E71/0.95-E71&lt;E74,"Exceeds 5%","")</f>
      </c>
    </row>
    <row r="75" spans="2:5" ht="15.75">
      <c r="B75" s="409" t="str">
        <f>CONCATENATE(C89,"     ",D89)</f>
        <v>     </v>
      </c>
      <c r="C75" s="539" t="s">
        <v>322</v>
      </c>
      <c r="D75" s="540"/>
      <c r="E75" s="47">
        <f>E71+E74</f>
        <v>0</v>
      </c>
    </row>
    <row r="76" spans="2:5" ht="15.75">
      <c r="B76" s="409" t="str">
        <f>CONCATENATE(C90,"     ",D90)</f>
        <v>     </v>
      </c>
      <c r="C76" s="463"/>
      <c r="D76" s="459" t="s">
        <v>323</v>
      </c>
      <c r="E76" s="44">
        <f>IF(E75-E60&gt;0,E75-E60,0)</f>
        <v>0</v>
      </c>
    </row>
    <row r="77" spans="2:5" ht="15.75">
      <c r="B77" s="165"/>
      <c r="C77" s="457" t="s">
        <v>324</v>
      </c>
      <c r="D77" s="458">
        <f>inputOth!$E$36</f>
        <v>0</v>
      </c>
      <c r="E77" s="47">
        <f>ROUND(IF(D77&gt;0,(E76*D77),0),0)</f>
        <v>0</v>
      </c>
    </row>
    <row r="78" spans="2:5" ht="15.75">
      <c r="B78" s="18"/>
      <c r="C78" s="535" t="str">
        <f>CONCATENATE("Amount of  ",$F$3-1," Ad Valorem Tax")</f>
        <v>Amount of  2012 Ad Valorem Tax</v>
      </c>
      <c r="D78" s="536"/>
      <c r="E78" s="44">
        <f>E76+E77</f>
        <v>0</v>
      </c>
    </row>
    <row r="79" spans="2:5" ht="15.75">
      <c r="B79" s="18"/>
      <c r="C79" s="166"/>
      <c r="D79" s="166"/>
      <c r="E79" s="166"/>
    </row>
    <row r="80" spans="2:5" ht="15.75">
      <c r="B80" s="145" t="s">
        <v>39</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C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Library District #2 </v>
      </c>
      <c r="C1" s="241"/>
      <c r="D1" s="18"/>
      <c r="E1" s="192"/>
    </row>
    <row r="2" spans="2:5" ht="15.75">
      <c r="B2" s="18" t="str">
        <f>inputPrYr!D4</f>
        <v>Linn County</v>
      </c>
      <c r="C2" s="241"/>
      <c r="D2" s="18"/>
      <c r="E2" s="145"/>
    </row>
    <row r="3" spans="2:6" ht="15.75">
      <c r="B3" s="27" t="s">
        <v>80</v>
      </c>
      <c r="C3" s="241"/>
      <c r="D3" s="241"/>
      <c r="E3" s="242"/>
      <c r="F3" s="98">
        <f>inputPrYr!$D$6</f>
        <v>2013</v>
      </c>
    </row>
    <row r="4" spans="2:5" ht="15.75">
      <c r="B4" s="18"/>
      <c r="C4" s="109"/>
      <c r="D4" s="109"/>
      <c r="E4" s="109"/>
    </row>
    <row r="5" spans="2:5" ht="15.75">
      <c r="B5" s="17" t="s">
        <v>27</v>
      </c>
      <c r="C5" s="276" t="s">
        <v>230</v>
      </c>
      <c r="D5" s="243" t="s">
        <v>231</v>
      </c>
      <c r="E5" s="243" t="s">
        <v>228</v>
      </c>
    </row>
    <row r="6" spans="2:5" ht="15.75">
      <c r="B6" s="412">
        <f>inputPrYr!B26</f>
        <v>0</v>
      </c>
      <c r="C6" s="244" t="str">
        <f>CONCATENATE("Actual ",F3-2,"")</f>
        <v>Actual 2011</v>
      </c>
      <c r="D6" s="244" t="str">
        <f>CONCATENATE("Estimate ",F3-1,"")</f>
        <v>Estimate 2012</v>
      </c>
      <c r="E6" s="244" t="str">
        <f>CONCATENATE("Year ",F3,"")</f>
        <v>Year 2013</v>
      </c>
    </row>
    <row r="7" spans="2:5" ht="15.75">
      <c r="B7" s="122" t="s">
        <v>123</v>
      </c>
      <c r="C7" s="37"/>
      <c r="D7" s="47">
        <f>C32</f>
        <v>0</v>
      </c>
      <c r="E7" s="47">
        <f>D32</f>
        <v>0</v>
      </c>
    </row>
    <row r="8" spans="2:5" ht="15.75">
      <c r="B8" s="246" t="s">
        <v>125</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33</v>
      </c>
      <c r="C16" s="209"/>
      <c r="D16" s="209"/>
      <c r="E16" s="209"/>
    </row>
    <row r="17" spans="2:5" ht="15.75">
      <c r="B17" s="250" t="s">
        <v>204</v>
      </c>
      <c r="C17" s="209"/>
      <c r="D17" s="251"/>
      <c r="E17" s="251"/>
    </row>
    <row r="18" spans="2:5" ht="15.75">
      <c r="B18" s="250" t="s">
        <v>309</v>
      </c>
      <c r="C18" s="410">
        <f>IF(C19*0.1&lt;C17,"Exceed 10% Rule","")</f>
      </c>
      <c r="D18" s="252">
        <f>IF(D19*0.1&lt;D17,"Exceed 10% Rule","")</f>
      </c>
      <c r="E18" s="252">
        <f>IF(E19*0.1&lt;E17,"Exceed 10% Rule","")</f>
      </c>
    </row>
    <row r="19" spans="2:5" ht="15.75">
      <c r="B19" s="253" t="s">
        <v>34</v>
      </c>
      <c r="C19" s="254">
        <f>SUM(C9:C17)</f>
        <v>0</v>
      </c>
      <c r="D19" s="254">
        <f>SUM(D9:D17)</f>
        <v>0</v>
      </c>
      <c r="E19" s="254">
        <f>SUM(E9:E17)</f>
        <v>0</v>
      </c>
    </row>
    <row r="20" spans="2:5" ht="15.75">
      <c r="B20" s="253" t="s">
        <v>35</v>
      </c>
      <c r="C20" s="254">
        <f>C19+C7</f>
        <v>0</v>
      </c>
      <c r="D20" s="254">
        <f>D19+D7</f>
        <v>0</v>
      </c>
      <c r="E20" s="254">
        <f>E19+E7</f>
        <v>0</v>
      </c>
    </row>
    <row r="21" spans="2:5" ht="15.75">
      <c r="B21" s="122" t="s">
        <v>36</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204</v>
      </c>
      <c r="C29" s="37"/>
      <c r="D29" s="245"/>
      <c r="E29" s="245"/>
    </row>
    <row r="30" spans="2:5" ht="15.75">
      <c r="B30" s="126" t="s">
        <v>308</v>
      </c>
      <c r="C30" s="410">
        <f>IF(C31*0.1&lt;C29,"Exceed 10% Rule","")</f>
      </c>
      <c r="D30" s="252">
        <f>IF(D31*0.1&lt;D29,"Exceed 10% Rule","")</f>
      </c>
      <c r="E30" s="252">
        <f>IF(E31*0.1&lt;E29,"Exceed 10% Rule","")</f>
      </c>
    </row>
    <row r="31" spans="2:5" ht="15.75">
      <c r="B31" s="253" t="s">
        <v>37</v>
      </c>
      <c r="C31" s="254">
        <f>SUM(C22:C29)</f>
        <v>0</v>
      </c>
      <c r="D31" s="254">
        <f>SUM(D22:D29)</f>
        <v>0</v>
      </c>
      <c r="E31" s="254">
        <f>SUM(E22:E29)</f>
        <v>0</v>
      </c>
    </row>
    <row r="32" spans="2:5" ht="15.75">
      <c r="B32" s="122" t="s">
        <v>124</v>
      </c>
      <c r="C32" s="44">
        <f>C20-C31</f>
        <v>0</v>
      </c>
      <c r="D32" s="44">
        <f>D20-D31</f>
        <v>0</v>
      </c>
      <c r="E32" s="44">
        <f>E20-E31</f>
        <v>0</v>
      </c>
    </row>
    <row r="33" spans="2:5" ht="15.75">
      <c r="B33" s="145" t="str">
        <f>CONCATENATE("",F3-2,"/",F3-1," Budget Authority Amount:")</f>
        <v>2011/2012 Budget Authority Amount:</v>
      </c>
      <c r="C33" s="123">
        <f>inputOth!B46</f>
        <v>0</v>
      </c>
      <c r="D33" s="123">
        <f>inputPrYr!D26</f>
        <v>0</v>
      </c>
      <c r="E33" s="414">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27</v>
      </c>
      <c r="C38" s="276" t="s">
        <v>230</v>
      </c>
      <c r="D38" s="243" t="s">
        <v>231</v>
      </c>
      <c r="E38" s="243" t="s">
        <v>228</v>
      </c>
    </row>
    <row r="39" spans="2:5" ht="15.75" customHeight="1">
      <c r="B39" s="412">
        <f>inputPrYr!B27</f>
        <v>0</v>
      </c>
      <c r="C39" s="244" t="str">
        <f>C6</f>
        <v>Actual 2011</v>
      </c>
      <c r="D39" s="244" t="str">
        <f>D6</f>
        <v>Estimate 2012</v>
      </c>
      <c r="E39" s="244" t="str">
        <f>E6</f>
        <v>Year 2013</v>
      </c>
    </row>
    <row r="40" spans="2:5" ht="15.75">
      <c r="B40" s="122" t="s">
        <v>123</v>
      </c>
      <c r="C40" s="37"/>
      <c r="D40" s="47">
        <f>C65</f>
        <v>0</v>
      </c>
      <c r="E40" s="47">
        <f>D65</f>
        <v>0</v>
      </c>
    </row>
    <row r="41" spans="2:5" ht="15.75">
      <c r="B41" s="246" t="s">
        <v>125</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33</v>
      </c>
      <c r="C49" s="209"/>
      <c r="D49" s="209"/>
      <c r="E49" s="209"/>
    </row>
    <row r="50" spans="2:5" ht="15.75">
      <c r="B50" s="250" t="s">
        <v>204</v>
      </c>
      <c r="C50" s="209"/>
      <c r="D50" s="251"/>
      <c r="E50" s="251"/>
    </row>
    <row r="51" spans="2:5" ht="15.75">
      <c r="B51" s="250" t="s">
        <v>309</v>
      </c>
      <c r="C51" s="410">
        <f>IF(C52*0.1&lt;C50,"Exceed 10% Rule","")</f>
      </c>
      <c r="D51" s="252">
        <f>IF(D52*0.1&lt;D50,"Exceed 10% Rule","")</f>
      </c>
      <c r="E51" s="252">
        <f>IF(E52*0.1&lt;E50,"Exceed 10% Rule","")</f>
      </c>
    </row>
    <row r="52" spans="2:5" ht="15.75">
      <c r="B52" s="253" t="s">
        <v>34</v>
      </c>
      <c r="C52" s="254">
        <f>SUM(C42:C50)</f>
        <v>0</v>
      </c>
      <c r="D52" s="254">
        <f>SUM(D42:D50)</f>
        <v>0</v>
      </c>
      <c r="E52" s="254">
        <f>SUM(E42:E50)</f>
        <v>0</v>
      </c>
    </row>
    <row r="53" spans="2:5" ht="15.75">
      <c r="B53" s="253" t="s">
        <v>35</v>
      </c>
      <c r="C53" s="254">
        <f>C52+C40</f>
        <v>0</v>
      </c>
      <c r="D53" s="254">
        <f>D52+D40</f>
        <v>0</v>
      </c>
      <c r="E53" s="254">
        <f>E52+E40</f>
        <v>0</v>
      </c>
    </row>
    <row r="54" spans="2:5" ht="15.75">
      <c r="B54" s="122" t="s">
        <v>36</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204</v>
      </c>
      <c r="C62" s="37"/>
      <c r="D62" s="245"/>
      <c r="E62" s="245"/>
    </row>
    <row r="63" spans="2:5" ht="15.75">
      <c r="B63" s="126" t="s">
        <v>308</v>
      </c>
      <c r="C63" s="410">
        <f>IF(C64*0.1&lt;C62,"Exceed 10% Rule","")</f>
      </c>
      <c r="D63" s="252">
        <f>IF(D64*0.1&lt;D62,"Exceed 10% Rule","")</f>
      </c>
      <c r="E63" s="252">
        <f>IF(E64*0.1&lt;E62,"Exceed 10% Rule","")</f>
      </c>
    </row>
    <row r="64" spans="2:5" ht="15.75">
      <c r="B64" s="253" t="s">
        <v>37</v>
      </c>
      <c r="C64" s="254">
        <f>SUM(C55:C62)</f>
        <v>0</v>
      </c>
      <c r="D64" s="254">
        <f>SUM(D55:D62)</f>
        <v>0</v>
      </c>
      <c r="E64" s="254">
        <f>SUM(E55:E62)</f>
        <v>0</v>
      </c>
    </row>
    <row r="65" spans="2:5" ht="15.75">
      <c r="B65" s="122" t="s">
        <v>124</v>
      </c>
      <c r="C65" s="44">
        <f>C53-C64</f>
        <v>0</v>
      </c>
      <c r="D65" s="44">
        <f>D53-D64</f>
        <v>0</v>
      </c>
      <c r="E65" s="44">
        <f>E53-E64</f>
        <v>0</v>
      </c>
    </row>
    <row r="66" spans="2:5" ht="15.75">
      <c r="B66" s="145" t="str">
        <f>CONCATENATE("",F3-2,"/",F3-1," Budget Authority Amount:")</f>
        <v>2011/2012 Budget Authority Amount:</v>
      </c>
      <c r="C66" s="123">
        <f>inputOth!B47</f>
        <v>0</v>
      </c>
      <c r="D66" s="123">
        <f>inputPrYr!D27</f>
        <v>0</v>
      </c>
      <c r="E66" s="414">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39</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Library District #2 </v>
      </c>
      <c r="B1" s="277"/>
      <c r="C1" s="62"/>
      <c r="D1" s="62"/>
      <c r="E1" s="62"/>
      <c r="F1" s="278" t="s">
        <v>215</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216</v>
      </c>
      <c r="B3" s="62"/>
      <c r="C3" s="62"/>
      <c r="D3" s="62"/>
      <c r="E3" s="62"/>
      <c r="F3" s="277"/>
      <c r="G3" s="62"/>
      <c r="H3" s="62"/>
      <c r="I3" s="62"/>
      <c r="J3" s="62"/>
      <c r="K3" s="62"/>
    </row>
    <row r="4" spans="1:11" ht="15.75">
      <c r="A4" s="62" t="s">
        <v>217</v>
      </c>
      <c r="B4" s="62"/>
      <c r="C4" s="62" t="s">
        <v>218</v>
      </c>
      <c r="D4" s="62"/>
      <c r="E4" s="62" t="s">
        <v>219</v>
      </c>
      <c r="F4" s="277"/>
      <c r="G4" s="62" t="s">
        <v>220</v>
      </c>
      <c r="H4" s="62"/>
      <c r="I4" s="62" t="s">
        <v>221</v>
      </c>
      <c r="J4" s="62"/>
      <c r="K4" s="62"/>
    </row>
    <row r="5" spans="1:11" ht="15.75">
      <c r="A5" s="548">
        <f>inputPrYr!B30</f>
        <v>0</v>
      </c>
      <c r="B5" s="549"/>
      <c r="C5" s="548">
        <f>inputPrYr!B31</f>
        <v>0</v>
      </c>
      <c r="D5" s="549"/>
      <c r="E5" s="548">
        <f>inputPrYr!B32</f>
        <v>0</v>
      </c>
      <c r="F5" s="549"/>
      <c r="G5" s="548">
        <f>inputPrYr!B33</f>
        <v>0</v>
      </c>
      <c r="H5" s="549"/>
      <c r="I5" s="548">
        <f>inputPrYr!B34</f>
        <v>0</v>
      </c>
      <c r="J5" s="549"/>
      <c r="K5" s="281"/>
    </row>
    <row r="6" spans="1:11" ht="15.75">
      <c r="A6" s="282" t="s">
        <v>222</v>
      </c>
      <c r="B6" s="283"/>
      <c r="C6" s="284" t="s">
        <v>222</v>
      </c>
      <c r="D6" s="285"/>
      <c r="E6" s="284" t="s">
        <v>222</v>
      </c>
      <c r="F6" s="286"/>
      <c r="G6" s="284" t="s">
        <v>222</v>
      </c>
      <c r="H6" s="280"/>
      <c r="I6" s="284" t="s">
        <v>222</v>
      </c>
      <c r="J6" s="62"/>
      <c r="K6" s="287" t="s">
        <v>8</v>
      </c>
    </row>
    <row r="7" spans="1:11" ht="15.75">
      <c r="A7" s="288" t="s">
        <v>223</v>
      </c>
      <c r="B7" s="289"/>
      <c r="C7" s="290" t="s">
        <v>223</v>
      </c>
      <c r="D7" s="289"/>
      <c r="E7" s="290" t="s">
        <v>223</v>
      </c>
      <c r="F7" s="289"/>
      <c r="G7" s="290" t="s">
        <v>223</v>
      </c>
      <c r="H7" s="289"/>
      <c r="I7" s="290" t="s">
        <v>223</v>
      </c>
      <c r="J7" s="289"/>
      <c r="K7" s="291">
        <f>SUM(B7+D7+F7+H7+J7)</f>
        <v>0</v>
      </c>
    </row>
    <row r="8" spans="1:11" ht="15.75">
      <c r="A8" s="292" t="s">
        <v>125</v>
      </c>
      <c r="B8" s="293"/>
      <c r="C8" s="292" t="s">
        <v>125</v>
      </c>
      <c r="D8" s="294"/>
      <c r="E8" s="292" t="s">
        <v>125</v>
      </c>
      <c r="F8" s="277"/>
      <c r="G8" s="292" t="s">
        <v>125</v>
      </c>
      <c r="H8" s="62"/>
      <c r="I8" s="292" t="s">
        <v>125</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34</v>
      </c>
      <c r="B17" s="291">
        <f>SUM(B9:B16)</f>
        <v>0</v>
      </c>
      <c r="C17" s="292" t="s">
        <v>34</v>
      </c>
      <c r="D17" s="291">
        <f>SUM(D9:D16)</f>
        <v>0</v>
      </c>
      <c r="E17" s="292" t="s">
        <v>34</v>
      </c>
      <c r="F17" s="305">
        <f>SUM(F9:F16)</f>
        <v>0</v>
      </c>
      <c r="G17" s="292" t="s">
        <v>34</v>
      </c>
      <c r="H17" s="291">
        <f>SUM(H9:H16)</f>
        <v>0</v>
      </c>
      <c r="I17" s="292" t="s">
        <v>34</v>
      </c>
      <c r="J17" s="291">
        <f>SUM(J9:J16)</f>
        <v>0</v>
      </c>
      <c r="K17" s="291">
        <f>SUM(B17+D17+F17+H17+J17)</f>
        <v>0</v>
      </c>
    </row>
    <row r="18" spans="1:11" ht="15.75">
      <c r="A18" s="292" t="s">
        <v>35</v>
      </c>
      <c r="B18" s="291">
        <f>SUM(B7+B17)</f>
        <v>0</v>
      </c>
      <c r="C18" s="292" t="s">
        <v>35</v>
      </c>
      <c r="D18" s="291">
        <f>SUM(D7+D17)</f>
        <v>0</v>
      </c>
      <c r="E18" s="292" t="s">
        <v>35</v>
      </c>
      <c r="F18" s="291">
        <f>SUM(F7+F17)</f>
        <v>0</v>
      </c>
      <c r="G18" s="292" t="s">
        <v>35</v>
      </c>
      <c r="H18" s="291">
        <f>SUM(H7+H17)</f>
        <v>0</v>
      </c>
      <c r="I18" s="292" t="s">
        <v>35</v>
      </c>
      <c r="J18" s="291">
        <f>SUM(J7+J17)</f>
        <v>0</v>
      </c>
      <c r="K18" s="291">
        <f>SUM(B18+D18+F18+H18+J18)</f>
        <v>0</v>
      </c>
    </row>
    <row r="19" spans="1:11" ht="15.75">
      <c r="A19" s="292" t="s">
        <v>36</v>
      </c>
      <c r="B19" s="293"/>
      <c r="C19" s="292" t="s">
        <v>36</v>
      </c>
      <c r="D19" s="294"/>
      <c r="E19" s="292" t="s">
        <v>36</v>
      </c>
      <c r="F19" s="277"/>
      <c r="G19" s="292" t="s">
        <v>36</v>
      </c>
      <c r="H19" s="62"/>
      <c r="I19" s="292" t="s">
        <v>36</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37</v>
      </c>
      <c r="B28" s="291">
        <f>SUM(B20:B27)</f>
        <v>0</v>
      </c>
      <c r="C28" s="292" t="s">
        <v>37</v>
      </c>
      <c r="D28" s="291">
        <f>SUM(D20:D27)</f>
        <v>0</v>
      </c>
      <c r="E28" s="292" t="s">
        <v>37</v>
      </c>
      <c r="F28" s="305">
        <f>SUM(F20:F27)</f>
        <v>0</v>
      </c>
      <c r="G28" s="292" t="s">
        <v>37</v>
      </c>
      <c r="H28" s="305">
        <f>SUM(H20:H27)</f>
        <v>0</v>
      </c>
      <c r="I28" s="292" t="s">
        <v>37</v>
      </c>
      <c r="J28" s="291">
        <f>SUM(J20:J27)</f>
        <v>0</v>
      </c>
      <c r="K28" s="291">
        <f>SUM(B28+D28+F28+H28+J28)</f>
        <v>0</v>
      </c>
    </row>
    <row r="29" spans="1:12" ht="15.75">
      <c r="A29" s="292" t="s">
        <v>224</v>
      </c>
      <c r="B29" s="291">
        <f>SUM(B18-B28)</f>
        <v>0</v>
      </c>
      <c r="C29" s="292" t="s">
        <v>224</v>
      </c>
      <c r="D29" s="291">
        <f>SUM(D18-D28)</f>
        <v>0</v>
      </c>
      <c r="E29" s="292" t="s">
        <v>224</v>
      </c>
      <c r="F29" s="291">
        <f>SUM(F18-F28)</f>
        <v>0</v>
      </c>
      <c r="G29" s="292" t="s">
        <v>224</v>
      </c>
      <c r="H29" s="291">
        <f>SUM(H18-H28)</f>
        <v>0</v>
      </c>
      <c r="I29" s="292" t="s">
        <v>224</v>
      </c>
      <c r="J29" s="291">
        <f>SUM(J18-J28)</f>
        <v>0</v>
      </c>
      <c r="K29" s="306">
        <f>SUM(B29+D29+F29+H29+J29)</f>
        <v>0</v>
      </c>
      <c r="L29" s="98" t="s">
        <v>225</v>
      </c>
    </row>
    <row r="30" spans="1:12" ht="15.75">
      <c r="A30" s="292"/>
      <c r="B30" s="345">
        <f>IF(B29&lt;0,"See Tab B","")</f>
      </c>
      <c r="C30" s="292"/>
      <c r="D30" s="345">
        <f>IF(D29&lt;0,"See Tab B","")</f>
      </c>
      <c r="E30" s="292"/>
      <c r="F30" s="345">
        <f>IF(F29&lt;0,"See Tab B","")</f>
      </c>
      <c r="G30" s="62"/>
      <c r="H30" s="345">
        <f>IF(H29&lt;0,"See Tab B","")</f>
      </c>
      <c r="I30" s="62"/>
      <c r="J30" s="345">
        <f>IF(J29&lt;0,"See Tab B","")</f>
      </c>
      <c r="K30" s="306">
        <f>SUM(K7+K17-K28)</f>
        <v>0</v>
      </c>
      <c r="L30" s="98" t="s">
        <v>225</v>
      </c>
    </row>
    <row r="31" spans="1:11" ht="15.75">
      <c r="A31" s="62"/>
      <c r="B31" s="307"/>
      <c r="C31" s="62"/>
      <c r="D31" s="277"/>
      <c r="E31" s="62"/>
      <c r="F31" s="62"/>
      <c r="G31" s="308" t="s">
        <v>226</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39</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1" t="s">
        <v>238</v>
      </c>
    </row>
    <row r="2" ht="15.75">
      <c r="A2" s="98"/>
    </row>
    <row r="3" ht="15.75">
      <c r="A3" s="98"/>
    </row>
    <row r="4" ht="56.25" customHeight="1">
      <c r="A4" s="342" t="s">
        <v>239</v>
      </c>
    </row>
    <row r="5" ht="15.75">
      <c r="A5" s="343"/>
    </row>
    <row r="6" ht="15.75">
      <c r="A6" s="98"/>
    </row>
    <row r="7" ht="50.25" customHeight="1">
      <c r="A7" s="342" t="s">
        <v>240</v>
      </c>
    </row>
    <row r="8" ht="15.75">
      <c r="A8" s="98"/>
    </row>
    <row r="9" ht="15.75">
      <c r="A9" s="98"/>
    </row>
    <row r="10" ht="52.5" customHeight="1">
      <c r="A10" s="342" t="s">
        <v>241</v>
      </c>
    </row>
    <row r="11" ht="15.75">
      <c r="A11" s="98"/>
    </row>
    <row r="12" ht="15.75">
      <c r="A12" s="98"/>
    </row>
    <row r="13" ht="52.5" customHeight="1">
      <c r="A13" s="342" t="s">
        <v>242</v>
      </c>
    </row>
    <row r="14" ht="15.75">
      <c r="A14" s="343"/>
    </row>
    <row r="15" ht="15.75">
      <c r="A15" s="343"/>
    </row>
    <row r="16" ht="51" customHeight="1">
      <c r="A16" s="423" t="s">
        <v>313</v>
      </c>
    </row>
    <row r="17" ht="15.75">
      <c r="A17" s="343"/>
    </row>
    <row r="18" ht="15.75">
      <c r="A18" s="343"/>
    </row>
    <row r="19" ht="37.5" customHeight="1">
      <c r="A19" s="342" t="s">
        <v>243</v>
      </c>
    </row>
    <row r="20" ht="15.75">
      <c r="A20" s="98"/>
    </row>
    <row r="21" ht="15.75">
      <c r="A21" s="98"/>
    </row>
    <row r="22" ht="47.25">
      <c r="A22" s="342" t="s">
        <v>244</v>
      </c>
    </row>
    <row r="23" ht="15.75">
      <c r="A23" s="343"/>
    </row>
    <row r="24" ht="15.75">
      <c r="A24" s="98"/>
    </row>
    <row r="25" ht="67.5" customHeight="1">
      <c r="A25" s="342" t="s">
        <v>245</v>
      </c>
    </row>
    <row r="26" ht="68.25" customHeight="1">
      <c r="A26" s="344" t="s">
        <v>246</v>
      </c>
    </row>
    <row r="27" ht="15.75">
      <c r="A27" s="98"/>
    </row>
    <row r="28" ht="15.75">
      <c r="A28" s="98"/>
    </row>
    <row r="29" ht="51" customHeight="1">
      <c r="A29" s="424" t="s">
        <v>314</v>
      </c>
    </row>
    <row r="30" ht="15.75">
      <c r="A30" s="98"/>
    </row>
    <row r="31" ht="15.75">
      <c r="A31" s="343"/>
    </row>
    <row r="32" ht="69" customHeight="1">
      <c r="A32" s="424" t="s">
        <v>315</v>
      </c>
    </row>
    <row r="33" ht="15.75">
      <c r="A33" s="343"/>
    </row>
    <row r="34" ht="15.75">
      <c r="A34" s="343"/>
    </row>
    <row r="35" ht="52.5" customHeight="1">
      <c r="A35" s="424" t="s">
        <v>316</v>
      </c>
    </row>
    <row r="36" ht="15.75">
      <c r="A36" s="343"/>
    </row>
    <row r="37" ht="15.75">
      <c r="A37" s="343"/>
    </row>
    <row r="38" ht="59.25" customHeight="1">
      <c r="A38" s="342" t="s">
        <v>247</v>
      </c>
    </row>
    <row r="39" ht="15.75">
      <c r="A39" s="98"/>
    </row>
    <row r="40" ht="15.75">
      <c r="A40" s="98"/>
    </row>
    <row r="41" ht="53.25" customHeight="1">
      <c r="A41" s="342" t="s">
        <v>248</v>
      </c>
    </row>
    <row r="42" ht="15.75">
      <c r="A42" s="343"/>
    </row>
    <row r="43" ht="15.75">
      <c r="A43" s="343"/>
    </row>
    <row r="44" ht="38.25" customHeight="1">
      <c r="A44" s="342" t="s">
        <v>249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C19">
      <selection activeCell="A7" sqref="A7"/>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00" t="s">
        <v>81</v>
      </c>
      <c r="B1" s="500"/>
      <c r="C1" s="500"/>
      <c r="D1" s="500"/>
      <c r="E1" s="500"/>
      <c r="F1" s="500"/>
      <c r="G1" s="500"/>
      <c r="H1" s="557"/>
    </row>
    <row r="2" spans="1:8" ht="15.75">
      <c r="A2" s="18"/>
      <c r="B2" s="18"/>
      <c r="C2" s="18"/>
      <c r="D2" s="18"/>
      <c r="E2" s="18"/>
      <c r="F2" s="18"/>
      <c r="G2" s="18"/>
      <c r="H2" s="18"/>
    </row>
    <row r="3" spans="1:9" ht="15.75">
      <c r="A3" s="529" t="s">
        <v>108</v>
      </c>
      <c r="B3" s="529"/>
      <c r="C3" s="529"/>
      <c r="D3" s="529"/>
      <c r="E3" s="529"/>
      <c r="F3" s="529"/>
      <c r="G3" s="529"/>
      <c r="H3" s="529"/>
      <c r="I3" s="54">
        <f>inputPrYr!D6</f>
        <v>2013</v>
      </c>
    </row>
    <row r="4" spans="1:8" ht="15.75">
      <c r="A4" s="498" t="str">
        <f>inputPrYr!D3</f>
        <v>Library District #2 </v>
      </c>
      <c r="B4" s="498"/>
      <c r="C4" s="498"/>
      <c r="D4" s="498"/>
      <c r="E4" s="498"/>
      <c r="F4" s="498"/>
      <c r="G4" s="498"/>
      <c r="H4" s="498"/>
    </row>
    <row r="5" spans="1:8" ht="15.75">
      <c r="A5" s="560" t="str">
        <f>inputPrYr!D4</f>
        <v>Linn County</v>
      </c>
      <c r="B5" s="560"/>
      <c r="C5" s="560"/>
      <c r="D5" s="560"/>
      <c r="E5" s="560"/>
      <c r="F5" s="560"/>
      <c r="G5" s="560"/>
      <c r="H5" s="560"/>
    </row>
    <row r="6" spans="1:8" ht="15.75">
      <c r="A6" s="561" t="str">
        <f>CONCATENATE("will meet on August 7th, 2012  ",inputBudSum!B5," at  5 PM ",inputBudSum!B7," at Library District #2 of Linn County, La Cygne ",inputBudSum!B9," for the purpose of hearing and")</f>
        <v>will meet on August 7th, 2012   at  5 PM  at Library District #2 of Linn County, La Cygne  for the purpose of hearing and</v>
      </c>
      <c r="B6" s="561"/>
      <c r="C6" s="561"/>
      <c r="D6" s="561"/>
      <c r="E6" s="561"/>
      <c r="F6" s="561"/>
      <c r="G6" s="561"/>
      <c r="H6" s="561"/>
    </row>
    <row r="7" spans="1:8" ht="15.75">
      <c r="A7" s="100" t="s">
        <v>274</v>
      </c>
      <c r="B7" s="26"/>
      <c r="C7" s="26"/>
      <c r="D7" s="26"/>
      <c r="E7" s="26"/>
      <c r="F7" s="26"/>
      <c r="G7" s="26"/>
      <c r="H7" s="26"/>
    </row>
    <row r="8" spans="1:8" ht="15.75">
      <c r="A8" s="375" t="str">
        <f>CONCATENATE("Detailed budget information is available at ",inputBudSum!B12," and will be available at this hearing.")</f>
        <v>Detailed budget information is available at  and will be available at this hearing.</v>
      </c>
      <c r="B8" s="376"/>
      <c r="C8" s="376"/>
      <c r="D8" s="376"/>
      <c r="E8" s="376"/>
      <c r="F8" s="376"/>
      <c r="G8" s="26"/>
      <c r="H8" s="26"/>
    </row>
    <row r="9" spans="1:8" ht="15.75">
      <c r="A9" s="25" t="s">
        <v>82</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550" t="str">
        <f>CONCATENATE("Estimated Value Of One Mill For ",I3,"")</f>
        <v>Estimated Value Of One Mill For 2013</v>
      </c>
      <c r="K12" s="551"/>
      <c r="L12" s="551"/>
      <c r="M12" s="552"/>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468"/>
      <c r="K13" s="469"/>
      <c r="L13" s="469"/>
      <c r="M13" s="470"/>
    </row>
    <row r="14" spans="1:13" ht="15.75">
      <c r="A14" s="230"/>
      <c r="B14" s="108"/>
      <c r="C14" s="316" t="s">
        <v>46</v>
      </c>
      <c r="D14" s="108"/>
      <c r="E14" s="316" t="s">
        <v>46</v>
      </c>
      <c r="F14" s="230" t="s">
        <v>200</v>
      </c>
      <c r="G14" s="558" t="str">
        <f>CONCATENATE("Amount of ",I3-1," Ad Valorem Tax")</f>
        <v>Amount of 2012 Ad Valorem Tax</v>
      </c>
      <c r="H14" s="316" t="s">
        <v>312</v>
      </c>
      <c r="J14" s="471" t="s">
        <v>329</v>
      </c>
      <c r="K14" s="472"/>
      <c r="L14" s="472"/>
      <c r="M14" s="473">
        <f>ROUND(F27/1000,0)</f>
        <v>109323</v>
      </c>
    </row>
    <row r="15" spans="1:13" ht="15.75">
      <c r="A15" s="179" t="s">
        <v>47</v>
      </c>
      <c r="B15" s="117" t="s">
        <v>48</v>
      </c>
      <c r="C15" s="317" t="s">
        <v>186</v>
      </c>
      <c r="D15" s="117" t="s">
        <v>48</v>
      </c>
      <c r="E15" s="317" t="s">
        <v>186</v>
      </c>
      <c r="F15" s="117" t="s">
        <v>307</v>
      </c>
      <c r="G15" s="559"/>
      <c r="H15" s="317" t="s">
        <v>186</v>
      </c>
      <c r="J15" s="16"/>
      <c r="K15" s="16"/>
      <c r="L15" s="16"/>
      <c r="M15" s="16"/>
    </row>
    <row r="16" spans="1:13" ht="15.75">
      <c r="A16" s="38" t="str">
        <f>inputPrYr!B19</f>
        <v>General</v>
      </c>
      <c r="B16" s="128">
        <f>IF(gen!$C$50&lt;&gt;0,gen!$C$50,"  ")</f>
        <v>294452</v>
      </c>
      <c r="C16" s="125">
        <f>IF(inputPrYr!D38&gt;0,inputPrYr!D38,"  ")</f>
        <v>297</v>
      </c>
      <c r="D16" s="128">
        <f>IF(gen!$D$50&lt;&gt;0,gen!$D$50,"  ")</f>
        <v>306112</v>
      </c>
      <c r="E16" s="125">
        <f>IF(inputOth!D16&gt;0,inputOth!D16,"  ")</f>
        <v>2.96</v>
      </c>
      <c r="F16" s="128">
        <f>IF(gen!$E$50&lt;&gt;0,gen!$E$50,"  ")</f>
        <v>324112</v>
      </c>
      <c r="G16" s="128">
        <f>IF(gen!$E$57&lt;&gt;0,gen!$E$57,"  ")</f>
        <v>315637.21</v>
      </c>
      <c r="H16" s="125">
        <f>IF(gen!E57&gt;0,ROUND(G16/$F$27*1000,3)," ")</f>
        <v>2.887</v>
      </c>
      <c r="J16" s="550" t="str">
        <f>CONCATENATE("Want The Mill Rate The Same As For ",I3-1,"?")</f>
        <v>Want The Mill Rate The Same As For 2012?</v>
      </c>
      <c r="K16" s="553"/>
      <c r="L16" s="553"/>
      <c r="M16" s="554"/>
    </row>
    <row r="17" spans="1:13" ht="15.75">
      <c r="A17" s="38" t="s">
        <v>235</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474"/>
      <c r="K17" s="469"/>
      <c r="L17" s="469"/>
      <c r="M17" s="475"/>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474" t="str">
        <f>CONCATENATE("",I3-1," Mill Rate Was:")</f>
        <v>2012 Mill Rate Was:</v>
      </c>
      <c r="K18" s="469"/>
      <c r="L18" s="469"/>
      <c r="M18" s="476">
        <f>E23</f>
        <v>2.96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477" t="str">
        <f>CONCATENATE("",I3," Tax Levy Fund Expenditures Must Be")</f>
        <v>2013 Tax Levy Fund Expenditures Must Be</v>
      </c>
      <c r="K19" s="478"/>
      <c r="L19" s="478"/>
      <c r="M19" s="475"/>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477" t="str">
        <f>IF(M20&gt;0,"Increased By:","")</f>
        <v>Increased By:</v>
      </c>
      <c r="K20" s="478"/>
      <c r="L20" s="478"/>
      <c r="M20" s="479">
        <f>IF(M27&lt;0,M27*-1,0)</f>
        <v>7958.789999999979</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480">
        <f>IF($N$32&lt;0,"Reduced By:","")</f>
      </c>
      <c r="K21" s="427"/>
      <c r="L21" s="427"/>
      <c r="M21" s="481">
        <f>IF(M27&gt;0,M27*-1,0)</f>
        <v>0</v>
      </c>
    </row>
    <row r="22" spans="1:13" ht="16.5" thickBot="1">
      <c r="A22" s="129">
        <f>IF((inputPrYr!$B$30&gt;" "),(NonBud!$A$3),"")</f>
      </c>
      <c r="B22" s="449">
        <f>IF(NonBud!K28&gt;0,NonBud!K28,"")</f>
      </c>
      <c r="C22" s="448"/>
      <c r="D22" s="449"/>
      <c r="E22" s="448"/>
      <c r="F22" s="449"/>
      <c r="G22" s="449"/>
      <c r="H22" s="448"/>
      <c r="J22" s="482"/>
      <c r="K22" s="482"/>
      <c r="L22" s="482"/>
      <c r="M22" s="482"/>
    </row>
    <row r="23" spans="1:13" ht="15.75">
      <c r="A23" s="35" t="s">
        <v>132</v>
      </c>
      <c r="B23" s="321">
        <f>SUM(B16:B22)</f>
        <v>294452</v>
      </c>
      <c r="C23" s="450">
        <f aca="true" t="shared" si="0" ref="C23:H23">SUM(C16:C21)</f>
        <v>297</v>
      </c>
      <c r="D23" s="321">
        <f t="shared" si="0"/>
        <v>306112</v>
      </c>
      <c r="E23" s="450">
        <f t="shared" si="0"/>
        <v>2.96</v>
      </c>
      <c r="F23" s="321">
        <f t="shared" si="0"/>
        <v>324112</v>
      </c>
      <c r="G23" s="321">
        <f t="shared" si="0"/>
        <v>315637.21</v>
      </c>
      <c r="H23" s="450">
        <f t="shared" si="0"/>
        <v>2.887</v>
      </c>
      <c r="J23" s="550" t="str">
        <f>CONCATENATE("Impact On Keeping The Same Mill Rate As For ",I3-1,"")</f>
        <v>Impact On Keeping The Same Mill Rate As For 2012</v>
      </c>
      <c r="K23" s="555"/>
      <c r="L23" s="555"/>
      <c r="M23" s="556"/>
    </row>
    <row r="24" spans="1:13" ht="15.75">
      <c r="A24" s="35" t="s">
        <v>167</v>
      </c>
      <c r="B24" s="214">
        <f>transfers!C26</f>
        <v>0</v>
      </c>
      <c r="C24" s="133"/>
      <c r="D24" s="214">
        <f>transfers!D26</f>
        <v>0</v>
      </c>
      <c r="E24" s="133"/>
      <c r="F24" s="318">
        <f>transfers!E26</f>
        <v>0</v>
      </c>
      <c r="G24" s="260"/>
      <c r="H24" s="319"/>
      <c r="J24" s="474"/>
      <c r="K24" s="469"/>
      <c r="L24" s="469"/>
      <c r="M24" s="475"/>
    </row>
    <row r="25" spans="1:13" ht="16.5" thickBot="1">
      <c r="A25" s="35" t="s">
        <v>168</v>
      </c>
      <c r="B25" s="136">
        <f>SUM(B23-B24)</f>
        <v>294452</v>
      </c>
      <c r="C25" s="320"/>
      <c r="D25" s="136">
        <f>SUM(D23-D24)</f>
        <v>306112</v>
      </c>
      <c r="E25" s="320"/>
      <c r="F25" s="447">
        <f>SUM(F23-F24)</f>
        <v>324112</v>
      </c>
      <c r="G25" s="260"/>
      <c r="H25" s="319"/>
      <c r="J25" s="474" t="str">
        <f>CONCATENATE("",I3," Ad Valorem Tax Revenue:")</f>
        <v>2013 Ad Valorem Tax Revenue:</v>
      </c>
      <c r="K25" s="469"/>
      <c r="L25" s="469"/>
      <c r="M25" s="470">
        <f>G23</f>
        <v>315637.21</v>
      </c>
    </row>
    <row r="26" spans="1:13" ht="16.5" thickTop="1">
      <c r="A26" s="35" t="s">
        <v>49</v>
      </c>
      <c r="B26" s="321">
        <f>inputPrYr!E44</f>
        <v>289317</v>
      </c>
      <c r="C26" s="230"/>
      <c r="D26" s="321">
        <f>inputPrYr!E24</f>
        <v>298172</v>
      </c>
      <c r="E26" s="230"/>
      <c r="F26" s="322" t="s">
        <v>173</v>
      </c>
      <c r="G26" s="18"/>
      <c r="H26" s="18"/>
      <c r="J26" s="474" t="str">
        <f>CONCATENATE("",I3-1," Ad Valorem Tax Revenue:")</f>
        <v>2012 Ad Valorem Tax Revenue:</v>
      </c>
      <c r="K26" s="469"/>
      <c r="L26" s="469"/>
      <c r="M26" s="483">
        <f>ROUND(F27*M18/1000,0)</f>
        <v>323596</v>
      </c>
    </row>
    <row r="27" spans="1:13" ht="15.75">
      <c r="A27" s="35" t="s">
        <v>169</v>
      </c>
      <c r="B27" s="214">
        <f>inputPrYr!E45</f>
        <v>0</v>
      </c>
      <c r="C27" s="230"/>
      <c r="D27" s="214">
        <f>inputOth!E24</f>
        <v>100730766</v>
      </c>
      <c r="E27" s="230"/>
      <c r="F27" s="214">
        <f>inputOth!E7</f>
        <v>109323054</v>
      </c>
      <c r="G27" s="18"/>
      <c r="H27" s="18"/>
      <c r="J27" s="484" t="s">
        <v>330</v>
      </c>
      <c r="K27" s="485"/>
      <c r="L27" s="485"/>
      <c r="M27" s="473">
        <f>M25-M26</f>
        <v>-7958.789999999979</v>
      </c>
    </row>
    <row r="28" spans="1:13" ht="15.75">
      <c r="A28" s="21"/>
      <c r="B28" s="260"/>
      <c r="C28" s="71"/>
      <c r="D28" s="260"/>
      <c r="E28" s="71"/>
      <c r="F28" s="260"/>
      <c r="G28" s="18"/>
      <c r="H28" s="18"/>
      <c r="J28" s="486"/>
      <c r="K28" s="486"/>
      <c r="L28" s="486"/>
      <c r="M28" s="482"/>
    </row>
    <row r="29" spans="1:13" ht="15.75">
      <c r="A29" s="17" t="s">
        <v>50</v>
      </c>
      <c r="B29" s="18"/>
      <c r="C29" s="18"/>
      <c r="D29" s="18"/>
      <c r="E29" s="18"/>
      <c r="F29" s="18"/>
      <c r="G29" s="18"/>
      <c r="H29" s="18"/>
      <c r="J29" s="550" t="s">
        <v>331</v>
      </c>
      <c r="K29" s="553"/>
      <c r="L29" s="553"/>
      <c r="M29" s="554"/>
    </row>
    <row r="30" spans="1:13" ht="15.75">
      <c r="A30" s="17" t="s">
        <v>166</v>
      </c>
      <c r="B30" s="101">
        <f>I3-3</f>
        <v>2010</v>
      </c>
      <c r="C30" s="18"/>
      <c r="D30" s="101">
        <f>I3-2</f>
        <v>2011</v>
      </c>
      <c r="E30" s="18"/>
      <c r="F30" s="101">
        <f>I3-1</f>
        <v>2012</v>
      </c>
      <c r="G30" s="18"/>
      <c r="H30" s="18"/>
      <c r="J30" s="474"/>
      <c r="K30" s="469"/>
      <c r="L30" s="469"/>
      <c r="M30" s="475"/>
    </row>
    <row r="31" spans="1:13" ht="15.75">
      <c r="A31" s="17" t="s">
        <v>51</v>
      </c>
      <c r="B31" s="323">
        <f>inputPrYr!D48</f>
        <v>0</v>
      </c>
      <c r="C31" s="166"/>
      <c r="D31" s="323">
        <f>inputPrYr!E48</f>
        <v>0</v>
      </c>
      <c r="E31" s="18"/>
      <c r="F31" s="323">
        <f>debt!E12</f>
        <v>0</v>
      </c>
      <c r="G31" s="18"/>
      <c r="H31" s="54"/>
      <c r="J31" s="474" t="str">
        <f>CONCATENATE("Current ",I3," Estimated Mill Rate:")</f>
        <v>Current 2013 Estimated Mill Rate:</v>
      </c>
      <c r="K31" s="469"/>
      <c r="L31" s="469"/>
      <c r="M31" s="476">
        <f>H23</f>
        <v>2.887</v>
      </c>
    </row>
    <row r="32" spans="1:13" ht="15.75">
      <c r="A32" s="18" t="s">
        <v>52</v>
      </c>
      <c r="B32" s="323">
        <f>inputPrYr!D49</f>
        <v>0</v>
      </c>
      <c r="C32" s="18"/>
      <c r="D32" s="323">
        <f>inputPrYr!E49</f>
        <v>0</v>
      </c>
      <c r="E32" s="18"/>
      <c r="F32" s="323">
        <f>debt!E16</f>
        <v>0</v>
      </c>
      <c r="G32" s="18"/>
      <c r="H32" s="54"/>
      <c r="J32" s="474" t="str">
        <f>CONCATENATE("Desired ",I3," Mill Rate:")</f>
        <v>Desired 2013 Mill Rate:</v>
      </c>
      <c r="K32" s="469"/>
      <c r="L32" s="469"/>
      <c r="M32" s="487">
        <v>0</v>
      </c>
    </row>
    <row r="33" spans="1:13" ht="15.75">
      <c r="A33" s="17" t="s">
        <v>325</v>
      </c>
      <c r="B33" s="323">
        <f>inputPrYr!D50</f>
        <v>0</v>
      </c>
      <c r="C33" s="166"/>
      <c r="D33" s="323">
        <f>inputPrYr!E50</f>
        <v>0</v>
      </c>
      <c r="E33" s="18"/>
      <c r="F33" s="323">
        <f>debt!E20</f>
        <v>0</v>
      </c>
      <c r="G33" s="18"/>
      <c r="H33" s="54"/>
      <c r="J33" s="474" t="str">
        <f>CONCATENATE("",I3," Ad Valorem Tax:")</f>
        <v>2013 Ad Valorem Tax:</v>
      </c>
      <c r="K33" s="469"/>
      <c r="L33" s="469"/>
      <c r="M33" s="483">
        <f>ROUND(F27*M32/1000,0)</f>
        <v>0</v>
      </c>
    </row>
    <row r="34" spans="1:13" ht="15.75">
      <c r="A34" s="17" t="s">
        <v>133</v>
      </c>
      <c r="B34" s="323">
        <f>inputPrYr!D51</f>
        <v>1004241</v>
      </c>
      <c r="C34" s="18"/>
      <c r="D34" s="323">
        <f>inputPrYr!E51</f>
        <v>941078</v>
      </c>
      <c r="E34" s="18"/>
      <c r="F34" s="323">
        <f>debt!F41</f>
        <v>874769</v>
      </c>
      <c r="G34" s="18"/>
      <c r="H34" s="54"/>
      <c r="J34" s="484" t="str">
        <f>CONCATENATE("",I3," Tax Levy Fund Exp. Changed By:")</f>
        <v>2013 Tax Levy Fund Exp. Changed By:</v>
      </c>
      <c r="K34" s="485"/>
      <c r="L34" s="485"/>
      <c r="M34" s="473">
        <f>IF(M32=0,0,(M33-G23))</f>
        <v>0</v>
      </c>
    </row>
    <row r="35" spans="1:8" ht="16.5" thickBot="1">
      <c r="A35" s="275" t="s">
        <v>53</v>
      </c>
      <c r="B35" s="324">
        <f>SUM(B31:B34)</f>
        <v>1004241</v>
      </c>
      <c r="C35" s="18"/>
      <c r="D35" s="324">
        <f>SUM(D31:D34)</f>
        <v>941078</v>
      </c>
      <c r="E35" s="18"/>
      <c r="F35" s="324">
        <f>SUM(F31:F34)</f>
        <v>874769</v>
      </c>
      <c r="G35" s="325"/>
      <c r="H35" s="54"/>
    </row>
    <row r="36" spans="1:8" ht="16.5" thickTop="1">
      <c r="A36" s="54"/>
      <c r="B36" s="18"/>
      <c r="C36" s="18"/>
      <c r="D36" s="18"/>
      <c r="E36" s="18"/>
      <c r="F36" s="18"/>
      <c r="G36" s="18"/>
      <c r="H36" s="54"/>
    </row>
    <row r="37" spans="1:8" ht="15.75">
      <c r="A37" s="275" t="s">
        <v>54</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525"/>
      <c r="B40" s="526"/>
      <c r="C40" s="102"/>
      <c r="D40" s="18"/>
      <c r="E40" s="18"/>
      <c r="F40" s="18"/>
      <c r="G40" s="18"/>
      <c r="H40" s="54"/>
    </row>
    <row r="41" spans="1:8" ht="15.75">
      <c r="A41" s="311" t="s">
        <v>55</v>
      </c>
      <c r="B41" s="26"/>
      <c r="C41" s="18"/>
      <c r="D41" s="145" t="s">
        <v>39</v>
      </c>
      <c r="E41" s="451"/>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Library District #2 </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517" t="str">
        <f>CONCATENATE("",F1," Neighborhood Revitalization Rebate")</f>
        <v>2013 Neighborhood Revitalization Rebate</v>
      </c>
      <c r="C4" s="564"/>
      <c r="D4" s="564"/>
      <c r="E4" s="557"/>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195</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565" t="str">
        <f>CONCATENATE("",F1-1," July 1 Valuation:")</f>
        <v>2012 July 1 Valuation:</v>
      </c>
      <c r="B16" s="563"/>
      <c r="C16" s="565"/>
      <c r="D16" s="334">
        <f>inputOth!E7</f>
        <v>109323054</v>
      </c>
      <c r="E16" s="18"/>
      <c r="F16" s="54"/>
    </row>
    <row r="17" spans="1:6" ht="15.75">
      <c r="A17" s="18"/>
      <c r="B17" s="18"/>
      <c r="C17" s="18"/>
      <c r="D17" s="18"/>
      <c r="E17" s="18"/>
      <c r="F17" s="54"/>
    </row>
    <row r="18" spans="1:6" ht="15.75">
      <c r="A18" s="18"/>
      <c r="B18" s="565" t="s">
        <v>263</v>
      </c>
      <c r="C18" s="565"/>
      <c r="D18" s="335">
        <f>IF(D16&gt;0,(D16*0.001),"")</f>
        <v>109323.054</v>
      </c>
      <c r="E18" s="18"/>
      <c r="F18" s="54"/>
    </row>
    <row r="19" spans="1:6" ht="15.75">
      <c r="A19" s="18"/>
      <c r="B19" s="145"/>
      <c r="C19" s="145"/>
      <c r="D19" s="336"/>
      <c r="E19" s="18"/>
      <c r="F19" s="54"/>
    </row>
    <row r="20" spans="1:6" ht="15.75">
      <c r="A20" s="562" t="s">
        <v>261</v>
      </c>
      <c r="B20" s="557"/>
      <c r="C20" s="557"/>
      <c r="D20" s="337">
        <f>inputOth!E12</f>
        <v>0</v>
      </c>
      <c r="E20" s="64"/>
      <c r="F20" s="64"/>
    </row>
    <row r="21" spans="1:6" ht="15">
      <c r="A21" s="64"/>
      <c r="B21" s="64"/>
      <c r="C21" s="64"/>
      <c r="D21" s="338"/>
      <c r="E21" s="64"/>
      <c r="F21" s="64"/>
    </row>
    <row r="22" spans="1:6" ht="15.75">
      <c r="A22" s="64"/>
      <c r="B22" s="562" t="s">
        <v>262</v>
      </c>
      <c r="C22" s="5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0"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80" t="s">
        <v>300</v>
      </c>
      <c r="B27" s="64"/>
      <c r="C27" s="64"/>
      <c r="D27" s="64"/>
      <c r="E27" s="64"/>
      <c r="F27" s="64"/>
    </row>
    <row r="28" spans="1:6" ht="15.75">
      <c r="A28" s="380"/>
      <c r="B28" s="64"/>
      <c r="C28" s="64"/>
      <c r="D28" s="64"/>
      <c r="E28" s="64"/>
      <c r="F28" s="64"/>
    </row>
    <row r="29" spans="1:6" ht="15.75">
      <c r="A29" s="380"/>
      <c r="B29" s="64"/>
      <c r="C29" s="64"/>
      <c r="D29" s="64"/>
      <c r="E29" s="64"/>
      <c r="F29" s="64"/>
    </row>
    <row r="30" spans="1:6" ht="15.75">
      <c r="A30" s="380"/>
      <c r="B30" s="64"/>
      <c r="C30" s="64"/>
      <c r="D30" s="64"/>
      <c r="E30" s="64"/>
      <c r="F30" s="64"/>
    </row>
    <row r="31" spans="1:6" ht="15.75">
      <c r="A31" s="380"/>
      <c r="B31" s="64"/>
      <c r="C31" s="64"/>
      <c r="D31" s="64"/>
      <c r="E31" s="64"/>
      <c r="F31" s="64"/>
    </row>
    <row r="32" spans="1:6" ht="15.75">
      <c r="A32" s="380"/>
      <c r="B32" s="64"/>
      <c r="C32" s="64"/>
      <c r="D32" s="64"/>
      <c r="E32" s="64"/>
      <c r="F32" s="64"/>
    </row>
    <row r="33" spans="1:6" ht="15.75">
      <c r="A33" s="380"/>
      <c r="B33" s="64"/>
      <c r="C33" s="64"/>
      <c r="D33" s="64"/>
      <c r="E33" s="64"/>
      <c r="F33" s="64"/>
    </row>
    <row r="34" spans="1:6" ht="15">
      <c r="A34" s="64"/>
      <c r="B34" s="64"/>
      <c r="C34" s="64"/>
      <c r="D34" s="64"/>
      <c r="E34" s="64"/>
      <c r="F34" s="64"/>
    </row>
    <row r="35" spans="1:6" ht="15.75">
      <c r="A35" s="64"/>
      <c r="B35" s="309" t="s">
        <v>39</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566" t="s">
        <v>137</v>
      </c>
      <c r="C1" s="566"/>
      <c r="D1" s="566"/>
      <c r="E1" s="566"/>
      <c r="F1" s="566"/>
      <c r="G1" s="566"/>
      <c r="H1" s="566"/>
    </row>
    <row r="2" spans="2:8" ht="15.75">
      <c r="B2" s="6"/>
      <c r="C2"/>
      <c r="D2"/>
      <c r="E2"/>
      <c r="F2"/>
      <c r="G2"/>
      <c r="H2"/>
    </row>
    <row r="3" spans="2:8" ht="15.75">
      <c r="B3" s="567" t="s">
        <v>371</v>
      </c>
      <c r="C3" s="567"/>
      <c r="D3" s="567"/>
      <c r="E3" s="567"/>
      <c r="F3" s="567"/>
      <c r="G3" s="567"/>
      <c r="H3" s="567"/>
    </row>
    <row r="4" spans="2:8" ht="15.75">
      <c r="B4" s="7"/>
      <c r="C4"/>
      <c r="D4"/>
      <c r="E4"/>
      <c r="F4"/>
      <c r="G4"/>
      <c r="H4"/>
    </row>
    <row r="5" spans="2:8" ht="15.75">
      <c r="B5" s="572" t="str">
        <f>CONCATENATE("A resolution expressing the property taxation policy of the Board of ",(inputPrYr!D3)," District with respect to financing the ",inputPrYr!D6," annual budget for ",(inputPrYr!D3)," , ",(inputPrYr!D4)," , Kansas.")</f>
        <v>A resolution expressing the property taxation policy of the Board of Library District #2  District with respect to financing the 2013 annual budget for Library District #2  , Linn County , Kansas.</v>
      </c>
      <c r="C5" s="573"/>
      <c r="D5" s="573"/>
      <c r="E5" s="573"/>
      <c r="F5" s="573"/>
      <c r="G5" s="573"/>
      <c r="H5" s="573"/>
    </row>
    <row r="6" spans="2:10" ht="15.75">
      <c r="B6" s="573"/>
      <c r="C6" s="573"/>
      <c r="D6" s="573"/>
      <c r="E6" s="573"/>
      <c r="F6" s="573"/>
      <c r="G6" s="573"/>
      <c r="H6" s="573"/>
      <c r="J6" s="2">
        <f>CONCATENATE(J7)</f>
      </c>
    </row>
    <row r="7" spans="2:8" ht="15.75">
      <c r="B7" s="11"/>
      <c r="C7"/>
      <c r="D7"/>
      <c r="E7"/>
      <c r="F7"/>
      <c r="G7"/>
      <c r="H7"/>
    </row>
    <row r="8" spans="2:8" ht="15.75">
      <c r="B8" s="12" t="s">
        <v>174</v>
      </c>
      <c r="C8"/>
      <c r="D8"/>
      <c r="E8"/>
      <c r="F8"/>
      <c r="G8"/>
      <c r="H8"/>
    </row>
    <row r="9" spans="2:8" ht="15.75">
      <c r="B9" s="12" t="str">
        <f>CONCATENATE("",inputPrYr!D6," ",(inputPrYr!D3)," district budget exceed the amount levied to finance the")</f>
        <v>2013 Library District #2  district budget exceed the amount levied to finance the</v>
      </c>
      <c r="C9"/>
      <c r="D9"/>
      <c r="E9"/>
      <c r="F9"/>
      <c r="G9"/>
      <c r="H9"/>
    </row>
    <row r="10" spans="2:8" ht="15.75">
      <c r="B10" s="12" t="str">
        <f>CONCATENATE("",inputPrYr!D6-1," ",inputPrYr!D3," except with regard to revenue produced and attributable to the")</f>
        <v>2012 Library District #2  except with regard to revenue produced and attributable to the</v>
      </c>
      <c r="C10"/>
      <c r="D10"/>
      <c r="E10"/>
      <c r="F10"/>
      <c r="G10"/>
      <c r="H10"/>
    </row>
    <row r="11" spans="2:8" ht="15.75">
      <c r="B11" s="568" t="s">
        <v>175</v>
      </c>
      <c r="C11" s="569"/>
      <c r="D11" s="569"/>
      <c r="E11" s="569"/>
      <c r="F11" s="569"/>
      <c r="G11" s="569"/>
      <c r="H11" s="569"/>
    </row>
    <row r="12" spans="2:8" ht="15.75">
      <c r="B12" s="569"/>
      <c r="C12" s="569"/>
      <c r="D12" s="569"/>
      <c r="E12" s="569"/>
      <c r="F12" s="569"/>
      <c r="G12" s="569"/>
      <c r="H12" s="569"/>
    </row>
    <row r="13" spans="2:8" ht="15.75">
      <c r="B13" s="569"/>
      <c r="C13" s="569"/>
      <c r="D13" s="569"/>
      <c r="E13" s="569"/>
      <c r="F13" s="569"/>
      <c r="G13" s="569"/>
      <c r="H13" s="569"/>
    </row>
    <row r="14" spans="2:8" ht="15.75">
      <c r="B14" s="569"/>
      <c r="C14" s="569"/>
      <c r="D14" s="569"/>
      <c r="E14" s="569"/>
      <c r="F14" s="569"/>
      <c r="G14" s="569"/>
      <c r="H14" s="569"/>
    </row>
    <row r="15" spans="2:8" ht="15.75">
      <c r="B15" s="1"/>
      <c r="C15" s="1"/>
      <c r="D15" s="1"/>
      <c r="E15" s="1"/>
      <c r="F15" s="1"/>
      <c r="G15" s="1"/>
      <c r="H15" s="1"/>
    </row>
    <row r="16" spans="2:8" ht="15.75">
      <c r="B16" s="574" t="s">
        <v>146</v>
      </c>
      <c r="C16" s="575"/>
      <c r="D16" s="575"/>
      <c r="E16" s="575"/>
      <c r="F16" s="575"/>
      <c r="G16" s="575"/>
      <c r="H16" s="575"/>
    </row>
    <row r="17" spans="2:8" ht="15.75">
      <c r="B17" s="575"/>
      <c r="C17" s="575"/>
      <c r="D17" s="575"/>
      <c r="E17" s="575"/>
      <c r="F17" s="575"/>
      <c r="G17" s="575"/>
      <c r="H17" s="575"/>
    </row>
    <row r="18" spans="2:8" ht="15.75">
      <c r="B18" s="12"/>
      <c r="C18"/>
      <c r="D18"/>
      <c r="E18"/>
      <c r="F18"/>
      <c r="G18"/>
      <c r="H18"/>
    </row>
    <row r="19" spans="2:8" ht="15.75">
      <c r="B19" s="12" t="str">
        <f>CONCATENATE("Whereas, ",(inputPrYr!D3)," provides essential services to district residents; and")</f>
        <v>Whereas, Library District #2  provides essential services to district residents; and</v>
      </c>
      <c r="C19"/>
      <c r="D19"/>
      <c r="E19"/>
      <c r="F19"/>
      <c r="G19"/>
      <c r="H19"/>
    </row>
    <row r="20" spans="2:8" ht="15.75">
      <c r="B20" s="12"/>
      <c r="C20"/>
      <c r="D20"/>
      <c r="E20"/>
      <c r="F20"/>
      <c r="G20"/>
      <c r="H20"/>
    </row>
    <row r="21" spans="2:8" ht="15.75">
      <c r="B21" s="12" t="s">
        <v>147</v>
      </c>
      <c r="C21"/>
      <c r="D21"/>
      <c r="E21"/>
      <c r="F21"/>
      <c r="G21"/>
      <c r="H21"/>
    </row>
    <row r="22" spans="2:8" ht="15.75">
      <c r="B22" s="12"/>
      <c r="C22"/>
      <c r="D22"/>
      <c r="E22"/>
      <c r="F22"/>
      <c r="G22"/>
      <c r="H22"/>
    </row>
    <row r="23" spans="2:8" ht="15.75">
      <c r="B23" s="5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Library District #2  that is our desire to notify the public of the possibility of increased property taxes to finance the 2013 Library District #2   budget as defined above.</v>
      </c>
      <c r="C23" s="576"/>
      <c r="D23" s="576"/>
      <c r="E23" s="576"/>
      <c r="F23" s="576"/>
      <c r="G23" s="576"/>
      <c r="H23" s="576"/>
    </row>
    <row r="24" spans="2:8" ht="15.75">
      <c r="B24" s="576"/>
      <c r="C24" s="576"/>
      <c r="D24" s="576"/>
      <c r="E24" s="576"/>
      <c r="F24" s="576"/>
      <c r="G24" s="576"/>
      <c r="H24" s="576"/>
    </row>
    <row r="25" spans="2:8" ht="15.75">
      <c r="B25" s="576"/>
      <c r="C25" s="576"/>
      <c r="D25" s="576"/>
      <c r="E25" s="576"/>
      <c r="F25" s="576"/>
      <c r="G25" s="576"/>
      <c r="H25" s="576"/>
    </row>
    <row r="26" spans="2:8" ht="15.75">
      <c r="B26" s="12"/>
      <c r="C26"/>
      <c r="D26"/>
      <c r="E26"/>
      <c r="F26"/>
      <c r="G26"/>
      <c r="H26"/>
    </row>
    <row r="27" spans="2:8" ht="15.75">
      <c r="B27" s="574" t="str">
        <f>CONCATENATE("Adopted this _____7th____ day of ______Aug._____, ",inputPrYr!D6-1," by the ",(inputPrYr!D3)," District Board, ",(inputPrYr!D4),", Kansas.")</f>
        <v>Adopted this _____7th____ day of ______Aug._____, 2012 by the Library District #2  District Board, Linn County, Kansas.</v>
      </c>
      <c r="C27" s="573"/>
      <c r="D27" s="573"/>
      <c r="E27" s="573"/>
      <c r="F27" s="573"/>
      <c r="G27" s="573"/>
      <c r="H27" s="573"/>
    </row>
    <row r="28" spans="2:8" ht="15.75">
      <c r="B28" s="573"/>
      <c r="C28" s="573"/>
      <c r="D28" s="573"/>
      <c r="E28" s="573"/>
      <c r="F28" s="573"/>
      <c r="G28" s="573"/>
      <c r="H28" s="573"/>
    </row>
    <row r="29" spans="2:8" ht="15.75">
      <c r="B29" s="8"/>
      <c r="C29"/>
      <c r="D29"/>
      <c r="E29"/>
      <c r="F29"/>
      <c r="G29"/>
      <c r="H29"/>
    </row>
    <row r="30" spans="2:8" ht="15.75">
      <c r="B30" s="8"/>
      <c r="C30"/>
      <c r="D30"/>
      <c r="E30"/>
      <c r="F30"/>
      <c r="G30"/>
      <c r="H30"/>
    </row>
    <row r="31" spans="2:8" ht="15.75">
      <c r="B31" s="9" t="str">
        <f>CONCATENATE(" ",(inputPrYr!D3)," District Board")</f>
        <v> Library District #2  District Board</v>
      </c>
      <c r="C31"/>
      <c r="D31"/>
      <c r="E31"/>
      <c r="F31"/>
      <c r="G31"/>
      <c r="H31"/>
    </row>
    <row r="32" spans="2:8" ht="15.75">
      <c r="B32" s="8"/>
      <c r="C32"/>
      <c r="D32"/>
      <c r="E32"/>
      <c r="F32"/>
      <c r="G32"/>
      <c r="H32"/>
    </row>
    <row r="33" spans="2:8" ht="15.75">
      <c r="B33"/>
      <c r="C33"/>
      <c r="D33"/>
      <c r="E33" s="570" t="s">
        <v>135</v>
      </c>
      <c r="F33" s="570"/>
      <c r="G33" s="570"/>
      <c r="H33" s="570"/>
    </row>
    <row r="34" spans="2:8" ht="15.75">
      <c r="B34"/>
      <c r="C34"/>
      <c r="D34"/>
      <c r="E34" s="570" t="s">
        <v>138</v>
      </c>
      <c r="F34" s="570"/>
      <c r="G34" s="570"/>
      <c r="H34" s="570"/>
    </row>
    <row r="35" spans="2:8" ht="15.75">
      <c r="B35" s="8"/>
      <c r="C35"/>
      <c r="D35"/>
      <c r="E35" s="570"/>
      <c r="F35" s="570"/>
      <c r="G35" s="570"/>
      <c r="H35" s="570"/>
    </row>
    <row r="36" spans="2:8" ht="15.75">
      <c r="B36"/>
      <c r="C36"/>
      <c r="D36"/>
      <c r="E36" s="570" t="s">
        <v>135</v>
      </c>
      <c r="F36" s="570"/>
      <c r="G36" s="570"/>
      <c r="H36" s="570"/>
    </row>
    <row r="37" spans="2:8" ht="15.75">
      <c r="B37"/>
      <c r="C37"/>
      <c r="D37"/>
      <c r="E37" s="570" t="s">
        <v>139</v>
      </c>
      <c r="F37" s="570"/>
      <c r="G37" s="570"/>
      <c r="H37" s="570"/>
    </row>
    <row r="38" spans="2:8" ht="15.75">
      <c r="B38" s="8"/>
      <c r="C38"/>
      <c r="D38"/>
      <c r="E38" s="570"/>
      <c r="F38" s="570"/>
      <c r="G38" s="570"/>
      <c r="H38" s="570"/>
    </row>
    <row r="39" spans="2:8" ht="15.75">
      <c r="B39"/>
      <c r="C39"/>
      <c r="D39"/>
      <c r="E39" s="570" t="s">
        <v>135</v>
      </c>
      <c r="F39" s="570"/>
      <c r="G39" s="570"/>
      <c r="H39" s="570"/>
    </row>
    <row r="40" spans="2:8" ht="15.75">
      <c r="B40"/>
      <c r="C40"/>
      <c r="D40"/>
      <c r="E40" s="570" t="s">
        <v>140</v>
      </c>
      <c r="F40" s="570"/>
      <c r="G40" s="570"/>
      <c r="H40" s="5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39</v>
      </c>
      <c r="E45" s="15"/>
      <c r="F45" s="13"/>
      <c r="G45" s="13"/>
      <c r="H45" s="13"/>
    </row>
    <row r="46" spans="2:8" ht="15.75">
      <c r="B46" s="10" t="s">
        <v>136</v>
      </c>
      <c r="E46" s="571"/>
      <c r="F46" s="571"/>
      <c r="G46" s="571"/>
      <c r="H46" s="571"/>
    </row>
    <row r="47" spans="2:8" ht="15.75">
      <c r="B47" s="3"/>
      <c r="E47" s="571"/>
      <c r="F47" s="571"/>
      <c r="G47" s="571"/>
      <c r="H47" s="571"/>
    </row>
    <row r="48" spans="5:8" ht="15.75">
      <c r="E48" s="571"/>
      <c r="F48" s="571"/>
      <c r="G48" s="571"/>
      <c r="H48" s="571"/>
    </row>
    <row r="49" spans="5:8" ht="15.75">
      <c r="E49" s="571"/>
      <c r="F49" s="571"/>
      <c r="G49" s="571"/>
      <c r="H49" s="571"/>
    </row>
    <row r="50" spans="2:8" ht="15.75">
      <c r="B50" s="3"/>
      <c r="E50" s="571"/>
      <c r="F50" s="571"/>
      <c r="G50" s="571"/>
      <c r="H50" s="5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5">
      <selection activeCell="C19" sqref="C19"/>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498" t="s">
        <v>2</v>
      </c>
      <c r="B1" s="499"/>
      <c r="C1" s="499"/>
      <c r="D1" s="499"/>
      <c r="E1" s="499"/>
    </row>
    <row r="2" spans="1:5" ht="15.75">
      <c r="A2" s="17"/>
      <c r="B2" s="18"/>
      <c r="C2" s="18"/>
      <c r="D2" s="18"/>
      <c r="E2" s="18"/>
    </row>
    <row r="3" spans="1:5" ht="15.75">
      <c r="A3" s="19" t="s">
        <v>129</v>
      </c>
      <c r="B3" s="18"/>
      <c r="C3" s="18"/>
      <c r="D3" s="20" t="s">
        <v>354</v>
      </c>
      <c r="E3" s="21"/>
    </row>
    <row r="4" spans="1:5" ht="15.75">
      <c r="A4" s="19" t="s">
        <v>210</v>
      </c>
      <c r="B4" s="18"/>
      <c r="C4" s="18"/>
      <c r="D4" s="22" t="s">
        <v>355</v>
      </c>
      <c r="E4" s="21"/>
    </row>
    <row r="5" spans="1:5" ht="15.75">
      <c r="A5" s="17"/>
      <c r="B5" s="18"/>
      <c r="C5" s="18"/>
      <c r="D5" s="23"/>
      <c r="E5" s="21"/>
    </row>
    <row r="6" spans="1:5" ht="15.75">
      <c r="A6" s="19" t="s">
        <v>148</v>
      </c>
      <c r="B6" s="18"/>
      <c r="C6" s="18"/>
      <c r="D6" s="24">
        <v>2013</v>
      </c>
      <c r="E6" s="21"/>
    </row>
    <row r="7" spans="1:5" ht="15.75">
      <c r="A7" s="18"/>
      <c r="B7" s="18"/>
      <c r="C7" s="18"/>
      <c r="D7" s="18"/>
      <c r="E7" s="18"/>
    </row>
    <row r="8" spans="1:5" ht="15.75">
      <c r="A8" s="500" t="s">
        <v>193</v>
      </c>
      <c r="B8" s="501"/>
      <c r="C8" s="501"/>
      <c r="D8" s="501"/>
      <c r="E8" s="501"/>
    </row>
    <row r="9" spans="1:5" ht="15.75">
      <c r="A9" s="25" t="s">
        <v>76</v>
      </c>
      <c r="B9" s="26"/>
      <c r="C9" s="26"/>
      <c r="D9" s="26"/>
      <c r="E9" s="26"/>
    </row>
    <row r="10" spans="1:5" ht="15.75">
      <c r="A10" s="502" t="s">
        <v>192</v>
      </c>
      <c r="B10" s="503"/>
      <c r="C10" s="503"/>
      <c r="D10" s="503"/>
      <c r="E10" s="503"/>
    </row>
    <row r="11" spans="1:5" ht="15.75">
      <c r="A11" s="27"/>
      <c r="B11" s="18"/>
      <c r="C11" s="18"/>
      <c r="D11" s="18"/>
      <c r="E11" s="18"/>
    </row>
    <row r="12" spans="1:5" ht="15.75">
      <c r="A12" s="496" t="s">
        <v>184</v>
      </c>
      <c r="B12" s="497"/>
      <c r="C12" s="497"/>
      <c r="D12" s="497"/>
      <c r="E12" s="497"/>
    </row>
    <row r="13" spans="1:5" ht="15.75">
      <c r="A13" s="27"/>
      <c r="B13" s="18"/>
      <c r="C13" s="18"/>
      <c r="D13" s="18"/>
      <c r="E13" s="18"/>
    </row>
    <row r="14" spans="1:5" ht="15.75">
      <c r="A14" s="28" t="s">
        <v>152</v>
      </c>
      <c r="B14" s="29"/>
      <c r="C14" s="18"/>
      <c r="D14" s="18"/>
      <c r="E14" s="18"/>
    </row>
    <row r="15" spans="1:5" ht="15.75">
      <c r="A15" s="30" t="str">
        <f>CONCATENATE("the ",D6-1," Budget, Certificate Page:")</f>
        <v>the 2012 Budget, Certificate Page:</v>
      </c>
      <c r="B15" s="31"/>
      <c r="C15" s="18"/>
      <c r="D15" s="18"/>
      <c r="E15" s="18"/>
    </row>
    <row r="16" spans="1:5" ht="15.75">
      <c r="A16" s="30" t="s">
        <v>236</v>
      </c>
      <c r="B16" s="31"/>
      <c r="C16" s="18"/>
      <c r="D16" s="18"/>
      <c r="E16" s="18"/>
    </row>
    <row r="17" spans="1:5" ht="15.75">
      <c r="A17" s="18"/>
      <c r="B17" s="18"/>
      <c r="C17" s="32"/>
      <c r="D17" s="33">
        <f>D6-1</f>
        <v>2012</v>
      </c>
      <c r="E17" s="504" t="str">
        <f>CONCATENATE("Amount of ",D6-2,"     Ad Valorem Tax")</f>
        <v>Amount of 2011     Ad Valorem Tax</v>
      </c>
    </row>
    <row r="18" spans="1:5" ht="15.75">
      <c r="A18" s="17" t="s">
        <v>3</v>
      </c>
      <c r="B18" s="18"/>
      <c r="C18" s="32" t="s">
        <v>4</v>
      </c>
      <c r="D18" s="34" t="s">
        <v>237</v>
      </c>
      <c r="E18" s="505"/>
    </row>
    <row r="19" spans="1:5" ht="15.75">
      <c r="A19" s="18"/>
      <c r="B19" s="35" t="s">
        <v>5</v>
      </c>
      <c r="C19" s="422">
        <v>0</v>
      </c>
      <c r="D19" s="37">
        <v>306112</v>
      </c>
      <c r="E19" s="37">
        <v>298172</v>
      </c>
    </row>
    <row r="20" spans="1:5" ht="15.75">
      <c r="A20" s="18"/>
      <c r="B20" s="35" t="s">
        <v>235</v>
      </c>
      <c r="C20" s="114" t="s">
        <v>154</v>
      </c>
      <c r="D20" s="37"/>
      <c r="E20" s="37"/>
    </row>
    <row r="21" spans="1:5" ht="15.75">
      <c r="A21" s="17" t="s">
        <v>6</v>
      </c>
      <c r="B21" s="18"/>
      <c r="C21" s="18"/>
      <c r="D21" s="39"/>
      <c r="E21" s="40"/>
    </row>
    <row r="22" spans="1:5" ht="15.75">
      <c r="A22" s="18"/>
      <c r="B22" s="36"/>
      <c r="C22" s="422"/>
      <c r="D22" s="37"/>
      <c r="E22" s="37"/>
    </row>
    <row r="23" spans="1:5" ht="15.75">
      <c r="A23" s="18"/>
      <c r="B23" s="36"/>
      <c r="C23" s="422"/>
      <c r="D23" s="37"/>
      <c r="E23" s="37"/>
    </row>
    <row r="24" spans="1:5" ht="15.75">
      <c r="A24" s="41" t="str">
        <f>CONCATENATE("Total Ad Valorem Tax for ",D6-1," Budgeted Year")</f>
        <v>Total Ad Valorem Tax for 2012 Budgeted Year</v>
      </c>
      <c r="B24" s="42"/>
      <c r="C24" s="42"/>
      <c r="D24" s="43"/>
      <c r="E24" s="44">
        <f>SUM(E19:E20,E22:E23)</f>
        <v>298172</v>
      </c>
    </row>
    <row r="25" spans="1:5" ht="15.75">
      <c r="A25" s="45" t="s">
        <v>7</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2012 Budgeted Year</v>
      </c>
      <c r="B28" s="42"/>
      <c r="C28" s="46"/>
      <c r="D28" s="47">
        <f>SUM(D19:D20,D22:D23,D26:D27)</f>
        <v>306112</v>
      </c>
      <c r="E28" s="39"/>
    </row>
    <row r="29" spans="1:5" ht="15.75">
      <c r="A29" s="18" t="s">
        <v>227</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152</v>
      </c>
      <c r="B36" s="29"/>
      <c r="C36" s="18"/>
      <c r="D36" s="494" t="str">
        <f>CONCATENATE("",D6-3," Tax Rate          (",D6-2," Column)")</f>
        <v>2010 Tax Rate          (2011 Column)</v>
      </c>
      <c r="E36" s="39"/>
    </row>
    <row r="37" spans="1:5" ht="15.75">
      <c r="A37" s="30" t="str">
        <f>CONCATENATE("the ",D6-1," Budget, Budget Summary Page:")</f>
        <v>the 2012 Budget, Budget Summary Page:</v>
      </c>
      <c r="B37" s="31"/>
      <c r="C37" s="18"/>
      <c r="D37" s="495"/>
      <c r="E37" s="39"/>
    </row>
    <row r="38" spans="1:5" ht="15.75">
      <c r="A38" s="18"/>
      <c r="B38" s="38" t="str">
        <f>B19</f>
        <v>General</v>
      </c>
      <c r="C38" s="18"/>
      <c r="D38" s="49">
        <v>297</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8</v>
      </c>
      <c r="B42" s="18"/>
      <c r="C42" s="18"/>
      <c r="D42" s="50">
        <f>SUM(D38:D41)</f>
        <v>297</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289317</v>
      </c>
    </row>
    <row r="45" spans="1:5" ht="15.75">
      <c r="A45" s="51" t="str">
        <f>CONCATENATE("Assessed Valuation (",D6-2," budget column)")</f>
        <v>Assessed Valuation (2011 budget column)</v>
      </c>
      <c r="B45" s="29"/>
      <c r="C45" s="18"/>
      <c r="D45" s="18"/>
      <c r="E45" s="53"/>
    </row>
    <row r="46" spans="1:5" ht="15.75">
      <c r="A46" s="18"/>
      <c r="B46" s="18"/>
      <c r="C46" s="18"/>
      <c r="D46" s="18"/>
      <c r="E46" s="39"/>
    </row>
    <row r="47" spans="1:5" ht="15.75">
      <c r="A47" s="29" t="s">
        <v>194</v>
      </c>
      <c r="B47" s="29"/>
      <c r="C47" s="54"/>
      <c r="D47" s="55">
        <f>D6-3</f>
        <v>2010</v>
      </c>
      <c r="E47" s="55">
        <f>D6-2</f>
        <v>2011</v>
      </c>
    </row>
    <row r="48" spans="1:5" ht="15.75">
      <c r="A48" s="56" t="s">
        <v>149</v>
      </c>
      <c r="B48" s="56"/>
      <c r="C48" s="57"/>
      <c r="D48" s="58"/>
      <c r="E48" s="58"/>
    </row>
    <row r="49" spans="1:5" ht="15.75">
      <c r="A49" s="59" t="s">
        <v>150</v>
      </c>
      <c r="B49" s="59"/>
      <c r="C49" s="60"/>
      <c r="D49" s="58"/>
      <c r="E49" s="58"/>
    </row>
    <row r="50" spans="1:5" ht="15.75">
      <c r="A50" s="59" t="s">
        <v>326</v>
      </c>
      <c r="B50" s="59"/>
      <c r="C50" s="60"/>
      <c r="D50" s="58"/>
      <c r="E50" s="58"/>
    </row>
    <row r="51" spans="1:5" ht="15.75">
      <c r="A51" s="59" t="s">
        <v>151</v>
      </c>
      <c r="B51" s="59"/>
      <c r="C51" s="60"/>
      <c r="D51" s="58">
        <v>1004241</v>
      </c>
      <c r="E51" s="58">
        <v>941078</v>
      </c>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K14" sqref="K14"/>
    </sheetView>
  </sheetViews>
  <sheetFormatPr defaultColWidth="8.796875" defaultRowHeight="15"/>
  <sheetData/>
  <sheetProtection/>
  <printOptions/>
  <pageMargins left="0.7" right="0.7" top="0.75" bottom="0.75" header="0.3" footer="0.3"/>
  <pageSetup horizontalDpi="600" verticalDpi="600" orientation="portrait" r:id="rId3"/>
  <legacyDrawing r:id="rId2"/>
  <oleObjects>
    <oleObject progId="AcroExch.Document.7" shapeId="6000140" r:id="rId1"/>
  </oleObjects>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6">
      <selection activeCell="B42" sqref="B42"/>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Library District #2 </v>
      </c>
      <c r="B1" s="62"/>
      <c r="C1" s="62"/>
      <c r="D1" s="62"/>
      <c r="E1" s="62">
        <f>inputPrYr!D6</f>
        <v>2013</v>
      </c>
    </row>
    <row r="2" spans="1:5" ht="15.75">
      <c r="A2" s="62" t="str">
        <f>inputPrYr!D4</f>
        <v>Linn County</v>
      </c>
      <c r="B2" s="62"/>
      <c r="C2" s="62"/>
      <c r="D2" s="62"/>
      <c r="E2" s="62"/>
    </row>
    <row r="3" spans="1:5" ht="15">
      <c r="A3" s="64"/>
      <c r="B3" s="64"/>
      <c r="C3" s="64"/>
      <c r="D3" s="64"/>
      <c r="E3" s="64"/>
    </row>
    <row r="4" spans="1:5" ht="15.75">
      <c r="A4" s="496" t="s">
        <v>184</v>
      </c>
      <c r="B4" s="497"/>
      <c r="C4" s="497"/>
      <c r="D4" s="497"/>
      <c r="E4" s="4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109323054</v>
      </c>
    </row>
    <row r="8" spans="1:5" ht="15.75">
      <c r="A8" s="68" t="str">
        <f>CONCATENATE("New Improvements for ",inputPrYr!D6-1,"")</f>
        <v>New Improvements for 2012</v>
      </c>
      <c r="B8" s="69"/>
      <c r="C8" s="69"/>
      <c r="D8" s="69"/>
      <c r="E8" s="70">
        <v>421841</v>
      </c>
    </row>
    <row r="9" spans="1:5" ht="15.75">
      <c r="A9" s="68" t="str">
        <f>CONCATENATE("Personal Property excluding oil, gas, and mobile homes- ",inputPrYr!D6-1,"")</f>
        <v>Personal Property excluding oil, gas, and mobile homes- 2012</v>
      </c>
      <c r="B9" s="69"/>
      <c r="C9" s="69"/>
      <c r="D9" s="69"/>
      <c r="E9" s="70">
        <v>1236254</v>
      </c>
    </row>
    <row r="10" spans="1:5" ht="15.75">
      <c r="A10" s="68" t="str">
        <f>CONCATENATE("Property that has changed in use for ",inputPrYr!D6-1,"")</f>
        <v>Property that has changed in use for 2012</v>
      </c>
      <c r="B10" s="69"/>
      <c r="C10" s="69"/>
      <c r="D10" s="69"/>
      <c r="E10" s="70">
        <v>7478</v>
      </c>
    </row>
    <row r="11" spans="1:5" ht="15.75">
      <c r="A11" s="67" t="str">
        <f>CONCATENATE("Personal Property excluding oil, gas, and mobile homes- ",inputPrYr!D6-2,"")</f>
        <v>Personal Property excluding oil, gas, and mobile homes- 2011</v>
      </c>
      <c r="B11" s="42"/>
      <c r="C11" s="42"/>
      <c r="D11" s="42"/>
      <c r="E11" s="70">
        <v>1142906</v>
      </c>
    </row>
    <row r="12" spans="1:5" ht="15.75">
      <c r="A12" s="68" t="str">
        <f>CONCATENATE("Neighborhood Revitalization - ",E1,"")</f>
        <v>Neighborhood Revitalization - 2013</v>
      </c>
      <c r="B12" s="69"/>
      <c r="C12" s="69"/>
      <c r="D12" s="69"/>
      <c r="E12" s="70">
        <v>0</v>
      </c>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506" t="s">
        <v>21</v>
      </c>
      <c r="B15" s="501"/>
      <c r="C15" s="64"/>
      <c r="D15" s="75" t="s">
        <v>59</v>
      </c>
      <c r="E15" s="74"/>
    </row>
    <row r="16" spans="1:5" ht="15.75">
      <c r="A16" s="67" t="s">
        <v>5</v>
      </c>
      <c r="B16" s="42"/>
      <c r="C16" s="71"/>
      <c r="D16" s="76">
        <v>2.96</v>
      </c>
      <c r="E16" s="74"/>
    </row>
    <row r="17" spans="1:5" ht="15.75">
      <c r="A17" s="68" t="s">
        <v>235</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190</v>
      </c>
      <c r="C22" s="80"/>
      <c r="D22" s="81">
        <f>SUM(D16:D21)</f>
        <v>2.96</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100730766</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9</v>
      </c>
      <c r="B27" s="42"/>
      <c r="C27" s="42"/>
      <c r="D27" s="85"/>
      <c r="E27" s="37">
        <v>6988</v>
      </c>
    </row>
    <row r="28" spans="1:5" ht="15.75">
      <c r="A28" s="68" t="s">
        <v>10</v>
      </c>
      <c r="B28" s="69"/>
      <c r="C28" s="69"/>
      <c r="D28" s="86"/>
      <c r="E28" s="37">
        <v>314</v>
      </c>
    </row>
    <row r="29" spans="1:5" ht="15.75">
      <c r="A29" s="68" t="s">
        <v>170</v>
      </c>
      <c r="B29" s="69"/>
      <c r="C29" s="69"/>
      <c r="D29" s="86"/>
      <c r="E29" s="37">
        <v>242</v>
      </c>
    </row>
    <row r="30" spans="1:5" ht="15.75">
      <c r="A30" s="68" t="s">
        <v>157</v>
      </c>
      <c r="B30" s="69"/>
      <c r="C30" s="69"/>
      <c r="D30" s="86"/>
      <c r="E30" s="37"/>
    </row>
    <row r="31" spans="1:5" ht="15.75">
      <c r="A31" s="68" t="s">
        <v>158</v>
      </c>
      <c r="B31" s="69"/>
      <c r="C31" s="69"/>
      <c r="D31" s="86"/>
      <c r="E31" s="37"/>
    </row>
    <row r="32" spans="1:5" ht="15.75">
      <c r="A32" s="67"/>
      <c r="B32" s="42"/>
      <c r="C32" s="42"/>
      <c r="D32" s="85"/>
      <c r="E32" s="37"/>
    </row>
    <row r="33" spans="1:5" ht="15.75">
      <c r="A33" s="18" t="s">
        <v>171</v>
      </c>
      <c r="B33" s="18"/>
      <c r="C33" s="18"/>
      <c r="D33" s="18"/>
      <c r="E33" s="18"/>
    </row>
    <row r="34" spans="1:5" ht="15.75">
      <c r="A34" s="87" t="s">
        <v>109</v>
      </c>
      <c r="B34" s="26"/>
      <c r="C34" s="26"/>
      <c r="D34" s="18"/>
      <c r="E34" s="18"/>
    </row>
    <row r="35" spans="1:5" ht="15.75">
      <c r="A35" s="88" t="str">
        <f>CONCATENATE("Actual Delinquency for ",E1-3," Tax (round to three decimal places)")</f>
        <v>Actual Delinquency for 2010 Tax (round to three decimal places)</v>
      </c>
      <c r="B35" s="71"/>
      <c r="C35" s="18"/>
      <c r="D35" s="18"/>
      <c r="E35" s="89">
        <v>0.766</v>
      </c>
    </row>
    <row r="36" spans="1:5" ht="15.75">
      <c r="A36" s="88" t="s">
        <v>191</v>
      </c>
      <c r="B36" s="88"/>
      <c r="C36" s="71"/>
      <c r="D36" s="71"/>
      <c r="E36" s="399"/>
    </row>
    <row r="37" spans="1:5" ht="15.75">
      <c r="A37" s="90" t="s">
        <v>172</v>
      </c>
      <c r="B37" s="90"/>
      <c r="C37" s="91"/>
      <c r="D37" s="91"/>
      <c r="E37" s="92"/>
    </row>
    <row r="38" spans="1:5" ht="15">
      <c r="A38" s="64"/>
      <c r="B38" s="64"/>
      <c r="C38" s="64"/>
      <c r="D38" s="64"/>
      <c r="E38" s="64"/>
    </row>
    <row r="39" spans="1:5" ht="15.75">
      <c r="A39" s="507" t="str">
        <f>CONCATENATE("From the ",E1-2," Budget Certificate Page")</f>
        <v>From the 2011 Budget Certificate Page</v>
      </c>
      <c r="B39" s="508"/>
      <c r="C39" s="64"/>
      <c r="D39" s="64"/>
      <c r="E39" s="64"/>
    </row>
    <row r="40" spans="1:5" ht="15.75">
      <c r="A40" s="93"/>
      <c r="B40" s="93" t="str">
        <f>CONCATENATE("",E1-2," Expenditure Amounts")</f>
        <v>2011 Expenditure Amounts</v>
      </c>
      <c r="C40" s="509" t="str">
        <f>CONCATENATE("Note: If the ",E1-2," budget was amended, then the")</f>
        <v>Note: If the 2011 budget was amended, then the</v>
      </c>
      <c r="D40" s="510"/>
      <c r="E40" s="510"/>
    </row>
    <row r="41" spans="1:5" ht="15.75">
      <c r="A41" s="94" t="s">
        <v>199</v>
      </c>
      <c r="B41" s="94" t="s">
        <v>200</v>
      </c>
      <c r="C41" s="95" t="s">
        <v>201</v>
      </c>
      <c r="D41" s="96"/>
      <c r="E41" s="96"/>
    </row>
    <row r="42" spans="1:5" ht="15.75">
      <c r="A42" s="97" t="str">
        <f>inputPrYr!B19</f>
        <v>General</v>
      </c>
      <c r="B42" s="58">
        <v>297000</v>
      </c>
      <c r="C42" s="95" t="s">
        <v>202</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511" t="s">
        <v>264</v>
      </c>
      <c r="B2" s="512"/>
      <c r="C2" s="512"/>
      <c r="D2" s="512"/>
      <c r="E2" s="512"/>
      <c r="F2" s="512"/>
    </row>
    <row r="4" spans="1:6" ht="15.75">
      <c r="A4" s="365"/>
      <c r="B4" s="365"/>
      <c r="C4" s="365"/>
      <c r="D4" s="366"/>
      <c r="E4" s="365"/>
      <c r="F4" s="365"/>
    </row>
    <row r="5" spans="1:6" ht="15.75">
      <c r="A5" s="367" t="s">
        <v>265</v>
      </c>
      <c r="B5" s="368"/>
      <c r="C5" s="369"/>
      <c r="D5" s="367" t="s">
        <v>353</v>
      </c>
      <c r="E5" s="365"/>
      <c r="F5" s="365"/>
    </row>
    <row r="6" spans="1:6" ht="15.75">
      <c r="A6" s="367"/>
      <c r="B6" s="370"/>
      <c r="C6" s="371"/>
      <c r="D6" s="367" t="s">
        <v>352</v>
      </c>
      <c r="E6" s="365"/>
      <c r="F6" s="365"/>
    </row>
    <row r="7" spans="1:6" ht="15.75">
      <c r="A7" s="367" t="s">
        <v>266</v>
      </c>
      <c r="B7" s="368"/>
      <c r="C7" s="372"/>
      <c r="D7" s="367"/>
      <c r="E7" s="365"/>
      <c r="F7" s="365"/>
    </row>
    <row r="8" spans="1:6" ht="15.75">
      <c r="A8" s="367"/>
      <c r="B8" s="367"/>
      <c r="C8" s="367"/>
      <c r="D8" s="367"/>
      <c r="E8" s="365"/>
      <c r="F8" s="365"/>
    </row>
    <row r="9" spans="1:6" ht="15.75">
      <c r="A9" s="367" t="s">
        <v>267</v>
      </c>
      <c r="B9" s="373"/>
      <c r="C9" s="373"/>
      <c r="D9" s="373"/>
      <c r="E9" s="374"/>
      <c r="F9" s="365"/>
    </row>
    <row r="10" spans="1:6" ht="15.75">
      <c r="A10" s="367"/>
      <c r="B10" s="367"/>
      <c r="C10" s="367"/>
      <c r="D10" s="367"/>
      <c r="E10" s="365"/>
      <c r="F10" s="365"/>
    </row>
    <row r="11" spans="1:6" ht="15.75">
      <c r="A11" s="367"/>
      <c r="B11" s="367"/>
      <c r="C11" s="367"/>
      <c r="D11" s="367"/>
      <c r="E11" s="365"/>
      <c r="F11" s="365"/>
    </row>
    <row r="12" spans="1:6" ht="15.75">
      <c r="A12" s="367" t="s">
        <v>268</v>
      </c>
      <c r="B12" s="373"/>
      <c r="C12" s="373"/>
      <c r="D12" s="373"/>
      <c r="E12" s="374"/>
      <c r="F12" s="365"/>
    </row>
    <row r="15" spans="1:6" ht="15.75">
      <c r="A15" s="513" t="s">
        <v>269</v>
      </c>
      <c r="B15" s="513"/>
      <c r="C15" s="367"/>
      <c r="D15" s="367"/>
      <c r="E15" s="367"/>
      <c r="F15" s="365"/>
    </row>
    <row r="16" spans="1:6" ht="15.75">
      <c r="A16" s="367"/>
      <c r="B16" s="367"/>
      <c r="C16" s="367"/>
      <c r="D16" s="367"/>
      <c r="E16" s="367"/>
      <c r="F16" s="365"/>
    </row>
    <row r="17" spans="1:5" ht="15.75">
      <c r="A17" s="367" t="s">
        <v>265</v>
      </c>
      <c r="B17" s="370" t="s">
        <v>270</v>
      </c>
      <c r="C17" s="367"/>
      <c r="D17" s="367"/>
      <c r="E17" s="367"/>
    </row>
    <row r="18" spans="1:5" ht="15.75">
      <c r="A18" s="367"/>
      <c r="B18" s="367"/>
      <c r="C18" s="367"/>
      <c r="D18" s="367"/>
      <c r="E18" s="367"/>
    </row>
    <row r="19" spans="1:5" ht="15.75">
      <c r="A19" s="367" t="s">
        <v>266</v>
      </c>
      <c r="B19" s="367" t="s">
        <v>271</v>
      </c>
      <c r="C19" s="367"/>
      <c r="D19" s="367"/>
      <c r="E19" s="367"/>
    </row>
    <row r="20" spans="1:5" ht="15.75">
      <c r="A20" s="367"/>
      <c r="B20" s="367"/>
      <c r="C20" s="367"/>
      <c r="D20" s="367"/>
      <c r="E20" s="367"/>
    </row>
    <row r="21" spans="1:5" ht="15.75">
      <c r="A21" s="367" t="s">
        <v>267</v>
      </c>
      <c r="B21" s="367" t="s">
        <v>273</v>
      </c>
      <c r="C21" s="367"/>
      <c r="D21" s="367"/>
      <c r="E21" s="367"/>
    </row>
    <row r="22" spans="1:5" ht="15.75">
      <c r="A22" s="367"/>
      <c r="B22" s="367"/>
      <c r="C22" s="367"/>
      <c r="D22" s="367"/>
      <c r="E22" s="367"/>
    </row>
    <row r="23" spans="1:5" ht="15.75">
      <c r="A23" s="367" t="s">
        <v>268</v>
      </c>
      <c r="B23" s="367" t="s">
        <v>272</v>
      </c>
      <c r="C23" s="367"/>
      <c r="D23" s="367"/>
      <c r="E23" s="367"/>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Q1" sqref="Q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17" t="s">
        <v>77</v>
      </c>
      <c r="B2" s="517"/>
      <c r="C2" s="517"/>
      <c r="D2" s="517"/>
      <c r="E2" s="517"/>
      <c r="F2" s="517"/>
      <c r="G2" s="517"/>
    </row>
    <row r="3" spans="1:7" ht="15.75">
      <c r="A3" s="18"/>
      <c r="B3" s="18"/>
      <c r="C3" s="18"/>
      <c r="D3" s="18"/>
      <c r="E3" s="18"/>
      <c r="F3" s="18"/>
      <c r="G3" s="62">
        <f>inputPrYr!D6</f>
        <v>2013</v>
      </c>
    </row>
    <row r="4" spans="1:7" ht="15.75">
      <c r="A4" s="518" t="str">
        <f>CONCATENATE("To the Clerk of ",inputPrYr!D4,", State of Kansas")</f>
        <v>To the Clerk of Linn County, State of Kansas</v>
      </c>
      <c r="B4" s="518"/>
      <c r="C4" s="518"/>
      <c r="D4" s="518"/>
      <c r="E4" s="518"/>
      <c r="F4" s="518"/>
      <c r="G4" s="518"/>
    </row>
    <row r="5" spans="1:7" ht="15.75">
      <c r="A5" s="100" t="s">
        <v>153</v>
      </c>
      <c r="B5" s="26"/>
      <c r="C5" s="26"/>
      <c r="D5" s="26"/>
      <c r="E5" s="26"/>
      <c r="F5" s="26"/>
      <c r="G5" s="26"/>
    </row>
    <row r="6" spans="1:7" ht="15.75">
      <c r="A6" s="498" t="str">
        <f>inputPrYr!D3</f>
        <v>Library District #2 </v>
      </c>
      <c r="B6" s="498"/>
      <c r="C6" s="498"/>
      <c r="D6" s="498"/>
      <c r="E6" s="498"/>
      <c r="F6" s="498"/>
      <c r="G6" s="498"/>
    </row>
    <row r="7" spans="1:7" ht="15.75">
      <c r="A7" s="18"/>
      <c r="B7" s="18"/>
      <c r="C7" s="18"/>
      <c r="D7" s="18"/>
      <c r="E7" s="18"/>
      <c r="F7" s="18"/>
      <c r="G7" s="18"/>
    </row>
    <row r="8" spans="1:7" ht="15.75">
      <c r="A8" s="100" t="s">
        <v>11</v>
      </c>
      <c r="B8" s="26"/>
      <c r="C8" s="26"/>
      <c r="D8" s="26"/>
      <c r="E8" s="26"/>
      <c r="F8" s="26"/>
      <c r="G8" s="26"/>
    </row>
    <row r="9" spans="1:7" ht="15.75">
      <c r="A9" s="100" t="s">
        <v>12</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519" t="str">
        <f>CONCATENATE("",G3," Adopted Budget")</f>
        <v>2013 Adopted Budget</v>
      </c>
      <c r="F13" s="520"/>
      <c r="G13" s="521"/>
    </row>
    <row r="14" spans="1:8" ht="15.75">
      <c r="A14" s="17"/>
      <c r="B14" s="18"/>
      <c r="C14" s="18"/>
      <c r="D14" s="42"/>
      <c r="E14" s="104" t="s">
        <v>13</v>
      </c>
      <c r="F14" s="105"/>
      <c r="G14" s="106" t="s">
        <v>14</v>
      </c>
      <c r="H14" s="107"/>
    </row>
    <row r="15" spans="1:7" ht="15.75">
      <c r="A15" s="18"/>
      <c r="B15" s="18"/>
      <c r="C15" s="18"/>
      <c r="D15" s="105" t="s">
        <v>15</v>
      </c>
      <c r="E15" s="108" t="s">
        <v>200</v>
      </c>
      <c r="F15" s="522" t="str">
        <f>CONCATENATE("Amount of ",G3-1," Ad Valorem Tax")</f>
        <v>Amount of 2012 Ad Valorem Tax</v>
      </c>
      <c r="G15" s="106" t="s">
        <v>16</v>
      </c>
    </row>
    <row r="16" spans="1:7" ht="15.75">
      <c r="A16" s="17" t="s">
        <v>17</v>
      </c>
      <c r="B16" s="18"/>
      <c r="C16" s="18"/>
      <c r="D16" s="108" t="s">
        <v>18</v>
      </c>
      <c r="E16" s="108" t="s">
        <v>307</v>
      </c>
      <c r="F16" s="522"/>
      <c r="G16" s="106" t="s">
        <v>20</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196</v>
      </c>
      <c r="B19" s="109"/>
      <c r="C19" s="109"/>
      <c r="D19" s="114">
        <v>3</v>
      </c>
      <c r="E19" s="103"/>
      <c r="F19" s="103"/>
      <c r="G19" s="115"/>
    </row>
    <row r="20" spans="1:7" ht="15.75">
      <c r="A20" s="116" t="s">
        <v>142</v>
      </c>
      <c r="B20" s="109"/>
      <c r="C20" s="109"/>
      <c r="D20" s="117">
        <v>4</v>
      </c>
      <c r="E20" s="103"/>
      <c r="F20" s="103"/>
      <c r="G20" s="115"/>
    </row>
    <row r="21" spans="1:7" ht="15.75">
      <c r="A21" s="113" t="s">
        <v>141</v>
      </c>
      <c r="B21" s="109"/>
      <c r="C21" s="109"/>
      <c r="D21" s="117">
        <v>5</v>
      </c>
      <c r="E21" s="103"/>
      <c r="F21" s="103"/>
      <c r="G21" s="115"/>
    </row>
    <row r="22" spans="1:7" ht="15.75">
      <c r="A22" s="118" t="s">
        <v>21</v>
      </c>
      <c r="B22" s="119"/>
      <c r="C22" s="120" t="s">
        <v>22</v>
      </c>
      <c r="D22" s="114"/>
      <c r="E22" s="121"/>
      <c r="F22" s="42"/>
      <c r="G22" s="46"/>
    </row>
    <row r="23" spans="1:7" ht="15.75">
      <c r="A23" s="122" t="s">
        <v>5</v>
      </c>
      <c r="B23" s="119"/>
      <c r="C23" s="114">
        <f>inputPrYr!C19</f>
        <v>0</v>
      </c>
      <c r="D23" s="123">
        <v>6</v>
      </c>
      <c r="E23" s="124">
        <f>IF(gen!$E$50&lt;&gt;0,gen!$E$50,"  ")</f>
        <v>324112</v>
      </c>
      <c r="F23" s="124">
        <f>IF(gen!$E$57&lt;&gt;0,gen!$E$57,"  ")</f>
        <v>315637.21</v>
      </c>
      <c r="G23" s="125" t="str">
        <f>IF(AND(gen!E57=0,$G$32&gt;=0)," ",IF(AND(F23&gt;0,$G$32=0)," ",IF(AND(F23&gt;0,$G$32&gt;0),ROUND(F23/$G$32*1000,3))))</f>
        <v> </v>
      </c>
    </row>
    <row r="24" spans="1:7" ht="15.75">
      <c r="A24" s="122" t="s">
        <v>235</v>
      </c>
      <c r="B24" s="119"/>
      <c r="C24" s="114" t="s">
        <v>154</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132</v>
      </c>
      <c r="B30" s="69"/>
      <c r="C30" s="119"/>
      <c r="D30" s="135" t="s">
        <v>23</v>
      </c>
      <c r="E30" s="400">
        <f>SUM(E23:E28)</f>
        <v>324112</v>
      </c>
      <c r="F30" s="401">
        <f>SUM(F23:F28)</f>
        <v>315637.21</v>
      </c>
      <c r="G30" s="405">
        <f>IF(SUM(G23:G28)=0,"",SUM(G23:G28))</f>
      </c>
    </row>
    <row r="31" spans="1:7" ht="15.75">
      <c r="A31" s="122" t="s">
        <v>189</v>
      </c>
      <c r="B31" s="69"/>
      <c r="C31" s="119"/>
      <c r="D31" s="138">
        <f>summ!E41</f>
        <v>0</v>
      </c>
      <c r="E31" s="142" t="s">
        <v>188</v>
      </c>
      <c r="F31" s="404" t="str">
        <f>IF(F30&gt;computation!J34,"Yes","No")</f>
        <v>Yes</v>
      </c>
      <c r="G31" s="406" t="s">
        <v>134</v>
      </c>
    </row>
    <row r="32" spans="1:7" ht="15.75">
      <c r="A32" s="122" t="s">
        <v>205</v>
      </c>
      <c r="B32" s="140"/>
      <c r="C32" s="141"/>
      <c r="D32" s="138">
        <f>IF(Nhood!C35=0,"",Nhood!C35)</f>
      </c>
      <c r="E32" s="402"/>
      <c r="F32" s="71"/>
      <c r="G32" s="147"/>
    </row>
    <row r="33" spans="1:7" ht="15.75">
      <c r="A33" s="143" t="s">
        <v>187</v>
      </c>
      <c r="B33" s="69"/>
      <c r="C33" s="119"/>
      <c r="D33" s="138">
        <v>1</v>
      </c>
      <c r="E33" s="62"/>
      <c r="F33" s="71"/>
      <c r="G33" s="523" t="str">
        <f>CONCATENATE("Nov. 1, ",G3," Total Assessed Valuation")</f>
        <v>Nov. 1, 2013 Total Assessed Valuation</v>
      </c>
    </row>
    <row r="34" spans="1:7" ht="15.75">
      <c r="A34" s="21"/>
      <c r="B34" s="71"/>
      <c r="C34" s="18"/>
      <c r="D34" s="144"/>
      <c r="E34" s="62"/>
      <c r="F34" s="71"/>
      <c r="G34" s="524"/>
    </row>
    <row r="35" spans="1:7" ht="15.75">
      <c r="A35" s="145" t="s">
        <v>310</v>
      </c>
      <c r="B35" s="71"/>
      <c r="C35" s="71"/>
      <c r="D35" s="71"/>
      <c r="E35" s="139"/>
      <c r="F35" s="71"/>
      <c r="G35" s="18"/>
    </row>
    <row r="36" spans="1:7" ht="15.75">
      <c r="A36" s="415"/>
      <c r="B36" s="415"/>
      <c r="C36" s="71"/>
      <c r="D36" s="71"/>
      <c r="E36" s="146"/>
      <c r="F36" s="71"/>
      <c r="G36" s="18"/>
    </row>
    <row r="37" spans="1:7" ht="15.75">
      <c r="A37" s="416"/>
      <c r="B37" s="417"/>
      <c r="C37" s="71"/>
      <c r="D37" s="71"/>
      <c r="E37" s="420"/>
      <c r="F37" s="71"/>
      <c r="G37" s="18"/>
    </row>
    <row r="38" spans="1:7" ht="15.75">
      <c r="A38" s="148" t="s">
        <v>311</v>
      </c>
      <c r="B38" s="71"/>
      <c r="C38" s="71"/>
      <c r="D38" s="130"/>
      <c r="E38" s="421"/>
      <c r="F38" s="130"/>
      <c r="G38" s="130"/>
    </row>
    <row r="39" spans="1:7" ht="15.75">
      <c r="A39" s="415"/>
      <c r="B39" s="415"/>
      <c r="C39" s="71"/>
      <c r="D39" s="42"/>
      <c r="E39" s="408"/>
      <c r="F39" s="408"/>
      <c r="G39" s="42"/>
    </row>
    <row r="40" spans="1:7" ht="15.75">
      <c r="A40" s="417"/>
      <c r="B40" s="418"/>
      <c r="C40" s="54"/>
      <c r="D40" s="18"/>
      <c r="E40" s="149"/>
      <c r="F40" s="149"/>
      <c r="G40" s="18"/>
    </row>
    <row r="41" spans="1:7" ht="15.75">
      <c r="A41" s="417"/>
      <c r="B41" s="417"/>
      <c r="C41" s="18"/>
      <c r="D41" s="42"/>
      <c r="E41" s="281"/>
      <c r="F41" s="42"/>
      <c r="G41" s="42"/>
    </row>
    <row r="42" spans="1:7" ht="15.75">
      <c r="A42" s="419"/>
      <c r="B42" s="417"/>
      <c r="C42" s="17"/>
      <c r="D42" s="403"/>
      <c r="E42" s="150"/>
      <c r="F42" s="18"/>
      <c r="G42" s="18"/>
    </row>
    <row r="43" spans="1:7" ht="15.75">
      <c r="A43" s="21"/>
      <c r="B43" s="71"/>
      <c r="C43" s="71"/>
      <c r="D43" s="407"/>
      <c r="E43" s="407"/>
      <c r="F43" s="151"/>
      <c r="G43" s="151"/>
    </row>
    <row r="44" spans="1:7" ht="15.75">
      <c r="A44" s="21"/>
      <c r="B44" s="103"/>
      <c r="C44" s="71"/>
      <c r="D44" s="150"/>
      <c r="E44" s="150"/>
      <c r="F44" s="54"/>
      <c r="G44" s="54"/>
    </row>
    <row r="45" spans="1:7" ht="15.75">
      <c r="A45" s="21"/>
      <c r="B45" s="71"/>
      <c r="C45" s="71"/>
      <c r="D45" s="407"/>
      <c r="E45" s="407"/>
      <c r="F45" s="151"/>
      <c r="G45" s="151"/>
    </row>
    <row r="46" spans="1:7" ht="15.75">
      <c r="A46" s="71"/>
      <c r="B46" s="71"/>
      <c r="C46" s="71"/>
      <c r="D46" s="54"/>
      <c r="E46" s="54"/>
      <c r="F46" s="54"/>
      <c r="G46" s="54"/>
    </row>
    <row r="47" spans="1:7" ht="15.75">
      <c r="A47" s="17" t="s">
        <v>185</v>
      </c>
      <c r="B47" s="18"/>
      <c r="C47" s="17">
        <f>G3-1</f>
        <v>2012</v>
      </c>
      <c r="D47" s="42"/>
      <c r="E47" s="42"/>
      <c r="F47" s="151"/>
      <c r="G47" s="151"/>
    </row>
    <row r="48" spans="1:7" ht="15.75">
      <c r="A48" s="150"/>
      <c r="B48" s="71"/>
      <c r="C48" s="17"/>
      <c r="D48" s="18"/>
      <c r="E48" s="18"/>
      <c r="F48" s="26"/>
      <c r="G48" s="26"/>
    </row>
    <row r="49" spans="1:7" ht="15.75">
      <c r="A49" s="525"/>
      <c r="B49" s="526"/>
      <c r="C49" s="18"/>
      <c r="D49" s="42"/>
      <c r="E49" s="42"/>
      <c r="F49" s="42"/>
      <c r="G49" s="42"/>
    </row>
    <row r="50" spans="1:7" ht="15.75">
      <c r="A50" s="26" t="s">
        <v>25</v>
      </c>
      <c r="B50" s="26"/>
      <c r="C50" s="18"/>
      <c r="D50" s="527" t="s">
        <v>24</v>
      </c>
      <c r="E50" s="528"/>
      <c r="F50" s="528"/>
      <c r="G50" s="528"/>
    </row>
    <row r="51" spans="1:7" ht="15.75">
      <c r="A51" s="514"/>
      <c r="B51" s="514"/>
      <c r="C51" s="514"/>
      <c r="D51" s="514"/>
      <c r="E51" s="514"/>
      <c r="F51" s="514"/>
      <c r="G51" s="514"/>
    </row>
    <row r="52" spans="1:7" ht="15.75">
      <c r="A52" s="515"/>
      <c r="B52" s="515"/>
      <c r="C52" s="515"/>
      <c r="D52" s="515"/>
      <c r="E52" s="515"/>
      <c r="F52" s="515"/>
      <c r="G52" s="515"/>
    </row>
    <row r="53" spans="1:7" ht="15.75">
      <c r="A53" s="16"/>
      <c r="B53" s="16"/>
      <c r="C53" s="16"/>
      <c r="D53" s="16"/>
      <c r="E53" s="16"/>
      <c r="F53" s="16"/>
      <c r="G53" s="516"/>
    </row>
    <row r="54" spans="1:7" ht="15.75">
      <c r="A54" s="16"/>
      <c r="B54" s="16"/>
      <c r="C54" s="16"/>
      <c r="D54" s="16"/>
      <c r="E54" s="16"/>
      <c r="F54" s="16"/>
      <c r="G54" s="516"/>
    </row>
    <row r="55" spans="1:7" ht="15.75">
      <c r="A55" s="16"/>
      <c r="B55" s="16"/>
      <c r="C55" s="16"/>
      <c r="D55" s="16"/>
      <c r="E55" s="16"/>
      <c r="F55" s="16"/>
      <c r="G55" s="516"/>
    </row>
    <row r="56" spans="1:7" ht="15.75">
      <c r="A56" s="16"/>
      <c r="B56" s="16"/>
      <c r="C56" s="16"/>
      <c r="D56" s="16"/>
      <c r="E56" s="16"/>
      <c r="F56" s="16"/>
      <c r="G56" s="516"/>
    </row>
    <row r="57" spans="1:7" ht="15.75">
      <c r="A57" s="16"/>
      <c r="B57" s="16"/>
      <c r="C57" s="16"/>
      <c r="D57" s="152"/>
      <c r="E57" s="16"/>
      <c r="F57" s="16"/>
      <c r="G57" s="516"/>
    </row>
    <row r="58" ht="15.75">
      <c r="G58" s="516"/>
    </row>
    <row r="59" ht="15.75">
      <c r="G59" s="516"/>
    </row>
    <row r="60" ht="15.75">
      <c r="G60" s="516"/>
    </row>
    <row r="61" ht="15.75">
      <c r="G61" s="516"/>
    </row>
    <row r="62" ht="15.75">
      <c r="G62" s="516"/>
    </row>
    <row r="63" ht="15.75">
      <c r="G63" s="516"/>
    </row>
    <row r="64" ht="15.75">
      <c r="G64" s="516"/>
    </row>
    <row r="65" ht="15.75">
      <c r="G65" s="516"/>
    </row>
  </sheetData>
  <sheetProtection/>
  <mergeCells count="16">
    <mergeCell ref="G51:G52"/>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s>
  <printOptions/>
  <pageMargins left="1.25" right="0.5" top="0" bottom="0.5" header="0" footer="0.5"/>
  <pageSetup blackAndWhite="1" fitToHeight="1" fitToWidth="1" horizontalDpi="120" verticalDpi="120" orientation="portrait" scale="74" r:id="rId3"/>
  <headerFooter alignWithMargins="0">
    <oddHeader>&amp;RState of Kansas
Special District
</oddHeader>
    <oddFooter>&amp;CPage No. 1</oddFooter>
  </headerFooter>
  <legacyDrawing r:id="rId2"/>
  <oleObjects>
    <oleObject progId="AcroExch.Document.7" shapeId="5895351" r:id="rId1"/>
  </oleObjects>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7">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Library District #2 </v>
      </c>
      <c r="D1" s="18"/>
      <c r="E1" s="18"/>
      <c r="F1" s="18"/>
      <c r="G1" s="18"/>
      <c r="H1" s="18"/>
      <c r="I1" s="18"/>
      <c r="J1" s="18">
        <f>inputPrYr!D6</f>
        <v>2013</v>
      </c>
    </row>
    <row r="2" spans="1:10" ht="15.75" customHeight="1">
      <c r="A2" s="18"/>
      <c r="B2" s="18"/>
      <c r="C2" s="18" t="str">
        <f>inputPrYr!D4</f>
        <v>Linn County</v>
      </c>
      <c r="D2" s="18"/>
      <c r="E2" s="18"/>
      <c r="F2" s="18"/>
      <c r="G2" s="18"/>
      <c r="H2" s="18"/>
      <c r="I2" s="18"/>
      <c r="J2" s="18"/>
    </row>
    <row r="3" spans="1:10" ht="15.75">
      <c r="A3" s="500" t="str">
        <f>CONCATENATE("Computation to Determine Limit for ",J1,"")</f>
        <v>Computation to Determine Limit for 2013</v>
      </c>
      <c r="B3" s="517"/>
      <c r="C3" s="517"/>
      <c r="D3" s="517"/>
      <c r="E3" s="517"/>
      <c r="F3" s="517"/>
      <c r="G3" s="517"/>
      <c r="H3" s="517"/>
      <c r="I3" s="517"/>
      <c r="J3" s="517"/>
    </row>
    <row r="4" spans="1:10" ht="15.75">
      <c r="A4" s="18"/>
      <c r="B4" s="18"/>
      <c r="C4" s="18"/>
      <c r="D4" s="18"/>
      <c r="E4" s="517"/>
      <c r="F4" s="517"/>
      <c r="G4" s="517"/>
      <c r="H4" s="99"/>
      <c r="I4" s="18"/>
      <c r="J4" s="154" t="s">
        <v>88</v>
      </c>
    </row>
    <row r="5" spans="1:10" ht="15.75">
      <c r="A5" s="155" t="s">
        <v>89</v>
      </c>
      <c r="B5" s="18" t="str">
        <f>CONCATENATE("Total Tax Levy Amount in ",J1-1," Budget")</f>
        <v>Total Tax Levy Amount in 2012 Budget</v>
      </c>
      <c r="C5" s="18"/>
      <c r="D5" s="18"/>
      <c r="E5" s="39"/>
      <c r="F5" s="39"/>
      <c r="G5" s="39"/>
      <c r="H5" s="156" t="s">
        <v>90</v>
      </c>
      <c r="I5" s="39" t="s">
        <v>91</v>
      </c>
      <c r="J5" s="379">
        <f>inputPrYr!E24</f>
        <v>298172</v>
      </c>
    </row>
    <row r="6" spans="1:10" ht="15.75">
      <c r="A6" s="155" t="s">
        <v>92</v>
      </c>
      <c r="B6" s="18" t="str">
        <f>CONCATENATE("Debt Service Levy in ",J1-1," Budget")</f>
        <v>Debt Service Levy in 2012 Budget</v>
      </c>
      <c r="C6" s="18"/>
      <c r="D6" s="18"/>
      <c r="E6" s="39"/>
      <c r="F6" s="39"/>
      <c r="G6" s="39"/>
      <c r="H6" s="156" t="s">
        <v>93</v>
      </c>
      <c r="I6" s="39" t="s">
        <v>91</v>
      </c>
      <c r="J6" s="157">
        <f>inputPrYr!E20</f>
        <v>0</v>
      </c>
    </row>
    <row r="7" spans="1:10" ht="15.75">
      <c r="A7" s="155" t="s">
        <v>117</v>
      </c>
      <c r="B7" s="27" t="s">
        <v>111</v>
      </c>
      <c r="C7" s="18"/>
      <c r="D7" s="18"/>
      <c r="E7" s="39"/>
      <c r="F7" s="39"/>
      <c r="G7" s="39"/>
      <c r="H7" s="39"/>
      <c r="I7" s="39" t="s">
        <v>91</v>
      </c>
      <c r="J7" s="43">
        <f>J5-J6</f>
        <v>298172</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94</v>
      </c>
      <c r="B11" s="27" t="str">
        <f>CONCATENATE("New Improvements for ",J1-1,":")</f>
        <v>New Improvements for 2012:</v>
      </c>
      <c r="C11" s="18"/>
      <c r="D11" s="18"/>
      <c r="E11" s="156"/>
      <c r="F11" s="156" t="s">
        <v>90</v>
      </c>
      <c r="G11" s="158">
        <f>inputOth!E8</f>
        <v>421841</v>
      </c>
      <c r="H11" s="159"/>
      <c r="I11" s="39"/>
      <c r="J11" s="39"/>
    </row>
    <row r="12" spans="1:10" ht="15.75">
      <c r="A12" s="155"/>
      <c r="B12" s="155"/>
      <c r="C12" s="18"/>
      <c r="D12" s="18"/>
      <c r="E12" s="156"/>
      <c r="F12" s="156"/>
      <c r="G12" s="159"/>
      <c r="H12" s="159"/>
      <c r="I12" s="39"/>
      <c r="J12" s="39"/>
    </row>
    <row r="13" spans="1:10" ht="15.75">
      <c r="A13" s="155" t="s">
        <v>95</v>
      </c>
      <c r="B13" s="27" t="str">
        <f>CONCATENATE("Increase in Personal Property for ",J1-1,":")</f>
        <v>Increase in Personal Property for 2012:</v>
      </c>
      <c r="C13" s="18"/>
      <c r="D13" s="18"/>
      <c r="E13" s="156"/>
      <c r="F13" s="156"/>
      <c r="G13" s="159"/>
      <c r="H13" s="159"/>
      <c r="I13" s="39"/>
      <c r="J13" s="39"/>
    </row>
    <row r="14" spans="1:10" ht="15.75">
      <c r="A14" s="18"/>
      <c r="B14" s="18" t="s">
        <v>96</v>
      </c>
      <c r="C14" s="18" t="str">
        <f>CONCATENATE("Personal Property ",J1-1,"")</f>
        <v>Personal Property 2012</v>
      </c>
      <c r="D14" s="155" t="s">
        <v>90</v>
      </c>
      <c r="E14" s="158">
        <f>inputOth!E9</f>
        <v>1236254</v>
      </c>
      <c r="F14" s="156"/>
      <c r="G14" s="39"/>
      <c r="H14" s="39"/>
      <c r="I14" s="159"/>
      <c r="J14" s="39"/>
    </row>
    <row r="15" spans="1:10" ht="15.75">
      <c r="A15" s="155"/>
      <c r="B15" s="18" t="s">
        <v>97</v>
      </c>
      <c r="C15" s="18" t="str">
        <f>CONCATENATE("Personal Property ",J1-2,"")</f>
        <v>Personal Property 2011</v>
      </c>
      <c r="D15" s="155" t="s">
        <v>93</v>
      </c>
      <c r="E15" s="43">
        <f>inputOth!E11</f>
        <v>1142906</v>
      </c>
      <c r="F15" s="156"/>
      <c r="G15" s="159"/>
      <c r="H15" s="159"/>
      <c r="I15" s="39"/>
      <c r="J15" s="39"/>
    </row>
    <row r="16" spans="1:10" ht="15.75">
      <c r="A16" s="155"/>
      <c r="B16" s="18" t="s">
        <v>98</v>
      </c>
      <c r="C16" s="18" t="s">
        <v>112</v>
      </c>
      <c r="D16" s="18"/>
      <c r="E16" s="39"/>
      <c r="F16" s="39" t="s">
        <v>90</v>
      </c>
      <c r="G16" s="158">
        <f>IF(E14&gt;E15,E14-E15,0)</f>
        <v>93348</v>
      </c>
      <c r="H16" s="159"/>
      <c r="I16" s="39"/>
      <c r="J16" s="39"/>
    </row>
    <row r="17" spans="1:10" ht="15.75">
      <c r="A17" s="155"/>
      <c r="B17" s="155"/>
      <c r="C17" s="18"/>
      <c r="D17" s="18"/>
      <c r="E17" s="39"/>
      <c r="F17" s="39"/>
      <c r="G17" s="159" t="s">
        <v>106</v>
      </c>
      <c r="H17" s="159"/>
      <c r="I17" s="39"/>
      <c r="J17" s="39"/>
    </row>
    <row r="18" spans="1:10" ht="15.75">
      <c r="A18" s="155" t="s">
        <v>99</v>
      </c>
      <c r="B18" s="27" t="str">
        <f>CONCATENATE("Valuation of Property that has Changed in Use during ",J1-1,":")</f>
        <v>Valuation of Property that has Changed in Use during 2012:</v>
      </c>
      <c r="C18" s="18"/>
      <c r="D18" s="155"/>
      <c r="E18" s="39"/>
      <c r="F18" s="39"/>
      <c r="G18" s="39">
        <f>inputOth!E10</f>
        <v>7478</v>
      </c>
      <c r="H18" s="39"/>
      <c r="I18" s="39"/>
      <c r="J18" s="39"/>
    </row>
    <row r="19" spans="1:10" ht="15.75">
      <c r="A19" s="18" t="s">
        <v>13</v>
      </c>
      <c r="B19" s="18"/>
      <c r="C19" s="18"/>
      <c r="D19" s="18"/>
      <c r="E19" s="159"/>
      <c r="F19" s="39"/>
      <c r="G19" s="160"/>
      <c r="H19" s="159"/>
      <c r="I19" s="39"/>
      <c r="J19" s="39"/>
    </row>
    <row r="20" spans="1:10" ht="15.75">
      <c r="A20" s="155" t="s">
        <v>100</v>
      </c>
      <c r="B20" s="27" t="s">
        <v>113</v>
      </c>
      <c r="C20" s="18"/>
      <c r="D20" s="155"/>
      <c r="E20" s="39"/>
      <c r="F20" s="39"/>
      <c r="G20" s="158">
        <f>G11+G16+G18</f>
        <v>522667</v>
      </c>
      <c r="H20" s="159"/>
      <c r="I20" s="39"/>
      <c r="J20" s="39"/>
    </row>
    <row r="21" spans="1:10" ht="15.75">
      <c r="A21" s="155"/>
      <c r="B21" s="155"/>
      <c r="C21" s="27"/>
      <c r="D21" s="18"/>
      <c r="E21" s="39"/>
      <c r="F21" s="39"/>
      <c r="G21" s="159"/>
      <c r="H21" s="159"/>
      <c r="I21" s="39"/>
      <c r="J21" s="39"/>
    </row>
    <row r="22" spans="1:10" ht="15.75">
      <c r="A22" s="155" t="s">
        <v>101</v>
      </c>
      <c r="B22" s="18" t="str">
        <f>CONCATENATE("Total Estimated Valuation July, 1,",J1-1,"")</f>
        <v>Total Estimated Valuation July, 1,2012</v>
      </c>
      <c r="C22" s="18"/>
      <c r="D22" s="18"/>
      <c r="E22" s="158">
        <f>inputOth!E7</f>
        <v>109323054</v>
      </c>
      <c r="F22" s="39"/>
      <c r="G22" s="39"/>
      <c r="H22" s="39"/>
      <c r="I22" s="156"/>
      <c r="J22" s="39"/>
    </row>
    <row r="23" spans="1:10" ht="15.75">
      <c r="A23" s="155"/>
      <c r="B23" s="155"/>
      <c r="C23" s="18"/>
      <c r="D23" s="18"/>
      <c r="E23" s="159"/>
      <c r="F23" s="39"/>
      <c r="G23" s="39"/>
      <c r="H23" s="39"/>
      <c r="I23" s="156"/>
      <c r="J23" s="39"/>
    </row>
    <row r="24" spans="1:10" ht="15.75">
      <c r="A24" s="155" t="s">
        <v>102</v>
      </c>
      <c r="B24" s="27" t="s">
        <v>114</v>
      </c>
      <c r="C24" s="18"/>
      <c r="D24" s="18"/>
      <c r="E24" s="39"/>
      <c r="F24" s="39"/>
      <c r="G24" s="158">
        <f>E22-G20</f>
        <v>108800387</v>
      </c>
      <c r="H24" s="159"/>
      <c r="I24" s="156"/>
      <c r="J24" s="39"/>
    </row>
    <row r="25" spans="1:10" ht="15.75">
      <c r="A25" s="155"/>
      <c r="B25" s="155"/>
      <c r="C25" s="27"/>
      <c r="D25" s="18"/>
      <c r="E25" s="39"/>
      <c r="F25" s="39"/>
      <c r="G25" s="160"/>
      <c r="H25" s="159"/>
      <c r="I25" s="156"/>
      <c r="J25" s="39"/>
    </row>
    <row r="26" spans="1:10" ht="15.75">
      <c r="A26" s="155" t="s">
        <v>103</v>
      </c>
      <c r="B26" s="18" t="s">
        <v>115</v>
      </c>
      <c r="C26" s="18"/>
      <c r="D26" s="18"/>
      <c r="E26" s="18"/>
      <c r="F26" s="18"/>
      <c r="G26" s="161">
        <f>IF(G20&gt;0,G20/G24,0)</f>
        <v>0.00480390754492445</v>
      </c>
      <c r="H26" s="71"/>
      <c r="I26" s="18"/>
      <c r="J26" s="18"/>
    </row>
    <row r="27" spans="1:10" ht="15.75">
      <c r="A27" s="155"/>
      <c r="B27" s="155"/>
      <c r="C27" s="18"/>
      <c r="D27" s="18"/>
      <c r="E27" s="18"/>
      <c r="F27" s="18"/>
      <c r="G27" s="71"/>
      <c r="H27" s="71"/>
      <c r="I27" s="18"/>
      <c r="J27" s="18"/>
    </row>
    <row r="28" spans="1:10" ht="15.75">
      <c r="A28" s="155" t="s">
        <v>104</v>
      </c>
      <c r="B28" s="18" t="s">
        <v>116</v>
      </c>
      <c r="C28" s="18"/>
      <c r="D28" s="18"/>
      <c r="E28" s="18"/>
      <c r="F28" s="18"/>
      <c r="G28" s="71"/>
      <c r="H28" s="162" t="s">
        <v>90</v>
      </c>
      <c r="I28" s="18" t="s">
        <v>91</v>
      </c>
      <c r="J28" s="158">
        <f>ROUND(G26*J7,0)</f>
        <v>1432</v>
      </c>
    </row>
    <row r="29" spans="1:10" ht="15.75">
      <c r="A29" s="155"/>
      <c r="B29" s="155"/>
      <c r="C29" s="18"/>
      <c r="D29" s="18"/>
      <c r="E29" s="18"/>
      <c r="F29" s="18"/>
      <c r="G29" s="71"/>
      <c r="H29" s="162"/>
      <c r="I29" s="18"/>
      <c r="J29" s="159"/>
    </row>
    <row r="30" spans="1:10" ht="16.5" thickBot="1">
      <c r="A30" s="155" t="s">
        <v>105</v>
      </c>
      <c r="B30" s="27" t="s">
        <v>121</v>
      </c>
      <c r="C30" s="18"/>
      <c r="D30" s="18"/>
      <c r="E30" s="18"/>
      <c r="F30" s="18"/>
      <c r="G30" s="18"/>
      <c r="H30" s="18"/>
      <c r="I30" s="18" t="s">
        <v>91</v>
      </c>
      <c r="J30" s="163">
        <f>J7+J28</f>
        <v>299604</v>
      </c>
    </row>
    <row r="31" spans="1:10" ht="16.5" thickTop="1">
      <c r="A31" s="155"/>
      <c r="B31" s="27"/>
      <c r="C31" s="18"/>
      <c r="D31" s="18"/>
      <c r="E31" s="18"/>
      <c r="F31" s="18"/>
      <c r="G31" s="18"/>
      <c r="H31" s="18"/>
      <c r="I31" s="18"/>
      <c r="J31" s="18"/>
    </row>
    <row r="32" spans="1:10" ht="15.75">
      <c r="A32" s="155" t="s">
        <v>119</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120</v>
      </c>
      <c r="B34" s="27" t="s">
        <v>122</v>
      </c>
      <c r="C34" s="18"/>
      <c r="D34" s="18"/>
      <c r="E34" s="18"/>
      <c r="F34" s="18"/>
      <c r="G34" s="18"/>
      <c r="H34" s="18"/>
      <c r="I34" s="18"/>
      <c r="J34" s="163">
        <f>J30+J32</f>
        <v>299604</v>
      </c>
    </row>
    <row r="35" spans="1:10" ht="16.5" thickTop="1">
      <c r="A35" s="18"/>
      <c r="B35" s="18"/>
      <c r="C35" s="18"/>
      <c r="D35" s="18"/>
      <c r="E35" s="18"/>
      <c r="F35" s="18"/>
      <c r="G35" s="18"/>
      <c r="H35" s="18"/>
      <c r="I35" s="18"/>
      <c r="J35" s="18"/>
    </row>
    <row r="36" spans="1:10" ht="15.75">
      <c r="A36" s="529" t="str">
        <f>CONCATENATE("If the ",J1," budget includes tax levies exceeding the total on line 14, you must")</f>
        <v>If the 2013 budget includes tax levies exceeding the total on line 14, you must</v>
      </c>
      <c r="B36" s="529"/>
      <c r="C36" s="529"/>
      <c r="D36" s="529"/>
      <c r="E36" s="529"/>
      <c r="F36" s="529"/>
      <c r="G36" s="529"/>
      <c r="H36" s="529"/>
      <c r="I36" s="529"/>
      <c r="J36" s="529"/>
    </row>
    <row r="37" spans="1:10" ht="15.75">
      <c r="A37" s="529" t="s">
        <v>118</v>
      </c>
      <c r="B37" s="529"/>
      <c r="C37" s="529"/>
      <c r="D37" s="529"/>
      <c r="E37" s="529"/>
      <c r="F37" s="529"/>
      <c r="G37" s="529"/>
      <c r="H37" s="529"/>
      <c r="I37" s="529"/>
      <c r="J37" s="5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7">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Library District #2 </v>
      </c>
      <c r="C1" s="18"/>
      <c r="D1" s="18"/>
      <c r="E1" s="18"/>
      <c r="F1" s="18"/>
      <c r="G1" s="18"/>
      <c r="H1" s="18"/>
      <c r="I1" s="165"/>
      <c r="J1" s="18"/>
    </row>
    <row r="2" spans="1:10" ht="15.75">
      <c r="A2" s="18"/>
      <c r="B2" s="18" t="str">
        <f>inputPrYr!D4</f>
        <v>Linn County</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30" t="s">
        <v>213</v>
      </c>
      <c r="C6" s="530"/>
      <c r="D6" s="530"/>
      <c r="E6" s="530"/>
      <c r="F6" s="5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33" t="str">
        <f>CONCATENATE("",J2-1,"                    Budgeted Funds")</f>
        <v>2012                    Budgeted Funds</v>
      </c>
      <c r="C9" s="531" t="str">
        <f>CONCATENATE("Tax Levy Amount in ",J2-2," Budget")</f>
        <v>Tax Levy Amount in 2011 Budget</v>
      </c>
      <c r="D9" s="519" t="str">
        <f>CONCATENATE("Allocation for Year ",J2,"")</f>
        <v>Allocation for Year 2013</v>
      </c>
      <c r="E9" s="534"/>
      <c r="F9" s="534"/>
      <c r="G9" s="521"/>
      <c r="H9" s="18"/>
      <c r="I9" s="18"/>
      <c r="J9" s="18"/>
    </row>
    <row r="10" spans="1:10" ht="15.75">
      <c r="A10" s="18"/>
      <c r="B10" s="532"/>
      <c r="C10" s="532"/>
      <c r="D10" s="117" t="s">
        <v>40</v>
      </c>
      <c r="E10" s="117" t="s">
        <v>41</v>
      </c>
      <c r="F10" s="117" t="s">
        <v>85</v>
      </c>
      <c r="G10" s="114" t="s">
        <v>158</v>
      </c>
      <c r="H10" s="18"/>
      <c r="I10" s="18"/>
      <c r="J10" s="18"/>
    </row>
    <row r="11" spans="1:10" ht="15.75">
      <c r="A11" s="18"/>
      <c r="B11" s="38" t="str">
        <f>inputPrYr!B19</f>
        <v>General</v>
      </c>
      <c r="C11" s="128">
        <f>inputPrYr!E19</f>
        <v>298172</v>
      </c>
      <c r="D11" s="128">
        <f>IF(E17=0,0,E17-D12-D13-D14)</f>
        <v>6988</v>
      </c>
      <c r="E11" s="128">
        <f>IF(E19=0,0,E19-E12-E13-E14)</f>
        <v>314</v>
      </c>
      <c r="F11" s="128">
        <f>IF(E21=0,0,E21-F12-F13-F14)</f>
        <v>242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8</v>
      </c>
      <c r="C15" s="137">
        <f>SUM(C11:C14)</f>
        <v>298172</v>
      </c>
      <c r="D15" s="137">
        <f>SUM(D11:D14)</f>
        <v>6988</v>
      </c>
      <c r="E15" s="137">
        <f>SUM(E11:E14)</f>
        <v>314</v>
      </c>
      <c r="F15" s="137">
        <f>SUM(F11:F14)</f>
        <v>242</v>
      </c>
      <c r="G15" s="136">
        <f>SUM(G11:G14)</f>
        <v>0</v>
      </c>
      <c r="H15" s="18"/>
      <c r="I15" s="18"/>
      <c r="J15" s="18"/>
    </row>
    <row r="16" spans="1:10" ht="16.5" thickTop="1">
      <c r="A16" s="18"/>
      <c r="B16" s="18"/>
      <c r="C16" s="18"/>
      <c r="D16" s="18"/>
      <c r="E16" s="18"/>
      <c r="F16" s="18"/>
      <c r="G16" s="18"/>
      <c r="H16" s="18"/>
      <c r="I16" s="18"/>
      <c r="J16" s="18"/>
    </row>
    <row r="17" spans="1:10" ht="15.75">
      <c r="A17" s="18"/>
      <c r="B17" s="17" t="s">
        <v>42</v>
      </c>
      <c r="C17" s="18"/>
      <c r="D17" s="18"/>
      <c r="E17" s="169">
        <f>inputOth!E27</f>
        <v>6988</v>
      </c>
      <c r="F17" s="18"/>
      <c r="G17" s="18"/>
      <c r="H17" s="18"/>
      <c r="I17" s="18"/>
      <c r="J17" s="18"/>
    </row>
    <row r="18" spans="1:10" ht="15.75">
      <c r="A18" s="18"/>
      <c r="B18" s="18"/>
      <c r="C18" s="18"/>
      <c r="D18" s="166"/>
      <c r="E18" s="166"/>
      <c r="F18" s="18"/>
      <c r="G18" s="18"/>
      <c r="H18" s="18"/>
      <c r="I18" s="18"/>
      <c r="J18" s="18"/>
    </row>
    <row r="19" spans="1:10" ht="15.75">
      <c r="A19" s="18"/>
      <c r="B19" s="17" t="s">
        <v>43</v>
      </c>
      <c r="C19" s="18"/>
      <c r="D19" s="166"/>
      <c r="E19" s="169">
        <f>inputOth!E28</f>
        <v>314</v>
      </c>
      <c r="F19" s="18"/>
      <c r="G19" s="18"/>
      <c r="H19" s="18"/>
      <c r="I19" s="18"/>
      <c r="J19" s="18"/>
    </row>
    <row r="20" spans="1:10" ht="15.75">
      <c r="A20" s="18"/>
      <c r="B20" s="18"/>
      <c r="C20" s="18"/>
      <c r="D20" s="18"/>
      <c r="E20" s="18"/>
      <c r="F20" s="18"/>
      <c r="G20" s="18"/>
      <c r="H20" s="18"/>
      <c r="I20" s="18"/>
      <c r="J20" s="18"/>
    </row>
    <row r="21" spans="1:10" ht="15.75">
      <c r="A21" s="18"/>
      <c r="B21" s="17" t="s">
        <v>86</v>
      </c>
      <c r="C21" s="18"/>
      <c r="D21" s="18"/>
      <c r="E21" s="169">
        <f>inputOth!E29</f>
        <v>242</v>
      </c>
      <c r="F21" s="18"/>
      <c r="G21" s="18"/>
      <c r="H21" s="18"/>
      <c r="I21" s="18"/>
      <c r="J21" s="18"/>
    </row>
    <row r="22" spans="1:10" ht="15.75">
      <c r="A22" s="18"/>
      <c r="B22" s="18"/>
      <c r="C22" s="18"/>
      <c r="D22" s="18"/>
      <c r="E22" s="18"/>
      <c r="F22" s="18"/>
      <c r="G22" s="18"/>
      <c r="H22" s="18"/>
      <c r="I22" s="18"/>
      <c r="J22" s="18"/>
    </row>
    <row r="23" spans="1:10" ht="15.75">
      <c r="A23" s="18"/>
      <c r="B23" s="18" t="s">
        <v>197</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44</v>
      </c>
      <c r="C25" s="170">
        <f>IF(C15=0,0,E17/C15)</f>
        <v>0.02343613753135774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45</v>
      </c>
      <c r="D27" s="172">
        <f>IF(C15=0,0,E19/C15)</f>
        <v>0.0010530834551869392</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87</v>
      </c>
      <c r="E29" s="172">
        <f>IF(C15=0,0,E21/C15)</f>
        <v>0.0008116120896663671</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198</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Library District #2 </v>
      </c>
      <c r="B2" s="175"/>
      <c r="C2" s="18"/>
      <c r="D2" s="18"/>
      <c r="E2" s="165"/>
      <c r="F2" s="18"/>
    </row>
    <row r="3" spans="1:6" ht="15.75">
      <c r="A3" s="175" t="str">
        <f>inputPrYr!D4</f>
        <v>Linn County</v>
      </c>
      <c r="B3" s="175"/>
      <c r="C3" s="18"/>
      <c r="D3" s="18"/>
      <c r="E3" s="165"/>
      <c r="F3" s="18"/>
    </row>
    <row r="4" spans="1:6" ht="15.75">
      <c r="A4" s="166"/>
      <c r="B4" s="18"/>
      <c r="C4" s="18"/>
      <c r="D4" s="18"/>
      <c r="E4" s="165"/>
      <c r="F4" s="18"/>
    </row>
    <row r="5" spans="1:6" ht="15" customHeight="1">
      <c r="A5" s="517" t="s">
        <v>142</v>
      </c>
      <c r="B5" s="517"/>
      <c r="C5" s="517"/>
      <c r="D5" s="517"/>
      <c r="E5" s="517"/>
      <c r="F5" s="517"/>
    </row>
    <row r="6" spans="1:6" ht="14.25" customHeight="1">
      <c r="A6" s="99"/>
      <c r="B6" s="176"/>
      <c r="C6" s="176"/>
      <c r="D6" s="176"/>
      <c r="E6" s="176"/>
      <c r="F6" s="176"/>
    </row>
    <row r="7" spans="1:6" ht="17.25" customHeight="1">
      <c r="A7" s="177" t="s">
        <v>19</v>
      </c>
      <c r="B7" s="177" t="s">
        <v>303</v>
      </c>
      <c r="C7" s="177" t="s">
        <v>46</v>
      </c>
      <c r="D7" s="177" t="s">
        <v>143</v>
      </c>
      <c r="E7" s="177" t="s">
        <v>144</v>
      </c>
      <c r="F7" s="177" t="s">
        <v>159</v>
      </c>
    </row>
    <row r="8" spans="1:6" ht="17.25" customHeight="1">
      <c r="A8" s="178" t="s">
        <v>304</v>
      </c>
      <c r="B8" s="178" t="s">
        <v>305</v>
      </c>
      <c r="C8" s="178" t="s">
        <v>160</v>
      </c>
      <c r="D8" s="178" t="s">
        <v>160</v>
      </c>
      <c r="E8" s="178" t="s">
        <v>160</v>
      </c>
      <c r="F8" s="178" t="s">
        <v>161</v>
      </c>
    </row>
    <row r="9" spans="1:6" s="181" customFormat="1" ht="18" customHeight="1">
      <c r="A9" s="179" t="s">
        <v>162</v>
      </c>
      <c r="B9" s="179" t="s">
        <v>163</v>
      </c>
      <c r="C9" s="180">
        <f>F1-2</f>
        <v>2011</v>
      </c>
      <c r="D9" s="180">
        <f>F1-1</f>
        <v>2012</v>
      </c>
      <c r="E9" s="180">
        <f>F1</f>
        <v>2013</v>
      </c>
      <c r="F9" s="179" t="s">
        <v>164</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132</v>
      </c>
      <c r="C24" s="186">
        <f>SUM(C10:C23)</f>
        <v>0</v>
      </c>
      <c r="D24" s="186">
        <f>SUM(D10:D23)</f>
        <v>0</v>
      </c>
      <c r="E24" s="186">
        <f>SUM(E10:E23)</f>
        <v>0</v>
      </c>
      <c r="F24" s="187"/>
      <c r="G24" s="63"/>
    </row>
    <row r="25" spans="1:7" ht="15.75">
      <c r="A25" s="32"/>
      <c r="B25" s="188" t="s">
        <v>302</v>
      </c>
      <c r="C25" s="189"/>
      <c r="D25" s="190"/>
      <c r="E25" s="190"/>
      <c r="F25" s="187"/>
      <c r="G25" s="63"/>
    </row>
    <row r="26" spans="1:7" ht="15.75">
      <c r="A26" s="32"/>
      <c r="B26" s="185" t="s">
        <v>165</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81" t="s">
        <v>306</v>
      </c>
      <c r="B29" s="382"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34">
      <selection activeCell="A1" sqref="A1"/>
    </sheetView>
  </sheetViews>
  <sheetFormatPr defaultColWidth="8.796875" defaultRowHeight="15"/>
  <cols>
    <col min="1" max="1" width="71.09765625" style="63" customWidth="1"/>
    <col min="2" max="16384" width="8.8984375" style="63" customWidth="1"/>
  </cols>
  <sheetData>
    <row r="1" ht="18.75">
      <c r="A1" s="341" t="s">
        <v>250</v>
      </c>
    </row>
    <row r="2" ht="15.75">
      <c r="A2" s="98"/>
    </row>
    <row r="3" ht="47.25">
      <c r="A3" s="342" t="s">
        <v>251</v>
      </c>
    </row>
    <row r="4" ht="15.75">
      <c r="A4" s="343"/>
    </row>
    <row r="5" ht="15.75">
      <c r="A5" s="98"/>
    </row>
    <row r="6" ht="63">
      <c r="A6" s="342" t="s">
        <v>252</v>
      </c>
    </row>
    <row r="7" ht="15.75">
      <c r="A7" s="343"/>
    </row>
    <row r="8" ht="15.75">
      <c r="A8" s="98"/>
    </row>
    <row r="9" ht="47.25">
      <c r="A9" s="342" t="s">
        <v>253</v>
      </c>
    </row>
    <row r="10" ht="15.75">
      <c r="A10" s="343"/>
    </row>
    <row r="11" ht="15.75">
      <c r="A11" s="343"/>
    </row>
    <row r="12" ht="31.5">
      <c r="A12" s="342" t="s">
        <v>254</v>
      </c>
    </row>
    <row r="13" ht="15.75">
      <c r="A13" s="98"/>
    </row>
    <row r="14" ht="15.75">
      <c r="A14" s="98"/>
    </row>
    <row r="15" ht="47.25">
      <c r="A15" s="342" t="s">
        <v>255</v>
      </c>
    </row>
    <row r="16" ht="15.75">
      <c r="A16" s="98"/>
    </row>
    <row r="17" ht="15.75">
      <c r="A17" s="98"/>
    </row>
    <row r="18" ht="63">
      <c r="A18" s="423" t="s">
        <v>317</v>
      </c>
    </row>
    <row r="19" ht="15.75">
      <c r="A19" s="98"/>
    </row>
    <row r="20" ht="15.75">
      <c r="A20" s="98"/>
    </row>
    <row r="21" ht="63">
      <c r="A21" s="364" t="s">
        <v>256</v>
      </c>
    </row>
    <row r="22" ht="15.75">
      <c r="A22" s="343"/>
    </row>
    <row r="23" ht="15.75">
      <c r="A23" s="98"/>
    </row>
    <row r="24" ht="63">
      <c r="A24" s="342" t="s">
        <v>257</v>
      </c>
    </row>
    <row r="25" ht="47.25">
      <c r="A25" s="344" t="s">
        <v>258</v>
      </c>
    </row>
    <row r="26" ht="15.75">
      <c r="A26" s="343"/>
    </row>
    <row r="27" ht="15.75">
      <c r="A27" s="98"/>
    </row>
    <row r="28" ht="63">
      <c r="A28" s="423" t="s">
        <v>318</v>
      </c>
    </row>
    <row r="29" ht="15.75">
      <c r="A29" s="98"/>
    </row>
    <row r="30" ht="15.75">
      <c r="A30" s="98"/>
    </row>
    <row r="31" ht="78.75">
      <c r="A31" s="423" t="s">
        <v>319</v>
      </c>
    </row>
    <row r="32" ht="15.75">
      <c r="A32" s="98"/>
    </row>
    <row r="33" ht="15.75">
      <c r="A33" s="98"/>
    </row>
    <row r="34" ht="47.25">
      <c r="A34" s="424" t="s">
        <v>320</v>
      </c>
    </row>
    <row r="35" ht="15.75">
      <c r="A35" s="98"/>
    </row>
    <row r="36" ht="15.75">
      <c r="A36" s="98"/>
    </row>
    <row r="37" ht="78.75">
      <c r="A37" s="342" t="s">
        <v>259</v>
      </c>
    </row>
    <row r="38" ht="15.75">
      <c r="A38" s="343"/>
    </row>
    <row r="39" ht="15.75">
      <c r="A39" s="343"/>
    </row>
    <row r="40" ht="47.25">
      <c r="A40" s="364" t="s">
        <v>260</v>
      </c>
    </row>
    <row r="41" ht="15.75">
      <c r="A41" s="34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John Copple</cp:lastModifiedBy>
  <cp:lastPrinted>2012-07-02T20:08:03Z</cp:lastPrinted>
  <dcterms:created xsi:type="dcterms:W3CDTF">1999-08-06T13:59:57Z</dcterms:created>
  <dcterms:modified xsi:type="dcterms:W3CDTF">2013-04-16T17:44:55Z</dcterms:modified>
  <cp:category/>
  <cp:version/>
  <cp:contentType/>
  <cp:contentStatus/>
</cp:coreProperties>
</file>