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3"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Sign Cert" sheetId="18" r:id="rId18"/>
    <sheet name="Pub Notice"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<sst xmlns="http://schemas.openxmlformats.org/spreadsheetml/2006/main" count="1179" uniqueCount="803">
  <si>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</si>
  <si>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</si>
  <si>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</si>
  <si>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</si>
  <si>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</si>
  <si>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</si>
  <si>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</si>
  <si>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</si>
  <si>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</si>
  <si>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</si>
  <si>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</si>
  <si>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</si>
  <si>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</si>
  <si>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</si>
  <si>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</si>
  <si>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</si>
  <si>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</si>
  <si>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</si>
  <si>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</si>
  <si>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</si>
  <si>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</si>
  <si>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</si>
  <si>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</si>
  <si>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</si>
  <si>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</si>
  <si>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</si>
  <si>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</si>
  <si>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</si>
  <si>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</si>
  <si>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</si>
  <si>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</si>
  <si>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</si>
  <si>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</si>
  <si>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</si>
  <si>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</si>
  <si>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</si>
  <si>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</si>
  <si>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</si>
  <si>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</si>
  <si>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</si>
  <si>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</si>
  <si>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</si>
  <si>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</si>
  <si>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</si>
  <si>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</si>
  <si>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</si>
  <si>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</si>
  <si>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</si>
  <si>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</si>
  <si>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</si>
  <si>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</si>
  <si>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</si>
  <si>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</si>
  <si>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</si>
  <si>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</si>
  <si>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</si>
  <si>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</si>
  <si>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</si>
  <si>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</si>
  <si>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</si>
  <si>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</si>
  <si>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</si>
  <si>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</si>
  <si>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</si>
  <si>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</si>
  <si>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</si>
  <si>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</si>
  <si>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</si>
  <si>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</si>
  <si>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</si>
  <si>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</si>
  <si>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</si>
  <si>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</si>
  <si>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</si>
  <si>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</si>
  <si>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</si>
  <si>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</si>
  <si>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</si>
  <si>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</si>
  <si>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</si>
  <si>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</si>
  <si>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</si>
  <si>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</si>
  <si>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</si>
  <si>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</si>
  <si>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</si>
  <si>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</si>
  <si>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</si>
  <si>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</si>
  <si>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</si>
  <si>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</si>
  <si>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</si>
  <si>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</si>
  <si>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</si>
  <si>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</si>
  <si>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</si>
  <si>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</si>
  <si>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</si>
  <si>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</si>
  <si>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</si>
  <si>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</si>
  <si>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</si>
  <si>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</si>
  <si>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</si>
  <si>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</si>
  <si>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</si>
  <si>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</si>
  <si>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</si>
  <si>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</si>
  <si>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</si>
  <si>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</si>
  <si>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</si>
  <si>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</si>
  <si>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</si>
  <si>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</si>
  <si>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</si>
  <si>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</si>
  <si>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</si>
  <si>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</si>
  <si>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</si>
  <si>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</si>
  <si>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</si>
  <si>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</si>
  <si>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</si>
  <si>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</si>
  <si>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</si>
  <si>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</si>
  <si>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</si>
  <si>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</si>
  <si>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</si>
  <si>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</si>
  <si>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</si>
  <si>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</si>
  <si>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</si>
  <si>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</si>
  <si>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</si>
  <si>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</si>
  <si>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</si>
  <si>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</si>
  <si>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</si>
  <si>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</si>
  <si>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</si>
  <si>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</si>
  <si>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</si>
  <si>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</si>
  <si>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</si>
  <si>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</si>
  <si>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</si>
  <si>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</si>
  <si>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</si>
  <si>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</si>
  <si>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</si>
  <si>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</si>
  <si>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</si>
  <si>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</si>
  <si>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</si>
  <si>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</si>
  <si>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</si>
  <si>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</si>
  <si>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</si>
  <si>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</si>
  <si>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</si>
  <si>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</si>
  <si>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</si>
  <si>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</si>
  <si>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</si>
  <si>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</si>
  <si>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</si>
  <si>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</si>
  <si>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</si>
  <si>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</si>
  <si>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</si>
  <si>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</si>
  <si>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</si>
  <si>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</si>
  <si>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</si>
  <si>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</si>
  <si>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</si>
  <si>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</si>
  <si>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</si>
  <si>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</si>
  <si>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</si>
  <si>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</si>
  <si>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</si>
  <si>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</si>
  <si>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</si>
  <si>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</si>
  <si>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</si>
  <si>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</si>
  <si>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</si>
  <si>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</si>
  <si>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</si>
  <si>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</si>
  <si>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</si>
  <si>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</si>
  <si>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</si>
  <si>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</si>
  <si>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</si>
  <si>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</si>
  <si>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</si>
  <si>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</si>
  <si>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</si>
  <si>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</si>
  <si>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</si>
  <si>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</si>
  <si>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</si>
  <si>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</si>
  <si>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</si>
  <si>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</si>
  <si>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</si>
  <si>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</si>
  <si>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</si>
  <si>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</si>
  <si>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</si>
  <si>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</si>
  <si>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</si>
  <si>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</si>
  <si>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</si>
  <si>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</si>
  <si>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</si>
  <si>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</si>
  <si>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</si>
  <si>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</si>
  <si>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</si>
  <si>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</si>
  <si>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</si>
  <si>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</si>
  <si>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</si>
  <si>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</si>
  <si>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</si>
  <si>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</si>
  <si>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</si>
  <si>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</si>
  <si>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</si>
  <si>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</si>
  <si>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</si>
  <si>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</si>
  <si>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</si>
  <si>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</si>
  <si>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</si>
  <si>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</si>
  <si>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</si>
  <si>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</si>
  <si>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</si>
  <si>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</si>
  <si>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</si>
  <si>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</si>
  <si>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</si>
  <si>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</si>
  <si>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</si>
  <si>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</si>
  <si>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</si>
  <si>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</si>
  <si>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</si>
  <si>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</si>
  <si>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</si>
  <si>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</si>
  <si>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</si>
  <si>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</si>
  <si>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</si>
  <si>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</si>
  <si>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</si>
  <si>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</si>
  <si>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</si>
  <si>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</si>
  <si>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</si>
  <si>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</si>
  <si>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</si>
  <si>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</si>
  <si>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</si>
  <si>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</si>
  <si>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</si>
  <si>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</si>
  <si>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</si>
  <si>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</si>
  <si>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</si>
  <si>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</si>
  <si>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</si>
  <si>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</si>
  <si>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</si>
  <si>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</si>
  <si>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</si>
  <si>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</si>
  <si>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</si>
  <si>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</si>
  <si>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</si>
  <si>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</si>
  <si>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</si>
  <si>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</si>
  <si>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</si>
  <si>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</si>
  <si>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</si>
  <si>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</si>
  <si>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</si>
  <si>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</si>
  <si>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</si>
  <si>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</si>
  <si>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</si>
  <si>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</si>
  <si>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</si>
  <si>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</si>
  <si>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</si>
  <si>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</si>
  <si>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</si>
  <si>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</si>
  <si>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</si>
  <si>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</si>
  <si>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</si>
  <si>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</si>
  <si>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</si>
  <si>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</si>
  <si>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</si>
  <si>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</si>
  <si>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</si>
  <si>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</si>
  <si>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</si>
  <si>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</si>
  <si>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</si>
  <si>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</si>
  <si>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</si>
  <si>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</si>
  <si>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</si>
  <si>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</si>
  <si>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</si>
  <si>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</si>
  <si>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</si>
  <si>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</si>
  <si>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</si>
  <si>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</si>
  <si>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</si>
  <si>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</si>
  <si>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</si>
  <si>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</si>
  <si>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</si>
  <si>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</si>
  <si>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</si>
  <si>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</si>
  <si>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</si>
  <si>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</si>
  <si>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</si>
  <si>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</si>
  <si>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</si>
  <si>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</si>
  <si>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</si>
  <si>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</si>
  <si>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</si>
  <si>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</si>
  <si>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</si>
  <si>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</si>
  <si>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</si>
  <si>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</si>
  <si>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</si>
  <si>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</si>
  <si>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</si>
  <si>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</si>
  <si>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</si>
  <si>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</si>
  <si>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</si>
  <si>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</si>
  <si>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</si>
  <si>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</si>
  <si>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</si>
  <si>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</si>
  <si>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</si>
  <si>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</si>
  <si>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</si>
  <si>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</si>
  <si>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</si>
  <si>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</si>
  <si>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</si>
  <si>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</si>
  <si>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</si>
  <si>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</si>
  <si>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</si>
  <si>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</si>
  <si>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</si>
  <si>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</si>
  <si>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</si>
  <si>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</si>
  <si>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</si>
  <si>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</si>
  <si>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</si>
  <si>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</si>
  <si>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</si>
  <si>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</si>
  <si>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</si>
  <si>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</si>
  <si>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</si>
  <si>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</si>
  <si>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</si>
  <si>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</si>
  <si>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</si>
  <si>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</si>
  <si>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</si>
  <si>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</si>
  <si>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</si>
  <si>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</si>
  <si>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</si>
  <si>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</si>
  <si>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</si>
  <si>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</si>
  <si>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</si>
  <si>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</si>
  <si>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</si>
  <si>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</si>
  <si>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</si>
  <si>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</si>
  <si>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</si>
  <si>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</si>
  <si>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</si>
  <si>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</si>
  <si>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</si>
  <si>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</si>
  <si>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</si>
  <si>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</si>
  <si>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</si>
  <si>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</si>
  <si>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</si>
  <si>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</si>
  <si>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</si>
  <si>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</si>
  <si>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</si>
  <si>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</si>
  <si>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</si>
  <si>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</si>
  <si>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</si>
  <si>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</si>
  <si>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</si>
  <si>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</si>
  <si>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</si>
  <si>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</si>
  <si>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</si>
  <si>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</si>
  <si>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</si>
  <si>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</si>
  <si>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</si>
  <si>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</si>
  <si>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</si>
  <si>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</si>
  <si>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</si>
  <si>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</si>
  <si>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</si>
  <si>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</si>
  <si>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</si>
  <si>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</si>
  <si>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</si>
  <si>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</si>
  <si>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</si>
  <si>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</si>
  <si>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</si>
  <si>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</si>
  <si>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</si>
  <si>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</si>
  <si>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</si>
  <si>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</si>
  <si>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</si>
  <si>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</si>
  <si>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</si>
  <si>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</si>
  <si>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</si>
  <si>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</si>
  <si>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</si>
  <si>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</si>
  <si>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</si>
  <si>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</si>
  <si>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</si>
  <si>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</si>
  <si>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</si>
  <si>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</si>
  <si>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</si>
  <si>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</si>
  <si>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</si>
  <si>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</si>
  <si>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</si>
  <si>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</si>
  <si>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</si>
  <si>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</si>
  <si>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</si>
  <si>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</si>
  <si>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</si>
  <si>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</si>
  <si>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</si>
  <si>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</si>
  <si>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</si>
  <si>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</si>
  <si>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</si>
  <si>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</si>
  <si>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</si>
  <si>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</si>
  <si>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</si>
  <si>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</si>
  <si>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</si>
  <si>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</si>
  <si>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</si>
  <si>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</si>
  <si>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</si>
  <si>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</si>
  <si>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</si>
  <si>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</si>
  <si>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</si>
  <si>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</si>
  <si>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</si>
  <si>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</si>
  <si>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</si>
  <si>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</si>
  <si>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</si>
  <si>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</si>
  <si>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</si>
  <si>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</si>
  <si>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</si>
  <si>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</si>
  <si>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</si>
  <si>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</si>
  <si>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</si>
  <si>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</si>
  <si>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</si>
  <si>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</si>
  <si>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</si>
  <si>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</si>
  <si>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</si>
  <si>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</si>
  <si>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</si>
  <si>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</si>
  <si>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</si>
  <si>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</si>
  <si>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</si>
  <si>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</si>
  <si>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</si>
  <si>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</si>
  <si>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</si>
  <si>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</si>
  <si>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</si>
  <si>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</si>
  <si>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</si>
  <si>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</si>
  <si>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</si>
  <si>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</si>
  <si>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</si>
  <si>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</si>
  <si>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</si>
  <si>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</si>
  <si>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</si>
  <si>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</si>
  <si>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</si>
  <si>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</si>
  <si>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</si>
  <si>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</si>
  <si>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</si>
  <si>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</si>
  <si>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</si>
  <si>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</si>
  <si>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</si>
  <si>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</si>
  <si>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</si>
  <si>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</si>
  <si>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</si>
  <si>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</si>
  <si>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</si>
  <si>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</si>
  <si>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</si>
  <si>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</si>
  <si>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</si>
  <si>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</si>
  <si>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</si>
  <si>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</si>
  <si>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</si>
  <si>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</si>
  <si>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</si>
  <si>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</si>
  <si>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</si>
  <si>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</si>
  <si>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</si>
  <si>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</si>
  <si>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</si>
  <si>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</si>
  <si>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</si>
  <si>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</si>
  <si>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</si>
  <si>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</si>
  <si>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</si>
  <si>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</si>
  <si>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</si>
  <si>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</si>
  <si>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</si>
  <si>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</si>
  <si>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</si>
  <si>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</si>
  <si>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</si>
  <si>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</si>
  <si>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</si>
  <si>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</si>
  <si>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</si>
  <si>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</si>
  <si>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</si>
  <si>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</si>
  <si>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</si>
  <si>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</si>
  <si>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</si>
  <si>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</si>
  <si>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</si>
  <si>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</si>
  <si>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</si>
  <si>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</si>
  <si>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</si>
  <si>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</si>
  <si>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</si>
  <si>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</si>
  <si>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</si>
  <si>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</si>
  <si>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</si>
  <si>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</si>
  <si>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</si>
  <si>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</si>
  <si>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</si>
  <si>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</si>
  <si>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</si>
  <si>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</si>
  <si>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</si>
  <si>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</si>
  <si>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</si>
  <si>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</si>
  <si>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</si>
  <si>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</si>
  <si>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</si>
  <si>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</si>
  <si>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</si>
  <si>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</si>
  <si>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</si>
  <si>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</si>
  <si>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</si>
  <si>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</si>
  <si>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</si>
  <si>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</si>
  <si>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</si>
  <si>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</si>
  <si>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</si>
  <si>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</si>
  <si>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</si>
  <si>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</si>
  <si>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</si>
  <si>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</si>
  <si>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</si>
  <si>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</si>
  <si>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</si>
  <si>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</si>
  <si>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</si>
  <si>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</si>
  <si>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</si>
  <si>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</si>
  <si>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</si>
  <si>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</si>
  <si>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</si>
  <si>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</si>
  <si>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</si>
  <si>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</si>
  <si>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</si>
  <si>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</si>
  <si>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</si>
  <si>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</si>
  <si>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</si>
  <si>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</si>
  <si>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</si>
  <si>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</si>
  <si>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</si>
  <si>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</si>
  <si>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</si>
  <si>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</si>
  <si>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</si>
  <si>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</si>
  <si>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</si>
  <si>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</si>
  <si>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</si>
  <si>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</si>
  <si>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</si>
  <si>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</si>
  <si>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</si>
  <si>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</si>
  <si>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</si>
  <si>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</si>
  <si>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</si>
  <si>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</si>
  <si>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</si>
  <si>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</si>
  <si>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</si>
  <si>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</si>
  <si>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</si>
  <si>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</si>
  <si>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</si>
  <si>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</si>
  <si>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</si>
  <si>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</si>
  <si>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</si>
  <si>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</si>
  <si>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</si>
  <si>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</si>
  <si>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</si>
  <si>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</si>
  <si>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</si>
  <si>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</si>
  <si>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</si>
  <si>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</si>
  <si>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</si>
  <si>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</si>
  <si>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</si>
  <si>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</si>
  <si>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</si>
  <si>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</si>
  <si>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</si>
  <si>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</si>
  <si>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</si>
  <si>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</si>
  <si>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</si>
  <si>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</si>
  <si>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</si>
  <si>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</si>
  <si>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</si>
  <si>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</si>
  <si>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</si>
  <si>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</si>
  <si>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</si>
  <si>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</si>
  <si>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</si>
  <si>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</si>
  <si>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</si>
  <si>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</si>
  <si>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</si>
  <si>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</si>
  <si>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</si>
  <si>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</si>
  <si>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</si>
  <si>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</si>
  <si>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</si>
  <si>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</si>
  <si>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</si>
  <si>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</si>
  <si>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</si>
  <si>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</si>
  <si>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</si>
  <si>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</si>
  <si>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</si>
  <si>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</si>
  <si>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</si>
  <si>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</si>
  <si>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</si>
  <si>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</si>
  <si>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</si>
  <si>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</si>
  <si>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</si>
  <si>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</si>
  <si>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</si>
  <si>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</si>
  <si>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</si>
  <si>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</si>
  <si>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</si>
  <si>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</si>
  <si>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</si>
  <si>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</si>
  <si>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</si>
  <si>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</si>
  <si>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</si>
  <si>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</si>
  <si>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</si>
  <si>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</si>
  <si>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</si>
  <si>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</si>
  <si>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</si>
  <si>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</si>
  <si>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</si>
  <si>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</si>
  <si>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</si>
  <si>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</si>
  <si>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</si>
  <si>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</si>
  <si>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</si>
  <si>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</si>
  <si>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</si>
  <si>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</si>
  <si>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</si>
  <si>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</si>
  <si>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</si>
  <si>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</si>
  <si>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</si>
  <si>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</si>
  <si>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</si>
  <si>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</si>
  <si>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Dickinson County</t>
  </si>
  <si>
    <t>Plots</t>
  </si>
  <si>
    <t>Mowing</t>
  </si>
  <si>
    <t>Operations</t>
  </si>
  <si>
    <t>Prior Year adj</t>
  </si>
  <si>
    <t>Fuel</t>
  </si>
  <si>
    <t>Tree removal</t>
  </si>
  <si>
    <t>Publication</t>
  </si>
  <si>
    <t>Equipment Fund</t>
  </si>
  <si>
    <t>Transfer to Equipment</t>
  </si>
  <si>
    <t>Transfer</t>
  </si>
  <si>
    <t>Ebenezer Cemtery # 20</t>
  </si>
  <si>
    <t>Ebenezer Cemetery</t>
  </si>
  <si>
    <t>Ebenezer Church</t>
  </si>
  <si>
    <t>Ebenezer Cemetery # 20</t>
  </si>
  <si>
    <t>August 6, 2012</t>
  </si>
  <si>
    <t>7:00 PM</t>
  </si>
  <si>
    <t xml:space="preserve">1172 1400  Ave      Abilene,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</si>
</sst>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342900</xdr:colOff>
      <xdr:row>38</xdr:row>
      <xdr:rowOff>57150</xdr:rowOff>
    </xdr:to>
    <xdr:pic>
      <xdr:nvPicPr>
        <xdr:cNvPr id="1" name="Picture 1"/>
        <xdr:cNvPicPr preferRelativeResize="1">
          <a:picLocks noChangeAspect="1"/>
        </xdr:cNvPicPr>
      </xdr:nvPicPr>
      <xdr:blipFill>
        <a:blip r:embed="rId1"/>
        <a:stretch>
          <a:fillRect/>
        </a:stretch>
      </xdr:blipFill>
      <xdr:spPr>
        <a:xfrm>
          <a:off x="0" y="0"/>
          <a:ext cx="6210300" cy="7296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742950</xdr:colOff>
      <xdr:row>42</xdr:row>
      <xdr:rowOff>133350</xdr:rowOff>
    </xdr:to>
    <xdr:pic>
      <xdr:nvPicPr>
        <xdr:cNvPr id="1" name="Picture 1"/>
        <xdr:cNvPicPr preferRelativeResize="1">
          <a:picLocks noChangeAspect="1"/>
        </xdr:cNvPicPr>
      </xdr:nvPicPr>
      <xdr:blipFill>
        <a:blip r:embed="rId1"/>
        <a:stretch>
          <a:fillRect/>
        </a:stretch>
      </xdr:blipFill>
      <xdr:spPr>
        <a:xfrm>
          <a:off x="0" y="0"/>
          <a:ext cx="11639550" cy="813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2" sqref="A2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Ebenezer Cemtery # 20</v>
      </c>
      <c r="C1" s="18"/>
      <c r="D1" s="18"/>
      <c r="E1" s="18"/>
      <c r="F1" s="18"/>
      <c r="G1" s="18"/>
      <c r="H1" s="18"/>
      <c r="I1" s="18"/>
      <c r="J1" s="18"/>
      <c r="K1" s="18"/>
      <c r="L1" s="182">
        <f>inputPrYr!D6</f>
        <v>2013</v>
      </c>
    </row>
    <row r="2" spans="2:12" ht="15.75">
      <c r="B2" s="18" t="str">
        <f>inputPrYr!$D$4</f>
        <v>Dickinson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B1:K82"/>
  <sheetViews>
    <sheetView zoomScalePageLayoutView="0" workbookViewId="0" topLeftCell="A49">
      <selection activeCell="E39" sqref="E3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Ebenezer Cemtery # 20</v>
      </c>
      <c r="C1" s="222"/>
      <c r="D1" s="18"/>
      <c r="E1" s="182"/>
    </row>
    <row r="2" spans="2:5" ht="15.75">
      <c r="B2" s="18" t="str">
        <f>inputPrYr!D4</f>
        <v>Dickinson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64</v>
      </c>
      <c r="D7" s="374">
        <f>C62</f>
        <v>735</v>
      </c>
      <c r="E7" s="45">
        <f>D62</f>
        <v>712</v>
      </c>
    </row>
    <row r="8" spans="2:5" ht="15.75">
      <c r="B8" s="226" t="s">
        <v>127</v>
      </c>
      <c r="C8" s="227"/>
      <c r="D8" s="227"/>
      <c r="E8" s="123"/>
    </row>
    <row r="9" spans="2:5" ht="15.75">
      <c r="B9" s="119" t="s">
        <v>33</v>
      </c>
      <c r="C9" s="367">
        <v>1668</v>
      </c>
      <c r="D9" s="374">
        <f>IF(inputPrYr!H18&gt;0,inputPrYr!G19,inputPrYr!E19)</f>
        <v>2088</v>
      </c>
      <c r="E9" s="128" t="s">
        <v>28</v>
      </c>
    </row>
    <row r="10" spans="2:5" ht="15.75">
      <c r="B10" s="119" t="s">
        <v>34</v>
      </c>
      <c r="C10" s="367">
        <v>12</v>
      </c>
      <c r="D10" s="367"/>
      <c r="E10" s="198"/>
    </row>
    <row r="11" spans="2:5" ht="15.75">
      <c r="B11" s="119" t="s">
        <v>35</v>
      </c>
      <c r="C11" s="367">
        <v>139</v>
      </c>
      <c r="D11" s="367">
        <v>164</v>
      </c>
      <c r="E11" s="45">
        <f>mvalloc!D11</f>
        <v>208</v>
      </c>
    </row>
    <row r="12" spans="2:5" ht="15.75">
      <c r="B12" s="119" t="s">
        <v>36</v>
      </c>
      <c r="C12" s="367">
        <v>3</v>
      </c>
      <c r="D12" s="367">
        <v>3</v>
      </c>
      <c r="E12" s="45">
        <f>mvalloc!E11</f>
        <v>4</v>
      </c>
    </row>
    <row r="13" spans="2:5" ht="15.75">
      <c r="B13" s="227" t="s">
        <v>109</v>
      </c>
      <c r="C13" s="367">
        <v>5</v>
      </c>
      <c r="D13" s="367">
        <v>22</v>
      </c>
      <c r="E13" s="45">
        <f>mvalloc!F11</f>
        <v>19</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t="s">
        <v>786</v>
      </c>
      <c r="C17" s="367">
        <v>275</v>
      </c>
      <c r="D17" s="367"/>
      <c r="E17" s="198"/>
    </row>
    <row r="18" spans="2:5" ht="15.75">
      <c r="B18" s="228" t="s">
        <v>789</v>
      </c>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2102</v>
      </c>
      <c r="D33" s="369">
        <f>SUM(D9:D31)</f>
        <v>2277</v>
      </c>
      <c r="E33" s="234">
        <f>SUM(E9:E31)</f>
        <v>231</v>
      </c>
    </row>
    <row r="34" spans="2:5" ht="15.75">
      <c r="B34" s="233" t="s">
        <v>40</v>
      </c>
      <c r="C34" s="369">
        <f>C7+C33</f>
        <v>2166</v>
      </c>
      <c r="D34" s="369">
        <f>D7+D33</f>
        <v>3012</v>
      </c>
      <c r="E34" s="234">
        <f>E7+E33</f>
        <v>943</v>
      </c>
    </row>
    <row r="35" spans="2:5" ht="15.75">
      <c r="B35" s="119" t="s">
        <v>41</v>
      </c>
      <c r="C35" s="121"/>
      <c r="D35" s="121"/>
      <c r="E35" s="36"/>
    </row>
    <row r="36" spans="2:5" ht="15.75">
      <c r="B36" s="228"/>
      <c r="C36" s="367"/>
      <c r="D36" s="367"/>
      <c r="E36" s="198"/>
    </row>
    <row r="37" spans="2:5" ht="15.75">
      <c r="B37" s="228" t="s">
        <v>787</v>
      </c>
      <c r="C37" s="367">
        <v>827</v>
      </c>
      <c r="D37" s="367"/>
      <c r="E37" s="198"/>
    </row>
    <row r="38" spans="2:5" ht="15.75">
      <c r="B38" s="228" t="s">
        <v>788</v>
      </c>
      <c r="C38" s="367">
        <v>29</v>
      </c>
      <c r="D38" s="367">
        <v>2300</v>
      </c>
      <c r="E38" s="198">
        <v>2300</v>
      </c>
    </row>
    <row r="39" spans="2:5" ht="15.75">
      <c r="B39" s="228" t="s">
        <v>790</v>
      </c>
      <c r="C39" s="367"/>
      <c r="D39" s="367"/>
      <c r="E39" s="198"/>
    </row>
    <row r="40" spans="2:5" ht="15.75">
      <c r="B40" s="228" t="s">
        <v>791</v>
      </c>
      <c r="C40" s="367"/>
      <c r="D40" s="367"/>
      <c r="E40" s="198"/>
    </row>
    <row r="41" spans="2:5" ht="15.75">
      <c r="B41" s="228" t="s">
        <v>792</v>
      </c>
      <c r="C41" s="367"/>
      <c r="D41" s="367"/>
      <c r="E41" s="198"/>
    </row>
    <row r="42" spans="2:5" ht="15.75">
      <c r="B42" s="228"/>
      <c r="C42" s="367"/>
      <c r="D42" s="367"/>
      <c r="E42" s="198"/>
    </row>
    <row r="43" spans="2:5" ht="15.75">
      <c r="B43" s="228" t="s">
        <v>794</v>
      </c>
      <c r="C43" s="367">
        <v>575</v>
      </c>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1431</v>
      </c>
      <c r="D61" s="369">
        <f>SUM(D36:D59)</f>
        <v>2300</v>
      </c>
      <c r="E61" s="234">
        <f>SUM(E36:E59)</f>
        <v>2300</v>
      </c>
      <c r="F61" s="16"/>
      <c r="G61" s="490">
        <f>D62</f>
        <v>712</v>
      </c>
      <c r="H61" s="489" t="str">
        <f>CONCATENATE("",E3-1," Ending Cash Balance (est.)")</f>
        <v>2012 Ending Cash Balance (est.)</v>
      </c>
      <c r="I61" s="586"/>
      <c r="J61" s="484"/>
      <c r="K61" s="16"/>
    </row>
    <row r="62" spans="2:11" ht="15.75">
      <c r="B62" s="119" t="s">
        <v>126</v>
      </c>
      <c r="C62" s="370">
        <f>C34-C61</f>
        <v>735</v>
      </c>
      <c r="D62" s="370">
        <f>D34-D61</f>
        <v>712</v>
      </c>
      <c r="E62" s="128" t="s">
        <v>28</v>
      </c>
      <c r="F62" s="16"/>
      <c r="G62" s="490">
        <f>E33</f>
        <v>231</v>
      </c>
      <c r="H62" s="483" t="str">
        <f>CONCATENATE("",E3," Non-AV Receipts (est.)")</f>
        <v>2013 Non-AV Receipts (est.)</v>
      </c>
      <c r="I62" s="586"/>
      <c r="J62" s="484"/>
      <c r="K62" s="16"/>
    </row>
    <row r="63" spans="2:11" ht="15.75">
      <c r="B63" s="138" t="str">
        <f>CONCATENATE("",E3-2,"/",E3-1," Budget Authority Amount:")</f>
        <v>2011/2012 Budget Authority Amount:</v>
      </c>
      <c r="C63" s="120">
        <f>inputOth!B41</f>
        <v>2300</v>
      </c>
      <c r="D63" s="388">
        <f>inputPrYr!D19</f>
        <v>2300</v>
      </c>
      <c r="E63" s="128" t="s">
        <v>28</v>
      </c>
      <c r="F63" s="251"/>
      <c r="G63" s="482">
        <f>IF(E67&gt;0,E66,E68)</f>
        <v>1357</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2300</v>
      </c>
      <c r="H64" s="483" t="str">
        <f>CONCATENATE("Total ",E3," Resources Available")</f>
        <v>Total 2013 Resources Available</v>
      </c>
      <c r="I64" s="586"/>
      <c r="J64" s="484"/>
      <c r="K64" s="16"/>
    </row>
    <row r="65" spans="2:11" ht="15.75">
      <c r="B65" s="386" t="str">
        <f>CONCATENATE(C81,"     ",D81)</f>
        <v>     </v>
      </c>
      <c r="C65" s="684" t="s">
        <v>660</v>
      </c>
      <c r="D65" s="685"/>
      <c r="E65" s="45">
        <f>E61+E64</f>
        <v>2300</v>
      </c>
      <c r="F65" s="16"/>
      <c r="G65" s="481"/>
      <c r="H65" s="483"/>
      <c r="I65" s="483"/>
      <c r="J65" s="484"/>
      <c r="K65" s="16"/>
    </row>
    <row r="66" spans="2:11" ht="15.75">
      <c r="B66" s="386" t="str">
        <f>CONCATENATE(C82,"     ",D82)</f>
        <v>     </v>
      </c>
      <c r="C66" s="494"/>
      <c r="D66" s="493" t="s">
        <v>661</v>
      </c>
      <c r="E66" s="42">
        <f>IF(E65-E34&gt;0,E65-E34,0)</f>
        <v>1357</v>
      </c>
      <c r="F66" s="16"/>
      <c r="G66" s="482">
        <f>ROUND(C61*0.05+C61,0)</f>
        <v>1503</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797</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1357</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0.78</v>
      </c>
      <c r="H71" s="489" t="str">
        <f>CONCATENATE("",E3," Fund Mill Rate")</f>
        <v>2013 Fund Mill Rate</v>
      </c>
      <c r="I71" s="571"/>
      <c r="J71" s="591"/>
      <c r="K71" s="16"/>
    </row>
    <row r="72" spans="2:11" ht="15.75">
      <c r="B72" s="18"/>
      <c r="C72" s="18"/>
      <c r="D72" s="18"/>
      <c r="E72" s="18"/>
      <c r="F72" s="593"/>
      <c r="G72" s="594">
        <f>summ!E16</f>
        <v>1.248</v>
      </c>
      <c r="H72" s="489" t="str">
        <f>CONCATENATE("",E3-1," Fund Mill Rate")</f>
        <v>2012 Fund Mill Rate</v>
      </c>
      <c r="I72" s="571"/>
      <c r="J72" s="591"/>
      <c r="K72" s="16"/>
    </row>
    <row r="73" spans="2:11" ht="15.75">
      <c r="B73" s="18"/>
      <c r="C73" s="222"/>
      <c r="D73" s="222"/>
      <c r="E73" s="222"/>
      <c r="F73" s="577"/>
      <c r="G73" s="595">
        <f>summ!H23</f>
        <v>0.78</v>
      </c>
      <c r="H73" s="489" t="str">
        <f>CONCATENATE("Total ",E3," Mill Rate")</f>
        <v>Total 2013 Mill Rate</v>
      </c>
      <c r="I73" s="571"/>
      <c r="J73" s="591"/>
      <c r="K73" s="16"/>
    </row>
    <row r="74" spans="2:11" ht="15.75">
      <c r="B74" s="138"/>
      <c r="C74" s="18" t="s">
        <v>228</v>
      </c>
      <c r="D74" s="18"/>
      <c r="E74" s="18"/>
      <c r="F74" s="577"/>
      <c r="G74" s="594">
        <f>summ!E23</f>
        <v>1.248</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600" verticalDpi="60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Ebenezer Cemtery # 20</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0.78</v>
      </c>
      <c r="H65" s="489" t="str">
        <f>CONCATENATE("Total ",E1," Mill Rate")</f>
        <v>Total 2013 Mill Rate</v>
      </c>
      <c r="I65" s="571"/>
      <c r="J65" s="591"/>
      <c r="K65" s="599"/>
    </row>
    <row r="66" spans="6:11" ht="15.75">
      <c r="F66"/>
      <c r="G66" s="594">
        <f>summ!E23</f>
        <v>1.248</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Ebenezer Cemtery # 20</v>
      </c>
      <c r="C1" s="18"/>
      <c r="D1" s="18"/>
      <c r="E1" s="182"/>
    </row>
    <row r="2" spans="2:5" ht="15.75">
      <c r="B2" s="18" t="str">
        <f>inputPrYr!D4</f>
        <v>Dickinson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0.78</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1.248</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0.78</v>
      </c>
      <c r="H86" s="489" t="str">
        <f>CONCATENATE("Total ",E3," Mill Rate")</f>
        <v>Total 2013 Mill Rate</v>
      </c>
      <c r="I86" s="571"/>
      <c r="J86" s="591"/>
      <c r="K86" s="16"/>
    </row>
    <row r="87" spans="3:11" ht="19.5" customHeight="1">
      <c r="C87" s="95">
        <f>IF(C33&gt;C35,"See Tab A","")</f>
      </c>
      <c r="D87" s="95">
        <f>IF(D33&gt;D35,"See Tab C","")</f>
      </c>
      <c r="F87" s="16"/>
      <c r="G87" s="594">
        <f>summ!E23</f>
        <v>1.248</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Ebenezer Cemtery # 20</v>
      </c>
      <c r="C1" s="222"/>
      <c r="D1" s="18"/>
      <c r="E1" s="182"/>
    </row>
    <row r="2" spans="2:5" ht="15.75">
      <c r="B2" s="18" t="str">
        <f>inputPrYr!D4</f>
        <v>Dickinson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10" sqref="B10"/>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Ebenezer Cemtery # 20</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t="str">
        <f>inputPrYr!B30</f>
        <v>Equipment Fund</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v>450</v>
      </c>
      <c r="C7" s="268" t="s">
        <v>240</v>
      </c>
      <c r="D7" s="267"/>
      <c r="E7" s="268" t="s">
        <v>240</v>
      </c>
      <c r="F7" s="267"/>
      <c r="G7" s="268" t="s">
        <v>240</v>
      </c>
      <c r="H7" s="267"/>
      <c r="I7" s="268" t="s">
        <v>240</v>
      </c>
      <c r="J7" s="267"/>
      <c r="K7" s="269">
        <f>SUM(B7+D7+F7+H7+J7)</f>
        <v>450</v>
      </c>
    </row>
    <row r="8" spans="1:11" ht="15.75">
      <c r="A8" s="270" t="s">
        <v>127</v>
      </c>
      <c r="B8" s="271"/>
      <c r="C8" s="270" t="s">
        <v>127</v>
      </c>
      <c r="D8" s="272"/>
      <c r="E8" s="270" t="s">
        <v>127</v>
      </c>
      <c r="F8" s="255"/>
      <c r="G8" s="270" t="s">
        <v>127</v>
      </c>
      <c r="H8" s="60"/>
      <c r="I8" s="270" t="s">
        <v>127</v>
      </c>
      <c r="J8" s="60"/>
      <c r="K8" s="255"/>
    </row>
    <row r="9" spans="1:11" ht="15.75">
      <c r="A9" s="273" t="s">
        <v>795</v>
      </c>
      <c r="B9" s="267">
        <v>575</v>
      </c>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575</v>
      </c>
      <c r="C17" s="270" t="s">
        <v>39</v>
      </c>
      <c r="D17" s="269">
        <f>SUM(D9:D16)</f>
        <v>0</v>
      </c>
      <c r="E17" s="270" t="s">
        <v>39</v>
      </c>
      <c r="F17" s="283">
        <f>SUM(F9:F16)</f>
        <v>0</v>
      </c>
      <c r="G17" s="270" t="s">
        <v>39</v>
      </c>
      <c r="H17" s="269">
        <f>SUM(H9:H16)</f>
        <v>0</v>
      </c>
      <c r="I17" s="270" t="s">
        <v>39</v>
      </c>
      <c r="J17" s="269">
        <f>SUM(J9:J16)</f>
        <v>0</v>
      </c>
      <c r="K17" s="269">
        <f>SUM(B17+D17+F17+H17+J17)</f>
        <v>575</v>
      </c>
    </row>
    <row r="18" spans="1:11" ht="15.75">
      <c r="A18" s="270" t="s">
        <v>40</v>
      </c>
      <c r="B18" s="269">
        <f>SUM(B7+B17)</f>
        <v>1025</v>
      </c>
      <c r="C18" s="270" t="s">
        <v>40</v>
      </c>
      <c r="D18" s="269">
        <f>SUM(D7+D17)</f>
        <v>0</v>
      </c>
      <c r="E18" s="270" t="s">
        <v>40</v>
      </c>
      <c r="F18" s="269">
        <f>SUM(F7+F17)</f>
        <v>0</v>
      </c>
      <c r="G18" s="270" t="s">
        <v>40</v>
      </c>
      <c r="H18" s="269">
        <f>SUM(H7+H17)</f>
        <v>0</v>
      </c>
      <c r="I18" s="270" t="s">
        <v>40</v>
      </c>
      <c r="J18" s="269">
        <f>SUM(J7+J17)</f>
        <v>0</v>
      </c>
      <c r="K18" s="269">
        <f>SUM(B18+D18+F18+H18+J18)</f>
        <v>1025</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1025</v>
      </c>
      <c r="C29" s="270" t="s">
        <v>241</v>
      </c>
      <c r="D29" s="269">
        <f>SUM(D18-D28)</f>
        <v>0</v>
      </c>
      <c r="E29" s="270" t="s">
        <v>241</v>
      </c>
      <c r="F29" s="269">
        <f>SUM(F18-F28)</f>
        <v>0</v>
      </c>
      <c r="G29" s="270" t="s">
        <v>241</v>
      </c>
      <c r="H29" s="269">
        <f>SUM(H18-H28)</f>
        <v>0</v>
      </c>
      <c r="I29" s="270" t="s">
        <v>241</v>
      </c>
      <c r="J29" s="269">
        <f>SUM(J18-J28)</f>
        <v>0</v>
      </c>
      <c r="K29" s="284">
        <f>SUM(B29+D29+F29+H29+J29)</f>
        <v>1025</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1025</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M53"/>
  <sheetViews>
    <sheetView zoomScalePageLayoutView="0" workbookViewId="0" topLeftCell="A1">
      <selection activeCell="F16" sqref="F16"/>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69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Ebenezer Cemtery # 20</v>
      </c>
      <c r="B4" s="638"/>
      <c r="C4" s="638"/>
      <c r="D4" s="638"/>
      <c r="E4" s="638"/>
      <c r="F4" s="638"/>
      <c r="G4" s="638"/>
      <c r="H4" s="638"/>
    </row>
    <row r="5" spans="1:8" ht="15.75">
      <c r="A5" s="697" t="str">
        <f>inputPrYr!D4</f>
        <v>Dickinson County</v>
      </c>
      <c r="B5" s="697"/>
      <c r="C5" s="697"/>
      <c r="D5" s="697"/>
      <c r="E5" s="697"/>
      <c r="F5" s="697"/>
      <c r="G5" s="697"/>
      <c r="H5" s="697"/>
    </row>
    <row r="6" spans="1:8" ht="15.75">
      <c r="A6" s="656" t="str">
        <f>CONCATENATE("will meet on ",inputBudSum!B7," at ",inputBudSum!B9," at ",inputBudSum!B11," for the purpose of hearing and")</f>
        <v>will meet on August 6, 2012 at 7:00 PM at Ebenezer Church for the purpose of hearing and</v>
      </c>
      <c r="B6" s="656"/>
      <c r="C6" s="656"/>
      <c r="D6" s="656"/>
      <c r="E6" s="656"/>
      <c r="F6" s="656"/>
      <c r="G6" s="656"/>
      <c r="H6" s="656"/>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1172 1400  Ave      Abilene,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0" t="str">
        <f>CONCATENATE("Estimated Value Of One Mill For ",I3,"")</f>
        <v>Estimated Value Of One Mill For 2013</v>
      </c>
      <c r="K12" s="701"/>
      <c r="L12" s="701"/>
      <c r="M12" s="702"/>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695" t="str">
        <f>CONCATENATE("Amount of ",I3-1," Ad Valorem Tax")</f>
        <v>Amount of 2012 Ad Valorem Tax</v>
      </c>
      <c r="H14" s="293" t="s">
        <v>566</v>
      </c>
      <c r="J14" s="501" t="s">
        <v>667</v>
      </c>
      <c r="K14" s="502"/>
      <c r="L14" s="502"/>
      <c r="M14" s="503">
        <f>ROUND(F27/1000,0)</f>
        <v>1739</v>
      </c>
    </row>
    <row r="15" spans="1:13" ht="15.75">
      <c r="A15" s="169" t="s">
        <v>52</v>
      </c>
      <c r="B15" s="114" t="s">
        <v>53</v>
      </c>
      <c r="C15" s="294" t="s">
        <v>198</v>
      </c>
      <c r="D15" s="114" t="s">
        <v>53</v>
      </c>
      <c r="E15" s="294" t="s">
        <v>198</v>
      </c>
      <c r="F15" s="114" t="s">
        <v>561</v>
      </c>
      <c r="G15" s="696"/>
      <c r="H15" s="294" t="s">
        <v>198</v>
      </c>
      <c r="J15" s="16"/>
      <c r="K15" s="16"/>
      <c r="L15" s="16"/>
      <c r="M15" s="16"/>
    </row>
    <row r="16" spans="1:13" ht="15.75">
      <c r="A16" s="36" t="str">
        <f>inputPrYr!B19</f>
        <v>General</v>
      </c>
      <c r="B16" s="123">
        <f>IF(gen!$C$61&lt;&gt;0,gen!$C$61,"  ")</f>
        <v>1431</v>
      </c>
      <c r="C16" s="624">
        <f>IF(inputPrYr!D38&gt;0,inputPrYr!D38,"  ")</f>
        <v>1.071</v>
      </c>
      <c r="D16" s="561">
        <f>IF(gen!$D$61&lt;&gt;0,gen!$D$61,"  ")</f>
        <v>2300</v>
      </c>
      <c r="E16" s="627">
        <f>IF(inputOth!D16&gt;0,inputOth!D16,"  ")</f>
        <v>1.248</v>
      </c>
      <c r="F16" s="561">
        <f>IF(gen!$E$61&lt;&gt;0,gen!$E$61,"  ")</f>
        <v>2300</v>
      </c>
      <c r="G16" s="243">
        <f>IF(gen!$E$68&lt;&gt;0,gen!$E$68,"  ")</f>
        <v>1357</v>
      </c>
      <c r="H16" s="624">
        <f>IF(gen!E68&gt;0,ROUND(G16/$F$27*1000,3)," ")</f>
        <v>0.78</v>
      </c>
      <c r="J16" s="700" t="str">
        <f>CONCATENATE("Want The Mill Rate The Same As For ",I3-1,"?")</f>
        <v>Want The Mill Rate The Same As For 2012?</v>
      </c>
      <c r="K16" s="703"/>
      <c r="L16" s="703"/>
      <c r="M16" s="704"/>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1.248</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814</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t="str">
        <f>IF((inputPrYr!$B$30&gt;" "),(NonBud!$A$3),"")</f>
        <v>Non-Budgeted Funds</v>
      </c>
      <c r="B22" s="486">
        <f>IF(NonBud!K28&gt;0,NonBud!K28,"")</f>
      </c>
      <c r="C22" s="625"/>
      <c r="D22" s="623"/>
      <c r="E22" s="628"/>
      <c r="F22" s="623"/>
      <c r="G22" s="630"/>
      <c r="H22" s="625"/>
      <c r="J22" s="512"/>
      <c r="K22" s="512"/>
      <c r="L22" s="512"/>
      <c r="M22" s="512"/>
    </row>
    <row r="23" spans="1:13" ht="15.75">
      <c r="A23" s="33" t="s">
        <v>134</v>
      </c>
      <c r="B23" s="621">
        <f>SUM(B16:B22)</f>
        <v>1431</v>
      </c>
      <c r="C23" s="626">
        <f aca="true" t="shared" si="0" ref="C23:H23">SUM(C16:C21)</f>
        <v>1.071</v>
      </c>
      <c r="D23" s="621">
        <f t="shared" si="0"/>
        <v>2300</v>
      </c>
      <c r="E23" s="629">
        <f t="shared" si="0"/>
        <v>1.248</v>
      </c>
      <c r="F23" s="621">
        <f t="shared" si="0"/>
        <v>2300</v>
      </c>
      <c r="G23" s="621">
        <f t="shared" si="0"/>
        <v>1357</v>
      </c>
      <c r="H23" s="629">
        <f t="shared" si="0"/>
        <v>0.78</v>
      </c>
      <c r="J23" s="700" t="str">
        <f>CONCATENATE("Impact On Keeping The Same Mill Rate As For ",I3-1,"")</f>
        <v>Impact On Keeping The Same Mill Rate As For 2012</v>
      </c>
      <c r="K23" s="705"/>
      <c r="L23" s="705"/>
      <c r="M23" s="706"/>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1431</v>
      </c>
      <c r="C25" s="296"/>
      <c r="D25" s="129">
        <f>SUM(D23-D24)</f>
        <v>2300</v>
      </c>
      <c r="E25" s="296"/>
      <c r="F25" s="485">
        <f>SUM(F23-F24)</f>
        <v>2300</v>
      </c>
      <c r="G25" s="238"/>
      <c r="H25" s="295"/>
      <c r="J25" s="504" t="str">
        <f>CONCATENATE("",I3," Ad Valorem Tax Revenue:")</f>
        <v>2013 Ad Valorem Tax Revenue:</v>
      </c>
      <c r="K25" s="499"/>
      <c r="L25" s="499"/>
      <c r="M25" s="500">
        <f>G23</f>
        <v>1357</v>
      </c>
    </row>
    <row r="26" spans="1:13" ht="16.5" thickTop="1">
      <c r="A26" s="33" t="s">
        <v>54</v>
      </c>
      <c r="B26" s="621">
        <f>inputPrYr!E44</f>
        <v>1700</v>
      </c>
      <c r="C26" s="215"/>
      <c r="D26" s="621">
        <f>inputPrYr!E24</f>
        <v>2088</v>
      </c>
      <c r="E26" s="215"/>
      <c r="F26" s="83" t="s">
        <v>174</v>
      </c>
      <c r="G26" s="18"/>
      <c r="H26" s="18"/>
      <c r="J26" s="504" t="str">
        <f>CONCATENATE("",I3-1," Ad Valorem Tax Revenue:")</f>
        <v>2012 Ad Valorem Tax Revenue:</v>
      </c>
      <c r="K26" s="499"/>
      <c r="L26" s="499"/>
      <c r="M26" s="513">
        <f>ROUND(F27*M18/1000,0)</f>
        <v>2171</v>
      </c>
    </row>
    <row r="27" spans="1:13" ht="15.75">
      <c r="A27" s="33" t="s">
        <v>170</v>
      </c>
      <c r="B27" s="42">
        <f>inputPrYr!E45</f>
        <v>1587917</v>
      </c>
      <c r="C27" s="215"/>
      <c r="D27" s="42">
        <f>inputOth!E24</f>
        <v>1672473</v>
      </c>
      <c r="E27" s="215"/>
      <c r="F27" s="42">
        <f>inputOth!E7</f>
        <v>1739372</v>
      </c>
      <c r="G27" s="18"/>
      <c r="H27" s="18"/>
      <c r="J27" s="514" t="s">
        <v>668</v>
      </c>
      <c r="K27" s="515"/>
      <c r="L27" s="515"/>
      <c r="M27" s="503">
        <f>M25-M26</f>
        <v>-814</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700" t="s">
        <v>669</v>
      </c>
      <c r="K29" s="703"/>
      <c r="L29" s="703"/>
      <c r="M29" s="704"/>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0.78</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7" t="str">
        <f>inputBudSum!B3</f>
        <v>Ebenezer Cemetery # 20</v>
      </c>
      <c r="B40" s="664"/>
      <c r="C40" s="99"/>
      <c r="D40" s="18"/>
      <c r="E40" s="18"/>
      <c r="F40" s="18"/>
      <c r="G40" s="18"/>
      <c r="H40" s="52"/>
    </row>
    <row r="41" spans="1:8" ht="15.75">
      <c r="A41" s="698" t="str">
        <f>inputBudSum!B5</f>
        <v>Ebenezer Cemetery</v>
      </c>
      <c r="B41" s="699"/>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tabColor rgb="FFFFFF00"/>
  </sheetPr>
  <dimension ref="A1:A1"/>
  <sheetViews>
    <sheetView tabSelected="1" zoomScalePageLayoutView="0" workbookViewId="0" topLeftCell="A1">
      <selection activeCell="P30" sqref="P30"/>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G36" sqref="G3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796</v>
      </c>
      <c r="E3" s="20"/>
    </row>
    <row r="4" spans="1:5" ht="15.75">
      <c r="A4" s="19" t="s">
        <v>227</v>
      </c>
      <c r="B4" s="18"/>
      <c r="C4" s="18"/>
      <c r="D4" s="524" t="s">
        <v>785</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c r="D19" s="35">
        <v>2300</v>
      </c>
      <c r="E19" s="35">
        <v>2088</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2088</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2300</v>
      </c>
      <c r="E28" s="37"/>
    </row>
    <row r="29" spans="1:5" ht="15.75">
      <c r="A29" s="18" t="s">
        <v>244</v>
      </c>
      <c r="B29" s="18"/>
      <c r="C29" s="18"/>
      <c r="D29" s="18"/>
      <c r="E29" s="37"/>
    </row>
    <row r="30" spans="1:5" ht="15.75">
      <c r="A30" s="18">
        <v>1</v>
      </c>
      <c r="B30" s="46" t="s">
        <v>793</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1.071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1.071</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1700</v>
      </c>
    </row>
    <row r="45" spans="1:5" ht="15.75">
      <c r="A45" s="49" t="str">
        <f>CONCATENATE("Assessed Valuation (",D6-2," budget column)")</f>
        <v>Assessed Valuation (2011 budget column)</v>
      </c>
      <c r="B45" s="27"/>
      <c r="C45" s="18"/>
      <c r="D45" s="18"/>
      <c r="E45" s="51">
        <v>1587917</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Ebenezer Cemtery # 20</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2013 Neighborhood Revitalization Rebate</v>
      </c>
      <c r="C4" s="710"/>
      <c r="D4" s="710"/>
      <c r="E4" s="69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1739372</v>
      </c>
      <c r="E16" s="18"/>
      <c r="F16" s="52"/>
    </row>
    <row r="17" spans="1:6" ht="15.75">
      <c r="A17" s="18"/>
      <c r="B17" s="18"/>
      <c r="C17" s="18"/>
      <c r="D17" s="18"/>
      <c r="E17" s="18"/>
      <c r="F17" s="52"/>
    </row>
    <row r="18" spans="1:6" ht="15.75">
      <c r="A18" s="18"/>
      <c r="B18" s="711" t="s">
        <v>319</v>
      </c>
      <c r="C18" s="711"/>
      <c r="D18" s="309">
        <f>IF(D16&gt;0,(D16*0.001),"")</f>
        <v>1739.372</v>
      </c>
      <c r="E18" s="18"/>
      <c r="F18" s="52"/>
    </row>
    <row r="19" spans="1:6" ht="15.75">
      <c r="A19" s="18"/>
      <c r="B19" s="138"/>
      <c r="C19" s="138"/>
      <c r="D19" s="310"/>
      <c r="E19" s="18"/>
      <c r="F19" s="52"/>
    </row>
    <row r="20" spans="1:6" ht="15.75">
      <c r="A20" s="708" t="s">
        <v>317</v>
      </c>
      <c r="B20" s="694"/>
      <c r="C20" s="694"/>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0" t="s">
        <v>140</v>
      </c>
      <c r="C1" s="720"/>
      <c r="D1" s="720"/>
      <c r="E1" s="720"/>
      <c r="F1" s="720"/>
      <c r="G1" s="720"/>
      <c r="H1" s="720"/>
    </row>
    <row r="2" spans="2:8" ht="15.75">
      <c r="B2" s="6"/>
      <c r="C2"/>
      <c r="D2"/>
      <c r="E2"/>
      <c r="F2"/>
      <c r="G2"/>
      <c r="H2"/>
    </row>
    <row r="3" spans="2:8" ht="15.75">
      <c r="B3" s="721" t="s">
        <v>137</v>
      </c>
      <c r="C3" s="721"/>
      <c r="D3" s="721"/>
      <c r="E3" s="721"/>
      <c r="F3" s="721"/>
      <c r="G3" s="721"/>
      <c r="H3" s="721"/>
    </row>
    <row r="4" spans="2:8" ht="15.7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Ebenezer Cemtery # 20 District with respect to financing the 2013 annual budget for Ebenezer Cemtery # 20 , Dickinson County , Kansas.</v>
      </c>
      <c r="C5" s="714"/>
      <c r="D5" s="714"/>
      <c r="E5" s="714"/>
      <c r="F5" s="714"/>
      <c r="G5" s="714"/>
      <c r="H5" s="714"/>
    </row>
    <row r="6" spans="2:10" ht="15.75">
      <c r="B6" s="714"/>
      <c r="C6" s="714"/>
      <c r="D6" s="714"/>
      <c r="E6" s="714"/>
      <c r="F6" s="714"/>
      <c r="G6" s="714"/>
      <c r="H6" s="714"/>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Ebenezer Cemtery # 20 district budget exceed the amount levied to finance the</v>
      </c>
      <c r="C9"/>
      <c r="D9"/>
      <c r="E9"/>
      <c r="F9"/>
      <c r="G9"/>
      <c r="H9"/>
    </row>
    <row r="10" spans="2:8" ht="15.75">
      <c r="B10" s="12" t="str">
        <f>CONCATENATE("",inputPrYr!D6-1," ",inputPrYr!D3," except with regard to revenue produced and attributable to the")</f>
        <v>2012 Ebenezer Cemtery # 20 except with regard to revenue produced and attributable to the</v>
      </c>
      <c r="C10"/>
      <c r="D10"/>
      <c r="E10"/>
      <c r="F10"/>
      <c r="G10"/>
      <c r="H10"/>
    </row>
    <row r="11" spans="2:8" ht="15.75">
      <c r="B11" s="717" t="s">
        <v>176</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5.75">
      <c r="B15" s="1"/>
      <c r="C15" s="1"/>
      <c r="D15" s="1"/>
      <c r="E15" s="1"/>
      <c r="F15" s="1"/>
      <c r="G15" s="1"/>
      <c r="H15" s="1"/>
    </row>
    <row r="16" spans="2:8" ht="15.75">
      <c r="B16" s="715" t="s">
        <v>149</v>
      </c>
      <c r="C16" s="716"/>
      <c r="D16" s="716"/>
      <c r="E16" s="716"/>
      <c r="F16" s="716"/>
      <c r="G16" s="716"/>
      <c r="H16" s="716"/>
    </row>
    <row r="17" spans="2:8" ht="15.75">
      <c r="B17" s="716"/>
      <c r="C17" s="716"/>
      <c r="D17" s="716"/>
      <c r="E17" s="716"/>
      <c r="F17" s="716"/>
      <c r="G17" s="716"/>
      <c r="H17" s="716"/>
    </row>
    <row r="18" spans="2:8" ht="15.75">
      <c r="B18" s="12"/>
      <c r="C18"/>
      <c r="D18"/>
      <c r="E18"/>
      <c r="F18"/>
      <c r="G18"/>
      <c r="H18"/>
    </row>
    <row r="19" spans="2:8" ht="15.75">
      <c r="B19" s="12" t="str">
        <f>CONCATENATE("Whereas, ",(inputPrYr!D3)," provides essential services to district residents; and")</f>
        <v>Whereas, Ebenezer Cemtery # 20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Ebenezer Cemtery # 20 that is our desire to notify the public of the possibility of increased property taxes to finance the 2013 Ebenezer Cemtery # 20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5.75">
      <c r="B26" s="12"/>
      <c r="C26"/>
      <c r="D26"/>
      <c r="E26"/>
      <c r="F26"/>
      <c r="G26"/>
      <c r="H26"/>
    </row>
    <row r="27" spans="2:8" ht="15.75">
      <c r="B27" s="715" t="str">
        <f>CONCATENATE("Adopted this _________ day of ___________, ",inputPrYr!D6-1," by the ",(inputPrYr!D3)," District Board, ",(inputPrYr!D4),", Kansas.")</f>
        <v>Adopted this _________ day of ___________, 2012 by the Ebenezer Cemtery # 20 District Board, Dickinson County, Kansas.</v>
      </c>
      <c r="C27" s="714"/>
      <c r="D27" s="714"/>
      <c r="E27" s="714"/>
      <c r="F27" s="714"/>
      <c r="G27" s="714"/>
      <c r="H27" s="714"/>
    </row>
    <row r="28" spans="2:8" ht="15.75">
      <c r="B28" s="714"/>
      <c r="C28" s="714"/>
      <c r="D28" s="714"/>
      <c r="E28" s="714"/>
      <c r="F28" s="714"/>
      <c r="G28" s="714"/>
      <c r="H28" s="714"/>
    </row>
    <row r="29" spans="2:8" ht="15.75">
      <c r="B29" s="8"/>
      <c r="C29"/>
      <c r="D29"/>
      <c r="E29"/>
      <c r="F29"/>
      <c r="G29"/>
      <c r="H29"/>
    </row>
    <row r="30" spans="2:8" ht="15.75">
      <c r="B30" s="8"/>
      <c r="C30"/>
      <c r="D30"/>
      <c r="E30"/>
      <c r="F30"/>
      <c r="G30"/>
      <c r="H30"/>
    </row>
    <row r="31" spans="2:8" ht="15.75">
      <c r="B31" s="9" t="str">
        <f>CONCATENATE(" ",(inputPrYr!D3)," District Board")</f>
        <v> Ebenezer Cemtery # 20 District Board</v>
      </c>
      <c r="C31"/>
      <c r="D31"/>
      <c r="E31"/>
      <c r="F31"/>
      <c r="G31"/>
      <c r="H31"/>
    </row>
    <row r="32" spans="2:8" ht="15.75">
      <c r="B32" s="8"/>
      <c r="C32"/>
      <c r="D32"/>
      <c r="E32"/>
      <c r="F32"/>
      <c r="G32"/>
      <c r="H32"/>
    </row>
    <row r="33" spans="2:8" ht="15.75">
      <c r="B33"/>
      <c r="C33"/>
      <c r="D33"/>
      <c r="E33" s="719" t="s">
        <v>138</v>
      </c>
      <c r="F33" s="719"/>
      <c r="G33" s="719"/>
      <c r="H33" s="719"/>
    </row>
    <row r="34" spans="2:8" ht="15.75">
      <c r="B34"/>
      <c r="C34"/>
      <c r="D34"/>
      <c r="E34" s="719" t="s">
        <v>141</v>
      </c>
      <c r="F34" s="719"/>
      <c r="G34" s="719"/>
      <c r="H34" s="719"/>
    </row>
    <row r="35" spans="2:8" ht="15.75">
      <c r="B35" s="8"/>
      <c r="C35"/>
      <c r="D35"/>
      <c r="E35" s="719"/>
      <c r="F35" s="719"/>
      <c r="G35" s="719"/>
      <c r="H35" s="719"/>
    </row>
    <row r="36" spans="2:8" ht="15.75">
      <c r="B36"/>
      <c r="C36"/>
      <c r="D36"/>
      <c r="E36" s="719" t="s">
        <v>138</v>
      </c>
      <c r="F36" s="719"/>
      <c r="G36" s="719"/>
      <c r="H36" s="719"/>
    </row>
    <row r="37" spans="2:8" ht="15.75">
      <c r="B37"/>
      <c r="C37"/>
      <c r="D37"/>
      <c r="E37" s="719" t="s">
        <v>142</v>
      </c>
      <c r="F37" s="719"/>
      <c r="G37" s="719"/>
      <c r="H37" s="719"/>
    </row>
    <row r="38" spans="2:8" ht="15.75">
      <c r="B38" s="8"/>
      <c r="C38"/>
      <c r="D38"/>
      <c r="E38" s="719"/>
      <c r="F38" s="719"/>
      <c r="G38" s="719"/>
      <c r="H38" s="719"/>
    </row>
    <row r="39" spans="2:8" ht="15.75">
      <c r="B39"/>
      <c r="C39"/>
      <c r="D39"/>
      <c r="E39" s="719" t="s">
        <v>138</v>
      </c>
      <c r="F39" s="719"/>
      <c r="G39" s="719"/>
      <c r="H39" s="719"/>
    </row>
    <row r="40" spans="2:8" ht="15.75">
      <c r="B40"/>
      <c r="C40"/>
      <c r="D40"/>
      <c r="E40" s="719" t="s">
        <v>143</v>
      </c>
      <c r="F40" s="719"/>
      <c r="G40" s="719"/>
      <c r="H40" s="71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567</v>
      </c>
      <c r="C6" s="724"/>
      <c r="D6" s="724"/>
      <c r="E6" s="724"/>
      <c r="F6" s="724"/>
      <c r="G6" s="724"/>
      <c r="H6" s="724"/>
      <c r="I6" s="724"/>
      <c r="J6" s="724"/>
      <c r="K6" s="724"/>
      <c r="L6" s="397"/>
    </row>
    <row r="7" spans="1:12" ht="40.5" customHeight="1">
      <c r="A7" s="394"/>
      <c r="B7" s="725" t="s">
        <v>568</v>
      </c>
      <c r="C7" s="726"/>
      <c r="D7" s="726"/>
      <c r="E7" s="726"/>
      <c r="F7" s="726"/>
      <c r="G7" s="726"/>
      <c r="H7" s="726"/>
      <c r="I7" s="726"/>
      <c r="J7" s="726"/>
      <c r="K7" s="726"/>
      <c r="L7" s="394"/>
    </row>
    <row r="8" spans="1:12" ht="14.25">
      <c r="A8" s="394"/>
      <c r="B8" s="727" t="s">
        <v>569</v>
      </c>
      <c r="C8" s="727"/>
      <c r="D8" s="727"/>
      <c r="E8" s="727"/>
      <c r="F8" s="727"/>
      <c r="G8" s="727"/>
      <c r="H8" s="727"/>
      <c r="I8" s="727"/>
      <c r="J8" s="727"/>
      <c r="K8" s="727"/>
      <c r="L8" s="394"/>
    </row>
    <row r="9" spans="1:12" ht="14.25">
      <c r="A9" s="394"/>
      <c r="L9" s="394"/>
    </row>
    <row r="10" spans="1:12" ht="14.25">
      <c r="A10" s="394"/>
      <c r="B10" s="727" t="s">
        <v>570</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571</v>
      </c>
      <c r="C12" s="728"/>
      <c r="D12" s="728"/>
      <c r="E12" s="728"/>
      <c r="F12" s="728"/>
      <c r="G12" s="728"/>
      <c r="H12" s="728"/>
      <c r="I12" s="728"/>
      <c r="J12" s="728"/>
      <c r="K12" s="728"/>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29">
        <v>312000000</v>
      </c>
      <c r="G23" s="729"/>
      <c r="L23" s="394"/>
    </row>
    <row r="24" spans="1:12" ht="14.25">
      <c r="A24" s="394"/>
      <c r="L24" s="394"/>
    </row>
    <row r="25" spans="1:12" ht="14.25">
      <c r="A25" s="394"/>
      <c r="C25" s="730">
        <f>F23</f>
        <v>312000000</v>
      </c>
      <c r="D25" s="73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568</v>
      </c>
      <c r="C30" s="731"/>
      <c r="D30" s="731"/>
      <c r="E30" s="731"/>
      <c r="F30" s="731"/>
      <c r="G30" s="731"/>
      <c r="H30" s="731"/>
      <c r="I30" s="731"/>
      <c r="J30" s="731"/>
      <c r="K30" s="731"/>
      <c r="L30" s="394"/>
    </row>
    <row r="31" spans="1:12" ht="14.25">
      <c r="A31" s="394"/>
      <c r="B31" s="727" t="s">
        <v>580</v>
      </c>
      <c r="C31" s="727"/>
      <c r="D31" s="727"/>
      <c r="E31" s="727"/>
      <c r="F31" s="727"/>
      <c r="G31" s="727"/>
      <c r="H31" s="727"/>
      <c r="I31" s="727"/>
      <c r="J31" s="727"/>
      <c r="K31" s="727"/>
      <c r="L31" s="394"/>
    </row>
    <row r="32" spans="1:12" ht="14.25">
      <c r="A32" s="394"/>
      <c r="L32" s="394"/>
    </row>
    <row r="33" spans="1:12" ht="14.25">
      <c r="A33" s="394"/>
      <c r="B33" s="727" t="s">
        <v>581</v>
      </c>
      <c r="C33" s="727"/>
      <c r="D33" s="727"/>
      <c r="E33" s="727"/>
      <c r="F33" s="727"/>
      <c r="G33" s="727"/>
      <c r="H33" s="727"/>
      <c r="I33" s="727"/>
      <c r="J33" s="727"/>
      <c r="K33" s="727"/>
      <c r="L33" s="394"/>
    </row>
    <row r="34" spans="1:12" ht="14.25">
      <c r="A34" s="394"/>
      <c r="L34" s="394"/>
    </row>
    <row r="35" spans="1:12" ht="89.25" customHeight="1">
      <c r="A35" s="394"/>
      <c r="B35" s="728" t="s">
        <v>582</v>
      </c>
      <c r="C35" s="732"/>
      <c r="D35" s="732"/>
      <c r="E35" s="732"/>
      <c r="F35" s="732"/>
      <c r="G35" s="732"/>
      <c r="H35" s="732"/>
      <c r="I35" s="732"/>
      <c r="J35" s="732"/>
      <c r="K35" s="732"/>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33">
        <v>312000000</v>
      </c>
      <c r="D41" s="733"/>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34">
        <v>312000000</v>
      </c>
      <c r="C48" s="729"/>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35" t="s">
        <v>590</v>
      </c>
      <c r="H50" s="736"/>
      <c r="I50" s="529" t="s">
        <v>576</v>
      </c>
      <c r="J50" s="414">
        <f>B50/F50</f>
        <v>0.16025641025641027</v>
      </c>
      <c r="K50" s="406"/>
      <c r="L50" s="394"/>
    </row>
    <row r="51" spans="1:15" ht="15" thickBot="1">
      <c r="A51" s="394"/>
      <c r="B51" s="407"/>
      <c r="C51" s="408"/>
      <c r="D51" s="408"/>
      <c r="E51" s="408"/>
      <c r="F51" s="408"/>
      <c r="G51" s="408"/>
      <c r="H51" s="408"/>
      <c r="I51" s="737" t="s">
        <v>591</v>
      </c>
      <c r="J51" s="737"/>
      <c r="K51" s="738"/>
      <c r="L51" s="394"/>
      <c r="O51" s="415"/>
    </row>
    <row r="52" spans="1:12" ht="40.5" customHeight="1">
      <c r="A52" s="394"/>
      <c r="B52" s="731" t="s">
        <v>568</v>
      </c>
      <c r="C52" s="731"/>
      <c r="D52" s="731"/>
      <c r="E52" s="731"/>
      <c r="F52" s="731"/>
      <c r="G52" s="731"/>
      <c r="H52" s="731"/>
      <c r="I52" s="731"/>
      <c r="J52" s="731"/>
      <c r="K52" s="731"/>
      <c r="L52" s="394"/>
    </row>
    <row r="53" spans="1:12" ht="14.25">
      <c r="A53" s="394"/>
      <c r="B53" s="727" t="s">
        <v>592</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593</v>
      </c>
      <c r="C55" s="723"/>
      <c r="D55" s="723"/>
      <c r="E55" s="723"/>
      <c r="F55" s="723"/>
      <c r="G55" s="723"/>
      <c r="H55" s="723"/>
      <c r="I55" s="723"/>
      <c r="J55" s="723"/>
      <c r="K55" s="723"/>
      <c r="L55" s="394"/>
    </row>
    <row r="56" spans="1:12" ht="15" customHeight="1">
      <c r="A56" s="394"/>
      <c r="L56" s="394"/>
    </row>
    <row r="57" spans="1:24" ht="74.25" customHeight="1">
      <c r="A57" s="394"/>
      <c r="B57" s="728" t="s">
        <v>594</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29">
        <v>312000000</v>
      </c>
      <c r="D74" s="729"/>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29">
        <v>50000</v>
      </c>
      <c r="D77" s="729"/>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29">
        <v>100000</v>
      </c>
      <c r="D80" s="729"/>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9">
        <f>H80</f>
        <v>11500</v>
      </c>
      <c r="D83" s="739"/>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568</v>
      </c>
      <c r="C85" s="731"/>
      <c r="D85" s="731"/>
      <c r="E85" s="731"/>
      <c r="F85" s="731"/>
      <c r="G85" s="731"/>
      <c r="H85" s="731"/>
      <c r="I85" s="731"/>
      <c r="J85" s="731"/>
      <c r="K85" s="731"/>
      <c r="L85" s="394"/>
    </row>
    <row r="86" spans="1:12" ht="14.25">
      <c r="A86" s="394"/>
      <c r="B86" s="723" t="s">
        <v>610</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611</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612</v>
      </c>
      <c r="C90" s="728"/>
      <c r="D90" s="728"/>
      <c r="E90" s="728"/>
      <c r="F90" s="728"/>
      <c r="G90" s="728"/>
      <c r="H90" s="728"/>
      <c r="I90" s="728"/>
      <c r="J90" s="728"/>
      <c r="K90" s="728"/>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29">
        <v>312000000</v>
      </c>
      <c r="D94" s="729"/>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29">
        <v>50000</v>
      </c>
      <c r="D97" s="729"/>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29">
        <v>2500000</v>
      </c>
      <c r="D100" s="729"/>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9">
        <f>H100</f>
        <v>750000</v>
      </c>
      <c r="D103" s="739"/>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568</v>
      </c>
      <c r="C105" s="740"/>
      <c r="D105" s="740"/>
      <c r="E105" s="740"/>
      <c r="F105" s="740"/>
      <c r="G105" s="740"/>
      <c r="H105" s="740"/>
      <c r="I105" s="740"/>
      <c r="J105" s="740"/>
      <c r="K105" s="740"/>
      <c r="L105" s="394"/>
    </row>
    <row r="106" spans="1:12" ht="15" customHeight="1">
      <c r="A106" s="394"/>
      <c r="B106" s="741" t="s">
        <v>614</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616</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29">
        <v>312000000</v>
      </c>
      <c r="D114" s="729"/>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29">
        <v>50000</v>
      </c>
      <c r="D117" s="729"/>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29">
        <v>2500000</v>
      </c>
      <c r="D120" s="729"/>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9">
        <f>H120</f>
        <v>625000</v>
      </c>
      <c r="D123" s="739"/>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568</v>
      </c>
      <c r="C125" s="731"/>
      <c r="D125" s="731"/>
      <c r="E125" s="731"/>
      <c r="F125" s="731"/>
      <c r="G125" s="731"/>
      <c r="H125" s="731"/>
      <c r="I125" s="731"/>
      <c r="J125" s="731"/>
      <c r="K125" s="731"/>
      <c r="L125" s="440"/>
    </row>
    <row r="126" spans="1:12" ht="14.25">
      <c r="A126" s="394"/>
      <c r="B126" s="723" t="s">
        <v>617</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618</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619</v>
      </c>
      <c r="C130" s="728"/>
      <c r="D130" s="728"/>
      <c r="E130" s="728"/>
      <c r="F130" s="728"/>
      <c r="G130" s="728"/>
      <c r="H130" s="728"/>
      <c r="I130" s="728"/>
      <c r="J130" s="728"/>
      <c r="K130" s="728"/>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44" t="s">
        <v>620</v>
      </c>
      <c r="D133" s="744"/>
      <c r="E133" s="404"/>
      <c r="F133" s="529" t="s">
        <v>621</v>
      </c>
      <c r="G133" s="404"/>
      <c r="H133" s="744" t="s">
        <v>606</v>
      </c>
      <c r="I133" s="744"/>
      <c r="J133" s="404"/>
      <c r="K133" s="406"/>
      <c r="L133" s="394"/>
    </row>
    <row r="134" spans="1:12" ht="14.25">
      <c r="A134" s="394"/>
      <c r="B134" s="412" t="s">
        <v>599</v>
      </c>
      <c r="C134" s="729">
        <v>100000</v>
      </c>
      <c r="D134" s="729"/>
      <c r="E134" s="529" t="s">
        <v>28</v>
      </c>
      <c r="F134" s="529">
        <v>0.115</v>
      </c>
      <c r="G134" s="529" t="s">
        <v>576</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6" t="s">
        <v>606</v>
      </c>
      <c r="D136" s="746"/>
      <c r="E136" s="422"/>
      <c r="F136" s="525" t="s">
        <v>622</v>
      </c>
      <c r="G136" s="525"/>
      <c r="H136" s="422"/>
      <c r="I136" s="422"/>
      <c r="J136" s="422" t="s">
        <v>623</v>
      </c>
      <c r="K136" s="423"/>
      <c r="L136" s="394"/>
    </row>
    <row r="137" spans="1:12" ht="14.25">
      <c r="A137" s="394"/>
      <c r="B137" s="412" t="s">
        <v>602</v>
      </c>
      <c r="C137" s="745">
        <f>H134</f>
        <v>11500</v>
      </c>
      <c r="D137" s="745"/>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7" t="s">
        <v>626</v>
      </c>
      <c r="C144" s="748"/>
      <c r="D144" s="748"/>
      <c r="E144" s="748"/>
      <c r="F144" s="748"/>
      <c r="G144" s="748"/>
      <c r="H144" s="748"/>
      <c r="I144" s="748"/>
      <c r="J144" s="748"/>
      <c r="K144" s="749"/>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45" t="s">
        <v>627</v>
      </c>
      <c r="D147" s="745"/>
      <c r="E147" s="529"/>
      <c r="F147" s="458" t="s">
        <v>628</v>
      </c>
      <c r="G147" s="529"/>
      <c r="H147" s="529"/>
      <c r="I147" s="529"/>
      <c r="J147" s="750" t="s">
        <v>629</v>
      </c>
      <c r="K147" s="751"/>
      <c r="L147" s="394"/>
    </row>
    <row r="148" spans="1:12" ht="14.25">
      <c r="A148" s="394"/>
      <c r="B148" s="412"/>
      <c r="C148" s="752">
        <v>52.869</v>
      </c>
      <c r="D148" s="752"/>
      <c r="E148" s="529" t="s">
        <v>28</v>
      </c>
      <c r="F148" s="530">
        <v>312000000</v>
      </c>
      <c r="G148" s="463" t="s">
        <v>577</v>
      </c>
      <c r="H148" s="529">
        <v>1000</v>
      </c>
      <c r="I148" s="529" t="s">
        <v>576</v>
      </c>
      <c r="J148" s="750">
        <f>C148*(F148/1000)</f>
        <v>16495128</v>
      </c>
      <c r="K148" s="75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D17" sqref="D17"/>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Ebenezer Cemtery # 20</v>
      </c>
      <c r="B1" s="60"/>
      <c r="C1" s="60"/>
      <c r="D1" s="60"/>
      <c r="E1" s="60">
        <f>inputPrYr!D6</f>
        <v>2013</v>
      </c>
    </row>
    <row r="2" spans="1:5" ht="15.75">
      <c r="A2" s="60" t="str">
        <f>inputPrYr!D4</f>
        <v>Dickinson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1739372</v>
      </c>
    </row>
    <row r="8" spans="1:5" ht="15.75">
      <c r="A8" s="66" t="str">
        <f>CONCATENATE("New Improvements for ",inputPrYr!D6-1,"")</f>
        <v>New Improvements for 2012</v>
      </c>
      <c r="B8" s="67"/>
      <c r="C8" s="67"/>
      <c r="D8" s="67"/>
      <c r="E8" s="68">
        <v>3636</v>
      </c>
    </row>
    <row r="9" spans="1:5" ht="15.75">
      <c r="A9" s="66" t="str">
        <f>CONCATENATE("Personal Property excluding oil, gas, and mobile homes- ",inputPrYr!D6-1,"")</f>
        <v>Personal Property excluding oil, gas, and mobile homes- 2012</v>
      </c>
      <c r="B9" s="67"/>
      <c r="C9" s="67"/>
      <c r="D9" s="67"/>
      <c r="E9" s="68"/>
    </row>
    <row r="10" spans="1:5" ht="15.75">
      <c r="A10" s="66" t="str">
        <f>CONCATENATE("Property that has changed in use for ",inputPrYr!D6-1,"")</f>
        <v>Property that has changed in use for 2012</v>
      </c>
      <c r="B10" s="67"/>
      <c r="C10" s="67"/>
      <c r="D10" s="67"/>
      <c r="E10" s="68"/>
    </row>
    <row r="11" spans="1:5" ht="15.75">
      <c r="A11" s="65" t="str">
        <f>CONCATENATE("Personal Property excluding oil, gas, and mobile homes- ",inputPrYr!D6-2,"")</f>
        <v>Personal Property excluding oil, gas, and mobile homes- 2011</v>
      </c>
      <c r="B11" s="40"/>
      <c r="C11" s="40"/>
      <c r="D11" s="40"/>
      <c r="E11" s="68"/>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1.248</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1.248</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1672473</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208</v>
      </c>
    </row>
    <row r="28" spans="1:5" ht="15.75">
      <c r="A28" s="66" t="s">
        <v>15</v>
      </c>
      <c r="B28" s="67"/>
      <c r="C28" s="67"/>
      <c r="D28" s="84"/>
      <c r="E28" s="35">
        <v>4</v>
      </c>
    </row>
    <row r="29" spans="1:5" ht="15.75">
      <c r="A29" s="66" t="s">
        <v>171</v>
      </c>
      <c r="B29" s="67"/>
      <c r="C29" s="67"/>
      <c r="D29" s="84"/>
      <c r="E29" s="35">
        <v>19</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2300</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799</v>
      </c>
      <c r="C3" s="539"/>
      <c r="J3" s="540" t="s">
        <v>714</v>
      </c>
    </row>
    <row r="4" spans="1:10" ht="15.75">
      <c r="A4" s="340"/>
      <c r="B4" s="340"/>
      <c r="C4" s="340"/>
      <c r="D4" s="341"/>
      <c r="E4" s="340"/>
      <c r="F4" s="340"/>
      <c r="J4" s="540" t="s">
        <v>715</v>
      </c>
    </row>
    <row r="5" spans="1:10" ht="15.75">
      <c r="A5" s="538" t="s">
        <v>711</v>
      </c>
      <c r="B5" s="539" t="s">
        <v>797</v>
      </c>
      <c r="C5" s="340"/>
      <c r="D5" s="341"/>
      <c r="E5" s="340"/>
      <c r="F5" s="340"/>
      <c r="J5" s="540" t="s">
        <v>716</v>
      </c>
    </row>
    <row r="6" spans="1:10" ht="15.75">
      <c r="A6" s="340"/>
      <c r="B6" s="340"/>
      <c r="C6" s="340"/>
      <c r="D6" s="341"/>
      <c r="E6" s="340"/>
      <c r="F6" s="340"/>
      <c r="J6" s="540" t="s">
        <v>717</v>
      </c>
    </row>
    <row r="7" spans="1:10" ht="15.75">
      <c r="A7" s="342" t="s">
        <v>321</v>
      </c>
      <c r="B7" s="343" t="s">
        <v>800</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July 27, 2012</v>
      </c>
      <c r="E8" s="340"/>
      <c r="F8" s="340"/>
      <c r="J8" s="540" t="s">
        <v>719</v>
      </c>
    </row>
    <row r="9" spans="1:10" ht="15.75">
      <c r="A9" s="342" t="s">
        <v>322</v>
      </c>
      <c r="B9" s="343" t="s">
        <v>801</v>
      </c>
      <c r="C9" s="347"/>
      <c r="D9" s="342"/>
      <c r="E9" s="340"/>
      <c r="F9" s="340"/>
      <c r="J9" s="540" t="s">
        <v>720</v>
      </c>
    </row>
    <row r="10" spans="1:10" ht="15.75">
      <c r="A10" s="342"/>
      <c r="B10" s="342"/>
      <c r="C10" s="342"/>
      <c r="D10" s="342"/>
      <c r="E10" s="340"/>
      <c r="F10" s="340"/>
      <c r="J10" s="540" t="s">
        <v>721</v>
      </c>
    </row>
    <row r="11" spans="1:10" ht="15.75">
      <c r="A11" s="342" t="s">
        <v>323</v>
      </c>
      <c r="B11" s="348" t="s">
        <v>798</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802</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July</v>
      </c>
    </row>
    <row r="19" spans="1:7" ht="15.75">
      <c r="A19" s="342" t="s">
        <v>321</v>
      </c>
      <c r="B19" s="345" t="s">
        <v>326</v>
      </c>
      <c r="C19" s="342"/>
      <c r="D19" s="342"/>
      <c r="E19" s="342"/>
      <c r="G19" s="542" t="str">
        <f>IF(B7="","",CONCATENATE("J",G21))</f>
        <v>J7</v>
      </c>
    </row>
    <row r="20" spans="1:7" ht="15.75">
      <c r="A20" s="342"/>
      <c r="B20" s="342"/>
      <c r="C20" s="342"/>
      <c r="D20" s="342"/>
      <c r="E20" s="342"/>
      <c r="G20" s="543">
        <f>B7-10</f>
        <v>41117</v>
      </c>
    </row>
    <row r="21" spans="1:7" ht="15.75">
      <c r="A21" s="342" t="s">
        <v>322</v>
      </c>
      <c r="B21" s="342" t="s">
        <v>327</v>
      </c>
      <c r="C21" s="342"/>
      <c r="D21" s="342"/>
      <c r="E21" s="342"/>
      <c r="G21" s="544">
        <f>IF(B7="","",MONTH(G20))</f>
        <v>7</v>
      </c>
    </row>
    <row r="22" spans="1:7" ht="15.75">
      <c r="A22" s="342"/>
      <c r="B22" s="342"/>
      <c r="C22" s="342"/>
      <c r="D22" s="342"/>
      <c r="E22" s="342"/>
      <c r="G22" s="545">
        <f>IF(B7="","",DAY(G20))</f>
        <v>27</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25">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79</v>
      </c>
      <c r="B2" s="655"/>
      <c r="C2" s="655"/>
      <c r="D2" s="655"/>
      <c r="E2" s="655"/>
      <c r="F2" s="655"/>
      <c r="G2" s="655"/>
    </row>
    <row r="3" spans="1:7" ht="15.75">
      <c r="A3" s="18"/>
      <c r="B3" s="18"/>
      <c r="C3" s="18"/>
      <c r="D3" s="18"/>
      <c r="E3" s="18"/>
      <c r="F3" s="18"/>
      <c r="G3" s="60">
        <f>inputPrYr!D6</f>
        <v>2013</v>
      </c>
    </row>
    <row r="4" spans="1:7" ht="15.75">
      <c r="A4" s="656" t="str">
        <f>CONCATENATE("To the Clerk of ",inputPrYr!D4,", State of Kansas")</f>
        <v>To the Clerk of Dickinson County, State of Kansas</v>
      </c>
      <c r="B4" s="656"/>
      <c r="C4" s="656"/>
      <c r="D4" s="656"/>
      <c r="E4" s="656"/>
      <c r="F4" s="656"/>
      <c r="G4" s="656"/>
    </row>
    <row r="5" spans="1:7" ht="15.75">
      <c r="A5" s="97" t="s">
        <v>156</v>
      </c>
      <c r="B5" s="24"/>
      <c r="C5" s="24"/>
      <c r="D5" s="24"/>
      <c r="E5" s="24"/>
      <c r="F5" s="24"/>
      <c r="G5" s="24"/>
    </row>
    <row r="6" spans="1:7" ht="15.75">
      <c r="A6" s="638" t="str">
        <f>inputPrYr!D3</f>
        <v>Ebenezer Cemtery # 20</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2013 Adopted Budget</v>
      </c>
      <c r="F13" s="658"/>
      <c r="G13" s="659"/>
    </row>
    <row r="14" spans="1:8" ht="15.75">
      <c r="A14" s="17"/>
      <c r="B14" s="18"/>
      <c r="C14" s="18"/>
      <c r="D14" s="40"/>
      <c r="E14" s="101" t="s">
        <v>18</v>
      </c>
      <c r="F14" s="102"/>
      <c r="G14" s="103" t="s">
        <v>19</v>
      </c>
      <c r="H14" s="104"/>
    </row>
    <row r="15" spans="1:7" ht="15.75">
      <c r="A15" s="18"/>
      <c r="B15" s="18"/>
      <c r="C15" s="18"/>
      <c r="D15" s="102" t="s">
        <v>20</v>
      </c>
      <c r="E15" s="105" t="s">
        <v>213</v>
      </c>
      <c r="F15" s="660" t="str">
        <f>CONCATENATE("Amount of ",G3-1," Ad Valorem Tax")</f>
        <v>Amount of 2012 Ad Valorem Tax</v>
      </c>
      <c r="G15" s="103" t="s">
        <v>21</v>
      </c>
    </row>
    <row r="16" spans="1:7" ht="15.75">
      <c r="A16" s="17" t="s">
        <v>22</v>
      </c>
      <c r="B16" s="18"/>
      <c r="C16" s="18"/>
      <c r="D16" s="105" t="s">
        <v>23</v>
      </c>
      <c r="E16" s="105" t="s">
        <v>561</v>
      </c>
      <c r="F16" s="660"/>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f>IF(gen!$E$61&lt;&gt;0,gen!$E$61,"  ")</f>
        <v>2300</v>
      </c>
      <c r="F23" s="559">
        <f>IF(gen!$E$68&lt;&gt;0,gen!$E$68,"  ")</f>
        <v>1357</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c>
      <c r="E29" s="562"/>
      <c r="F29" s="563"/>
      <c r="G29" s="564"/>
    </row>
    <row r="30" spans="1:7" ht="15.75">
      <c r="A30" s="127" t="s">
        <v>134</v>
      </c>
      <c r="B30" s="67"/>
      <c r="C30" s="116"/>
      <c r="D30" s="128" t="s">
        <v>28</v>
      </c>
      <c r="E30" s="565">
        <f>SUM(E23:E28)</f>
        <v>2300</v>
      </c>
      <c r="F30" s="566">
        <f>SUM(F23:F28)</f>
        <v>1357</v>
      </c>
      <c r="G30" s="567">
        <f>IF(SUM(G23:G28)=0,"",SUM(G23:G28))</f>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1" t="str">
        <f>CONCATENATE("Nov. 1, ",G3," Total Assessed Valuation")</f>
        <v>Nov. 1, 2013 Total Assessed Valuation</v>
      </c>
    </row>
    <row r="34" spans="1:7" ht="15.75">
      <c r="A34" s="20"/>
      <c r="B34" s="69"/>
      <c r="C34" s="18"/>
      <c r="D34" s="137"/>
      <c r="E34" s="60"/>
      <c r="F34" s="69"/>
      <c r="G34" s="662"/>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3"/>
      <c r="B49" s="664"/>
      <c r="C49" s="18"/>
      <c r="D49" s="69" t="s">
        <v>730</v>
      </c>
      <c r="E49" s="69"/>
      <c r="F49" s="69"/>
      <c r="G49" s="69"/>
    </row>
    <row r="50" spans="1:7" ht="15.75">
      <c r="A50" s="24" t="s">
        <v>30</v>
      </c>
      <c r="B50" s="24"/>
      <c r="C50" s="18"/>
      <c r="D50" s="665" t="s">
        <v>29</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600" verticalDpi="60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Ebenezer Cemtery # 20</v>
      </c>
      <c r="D1" s="18"/>
      <c r="E1" s="18"/>
      <c r="F1" s="18"/>
      <c r="G1" s="18"/>
      <c r="H1" s="18"/>
      <c r="I1" s="18"/>
      <c r="J1" s="18">
        <f>inputPrYr!D6</f>
        <v>2013</v>
      </c>
    </row>
    <row r="2" spans="1:10" ht="15.75" customHeight="1">
      <c r="A2" s="18"/>
      <c r="B2" s="18"/>
      <c r="C2" s="18" t="str">
        <f>inputPrYr!D4</f>
        <v>Dickinson County</v>
      </c>
      <c r="D2" s="18"/>
      <c r="E2" s="18"/>
      <c r="F2" s="18"/>
      <c r="G2" s="18"/>
      <c r="H2" s="18"/>
      <c r="I2" s="18"/>
      <c r="J2" s="18"/>
    </row>
    <row r="3" spans="1:10" ht="15.75">
      <c r="A3" s="640" t="str">
        <f>CONCATENATE("Computation to Determine Limit for ",J1,"")</f>
        <v>Computation to Determine Limit for 2013</v>
      </c>
      <c r="B3" s="655"/>
      <c r="C3" s="655"/>
      <c r="D3" s="655"/>
      <c r="E3" s="655"/>
      <c r="F3" s="655"/>
      <c r="G3" s="655"/>
      <c r="H3" s="655"/>
      <c r="I3" s="655"/>
      <c r="J3" s="655"/>
    </row>
    <row r="4" spans="1:10" ht="15.75">
      <c r="A4" s="18"/>
      <c r="B4" s="18"/>
      <c r="C4" s="18"/>
      <c r="D4" s="18"/>
      <c r="E4" s="655"/>
      <c r="F4" s="655"/>
      <c r="G4" s="655"/>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2088</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2088</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3636</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0</v>
      </c>
      <c r="F14" s="146"/>
      <c r="G14" s="37"/>
      <c r="H14" s="37"/>
      <c r="I14" s="149"/>
      <c r="J14" s="37"/>
    </row>
    <row r="15" spans="1:10" ht="15.75">
      <c r="A15" s="145"/>
      <c r="B15" s="18" t="s">
        <v>99</v>
      </c>
      <c r="C15" s="18" t="str">
        <f>CONCATENATE("Personal Property ",J1-2,"")</f>
        <v>Personal Property 2011</v>
      </c>
      <c r="D15" s="145" t="s">
        <v>95</v>
      </c>
      <c r="E15" s="41">
        <f>inputOth!E11</f>
        <v>0</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3636</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1739372</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1735736</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0.0020947886084058866</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4</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2092</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2092</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Ebenezer Cemtery # 20</v>
      </c>
      <c r="C1" s="18"/>
      <c r="D1" s="18"/>
      <c r="E1" s="18"/>
      <c r="F1" s="18"/>
      <c r="G1" s="18"/>
      <c r="H1" s="18"/>
      <c r="I1" s="155"/>
      <c r="J1" s="18"/>
    </row>
    <row r="2" spans="1:10" ht="15.75">
      <c r="A2" s="18"/>
      <c r="B2" s="18" t="str">
        <f>inputPrYr!D4</f>
        <v>Dickinson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7"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2088</v>
      </c>
      <c r="D11" s="123">
        <f>IF(E17=0,0,E17-D12-D13-D14)</f>
        <v>208</v>
      </c>
      <c r="E11" s="123">
        <f>IF(E19=0,0,E19-E12-E13-E14)</f>
        <v>4</v>
      </c>
      <c r="F11" s="123">
        <f>IF(E21=0,0,E21-F12-F13-F14)</f>
        <v>19</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2088</v>
      </c>
      <c r="D15" s="130">
        <f>SUM(D11:D14)</f>
        <v>208</v>
      </c>
      <c r="E15" s="130">
        <f>SUM(E11:E14)</f>
        <v>4</v>
      </c>
      <c r="F15" s="203">
        <f>SUM(F11:F14)</f>
        <v>19</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208</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4</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19</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0.09961685823754789</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0.0019157088122605363</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0.009099616858237548</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600" verticalDpi="60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Ebenezer Cemtery # 20</v>
      </c>
      <c r="B2" s="165"/>
      <c r="C2" s="18"/>
      <c r="D2" s="18"/>
      <c r="E2" s="155"/>
      <c r="F2" s="18"/>
    </row>
    <row r="3" spans="1:6" ht="15.75">
      <c r="A3" s="165" t="str">
        <f>inputPrYr!D4</f>
        <v>Dickinson County</v>
      </c>
      <c r="B3" s="165"/>
      <c r="C3" s="18"/>
      <c r="D3" s="18"/>
      <c r="E3" s="155"/>
      <c r="F3" s="18"/>
    </row>
    <row r="4" spans="1:6" ht="15.75">
      <c r="A4" s="156"/>
      <c r="B4" s="18"/>
      <c r="C4" s="18"/>
      <c r="D4" s="18"/>
      <c r="E4" s="155"/>
      <c r="F4" s="18"/>
    </row>
    <row r="5" spans="1:6" ht="15" customHeight="1">
      <c r="A5" s="655" t="s">
        <v>145</v>
      </c>
      <c r="B5" s="655"/>
      <c r="C5" s="655"/>
      <c r="D5" s="655"/>
      <c r="E5" s="655"/>
      <c r="F5" s="655"/>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2012-05-30T15:32:34Z</cp:lastPrinted>
  <dcterms:created xsi:type="dcterms:W3CDTF">1999-08-06T13:59:57Z</dcterms:created>
  <dcterms:modified xsi:type="dcterms:W3CDTF">2012-12-03T20:41:22Z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