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20">'debtservice'!$B$1:$F$62</definedName>
    <definedName name="_xlnm.Print_Area" localSheetId="10">'gen'!$B$1:$F$50</definedName>
    <definedName name="_xlnm.Print_Area" localSheetId="1">'inputPrYr'!$A$1:$E$62</definedName>
    <definedName name="_xlnm.Print_Area" localSheetId="21">'levypage8'!$A$1:$E$86</definedName>
    <definedName name="_xlnm.Print_Area" localSheetId="11">'summ'!$A$1:$I$28</definedName>
  </definedNames>
  <calcPr fullCalcOnLoad="1"/>
</workbook>
</file>

<file path=xl/sharedStrings.xml><?xml version="1.0" encoding="utf-8"?>
<sst xmlns="http://schemas.openxmlformats.org/spreadsheetml/2006/main" count="1196" uniqueCount="811">
  <si>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</si>
  <si>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</si>
  <si>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</si>
  <si>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</si>
  <si>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</si>
  <si>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</si>
  <si>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</si>
  <si>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</si>
  <si>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</si>
  <si>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</si>
  <si>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</si>
  <si>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</si>
  <si>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</si>
  <si>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</si>
  <si>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</si>
  <si>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</si>
  <si>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</si>
  <si>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</si>
  <si>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</si>
  <si>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</si>
  <si>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</si>
  <si>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</si>
  <si>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</si>
  <si>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</si>
  <si>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</si>
  <si>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</si>
  <si>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</si>
  <si>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</si>
  <si>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</si>
  <si>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</si>
  <si>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</si>
  <si>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</si>
  <si>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</si>
  <si>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</si>
  <si>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</si>
  <si>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</si>
  <si>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</si>
  <si>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</si>
  <si>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</si>
  <si>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</si>
  <si>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</si>
  <si>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</si>
  <si>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</si>
  <si>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</si>
  <si>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</si>
  <si>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</si>
  <si>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</si>
  <si>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</si>
  <si>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</si>
  <si>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</si>
  <si>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</si>
  <si>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</si>
  <si>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</si>
  <si>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</si>
  <si>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</si>
  <si>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</si>
  <si>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</si>
  <si>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</si>
  <si>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</si>
  <si>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</si>
  <si>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</si>
  <si>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</si>
  <si>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</si>
  <si>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</si>
  <si>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</si>
  <si>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</si>
  <si>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</si>
  <si>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</si>
  <si>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</si>
  <si>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</si>
  <si>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</si>
  <si>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</si>
  <si>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</si>
  <si>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</si>
  <si>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</si>
  <si>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</si>
  <si>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</si>
  <si>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</si>
  <si>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</si>
  <si>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</si>
  <si>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</si>
  <si>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</si>
  <si>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</si>
  <si>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</si>
  <si>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</si>
  <si>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</si>
  <si>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</si>
  <si>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</si>
  <si>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</si>
  <si>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</si>
  <si>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</si>
  <si>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</si>
  <si>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</si>
  <si>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</si>
  <si>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</si>
  <si>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</si>
  <si>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</si>
  <si>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</si>
  <si>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</si>
  <si>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</si>
  <si>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</si>
  <si>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</si>
  <si>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</si>
  <si>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</si>
  <si>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</si>
  <si>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</si>
  <si>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</si>
  <si>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</si>
  <si>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</si>
  <si>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</si>
  <si>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</si>
  <si>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</si>
  <si>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</si>
  <si>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</si>
  <si>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</si>
  <si>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</si>
  <si>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</si>
  <si>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</si>
  <si>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</si>
  <si>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</si>
  <si>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</si>
  <si>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</si>
  <si>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</si>
  <si>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</si>
  <si>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</si>
  <si>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</si>
  <si>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</si>
  <si>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</si>
  <si>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</si>
  <si>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</si>
  <si>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</si>
  <si>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</si>
  <si>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</si>
  <si>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</si>
  <si>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</si>
  <si>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</si>
  <si>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</si>
  <si>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</si>
  <si>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</si>
  <si>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</si>
  <si>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</si>
  <si>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</si>
  <si>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</si>
  <si>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</si>
  <si>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</si>
  <si>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</si>
  <si>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</si>
  <si>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</si>
  <si>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</si>
  <si>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</si>
  <si>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</si>
  <si>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</si>
  <si>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</si>
  <si>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</si>
  <si>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</si>
  <si>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</si>
  <si>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</si>
  <si>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</si>
  <si>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</si>
  <si>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</si>
  <si>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</si>
  <si>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</si>
  <si>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</si>
  <si>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</si>
  <si>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</si>
  <si>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</si>
  <si>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</si>
  <si>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</si>
  <si>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</si>
  <si>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</si>
  <si>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</si>
  <si>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</si>
  <si>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</si>
  <si>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</si>
  <si>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</si>
  <si>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</si>
  <si>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</si>
  <si>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</si>
  <si>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</si>
  <si>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</si>
  <si>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</si>
  <si>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</si>
  <si>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</si>
  <si>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</si>
  <si>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</si>
  <si>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</si>
  <si>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</si>
  <si>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</si>
  <si>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</si>
  <si>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</si>
  <si>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</si>
  <si>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</si>
  <si>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</si>
  <si>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</si>
  <si>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</si>
  <si>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</si>
  <si>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</si>
  <si>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</si>
  <si>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</si>
  <si>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</si>
  <si>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</si>
  <si>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</si>
  <si>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</si>
  <si>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</si>
  <si>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</si>
  <si>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</si>
  <si>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</si>
  <si>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</si>
  <si>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</si>
  <si>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</si>
  <si>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</si>
  <si>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</si>
  <si>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</si>
  <si>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</si>
  <si>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</si>
  <si>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</si>
  <si>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</si>
  <si>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</si>
  <si>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</si>
  <si>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</si>
  <si>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</si>
  <si>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</si>
  <si>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</si>
  <si>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</si>
  <si>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</si>
  <si>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</si>
  <si>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</si>
  <si>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</si>
  <si>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</si>
  <si>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</si>
  <si>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</si>
  <si>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</si>
  <si>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</si>
  <si>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</si>
  <si>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</si>
  <si>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</si>
  <si>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</si>
  <si>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</si>
  <si>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</si>
  <si>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</si>
  <si>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</si>
  <si>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</si>
  <si>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</si>
  <si>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</si>
  <si>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</si>
  <si>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</si>
  <si>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</si>
  <si>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</si>
  <si>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</si>
  <si>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</si>
  <si>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</si>
  <si>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</si>
  <si>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</si>
  <si>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</si>
  <si>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</si>
  <si>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</si>
  <si>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</si>
  <si>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</si>
  <si>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</si>
  <si>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</si>
  <si>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</si>
  <si>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</si>
  <si>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</si>
  <si>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</si>
  <si>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</si>
  <si>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</si>
  <si>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</si>
  <si>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</si>
  <si>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</si>
  <si>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</si>
  <si>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</si>
  <si>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</si>
  <si>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</si>
  <si>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</si>
  <si>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</si>
  <si>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</si>
  <si>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</si>
  <si>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</si>
  <si>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</si>
  <si>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</si>
  <si>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</si>
  <si>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</si>
  <si>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</si>
  <si>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</si>
  <si>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</si>
  <si>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</si>
  <si>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</si>
  <si>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</si>
  <si>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</si>
  <si>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</si>
  <si>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</si>
  <si>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</si>
  <si>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</si>
  <si>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</si>
  <si>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</si>
  <si>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</si>
  <si>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</si>
  <si>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</si>
  <si>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</si>
  <si>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</si>
  <si>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</si>
  <si>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</si>
  <si>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</si>
  <si>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</si>
  <si>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</si>
  <si>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</si>
  <si>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</si>
  <si>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</si>
  <si>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</si>
  <si>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</si>
  <si>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</si>
  <si>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</si>
  <si>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</si>
  <si>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</si>
  <si>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</si>
  <si>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</si>
  <si>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</si>
  <si>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</si>
  <si>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</si>
  <si>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</si>
  <si>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</si>
  <si>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</si>
  <si>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</si>
  <si>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</si>
  <si>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</si>
  <si>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</si>
  <si>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</si>
  <si>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</si>
  <si>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</si>
  <si>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</si>
  <si>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</si>
  <si>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</si>
  <si>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</si>
  <si>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</si>
  <si>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</si>
  <si>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</si>
  <si>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</si>
  <si>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</si>
  <si>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</si>
  <si>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</si>
  <si>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</si>
  <si>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</si>
  <si>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</si>
  <si>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</si>
  <si>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</si>
  <si>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</si>
  <si>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</si>
  <si>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</si>
  <si>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</si>
  <si>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</si>
  <si>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</si>
  <si>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</si>
  <si>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</si>
  <si>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</si>
  <si>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</si>
  <si>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</si>
  <si>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</si>
  <si>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</si>
  <si>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</si>
  <si>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</si>
  <si>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</si>
  <si>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</si>
  <si>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</si>
  <si>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</si>
  <si>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</si>
  <si>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</si>
  <si>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</si>
  <si>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</si>
  <si>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</si>
  <si>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</si>
  <si>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</si>
  <si>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</si>
  <si>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</si>
  <si>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</si>
  <si>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</si>
  <si>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</si>
  <si>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</si>
  <si>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</si>
  <si>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</si>
  <si>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</si>
  <si>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</si>
  <si>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</si>
  <si>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</si>
  <si>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</si>
  <si>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</si>
  <si>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</si>
  <si>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</si>
  <si>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</si>
  <si>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</si>
  <si>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</si>
  <si>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</si>
  <si>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</si>
  <si>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</si>
  <si>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</si>
  <si>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</si>
  <si>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</si>
  <si>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</si>
  <si>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</si>
  <si>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</si>
  <si>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</si>
  <si>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</si>
  <si>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</si>
  <si>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</si>
  <si>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</si>
  <si>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</si>
  <si>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</si>
  <si>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</si>
  <si>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</si>
  <si>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</si>
  <si>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</si>
  <si>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</si>
  <si>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</si>
  <si>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</si>
  <si>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</si>
  <si>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</si>
  <si>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</si>
  <si>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</si>
  <si>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</si>
  <si>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</si>
  <si>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</si>
  <si>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</si>
  <si>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</si>
  <si>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</si>
  <si>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</si>
  <si>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</si>
  <si>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</si>
  <si>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</si>
  <si>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</si>
  <si>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</si>
  <si>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</si>
  <si>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</si>
  <si>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</si>
  <si>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</si>
  <si>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</si>
  <si>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</si>
  <si>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</si>
  <si>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</si>
  <si>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</si>
  <si>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</si>
  <si>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</si>
  <si>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</si>
  <si>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</si>
  <si>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</si>
  <si>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</si>
  <si>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</si>
  <si>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</si>
  <si>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</si>
  <si>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</si>
  <si>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</si>
  <si>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</si>
  <si>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</si>
  <si>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</si>
  <si>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</si>
  <si>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</si>
  <si>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</si>
  <si>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</si>
  <si>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</si>
  <si>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</si>
  <si>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</si>
  <si>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</si>
  <si>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</si>
  <si>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</si>
  <si>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</si>
  <si>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</si>
  <si>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</si>
  <si>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</si>
  <si>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</si>
  <si>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</si>
  <si>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</si>
  <si>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</si>
  <si>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</si>
  <si>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</si>
  <si>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</si>
  <si>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</si>
  <si>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</si>
  <si>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</si>
  <si>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</si>
  <si>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</si>
  <si>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</si>
  <si>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</si>
  <si>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</si>
  <si>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</si>
  <si>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</si>
  <si>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</si>
  <si>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</si>
  <si>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</si>
  <si>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</si>
  <si>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</si>
  <si>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</si>
  <si>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</si>
  <si>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</si>
  <si>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</si>
  <si>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</si>
  <si>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</si>
  <si>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</si>
  <si>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</si>
  <si>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</si>
  <si>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</si>
  <si>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</si>
  <si>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</si>
  <si>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</si>
  <si>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</si>
  <si>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</si>
  <si>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</si>
  <si>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</si>
  <si>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</si>
  <si>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</si>
  <si>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</si>
  <si>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</si>
  <si>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</si>
  <si>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</si>
  <si>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</si>
  <si>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</si>
  <si>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</si>
  <si>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</si>
  <si>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</si>
  <si>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</si>
  <si>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</si>
  <si>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</si>
  <si>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</si>
  <si>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</si>
  <si>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</si>
  <si>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</si>
  <si>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</si>
  <si>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</si>
  <si>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</si>
  <si>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</si>
  <si>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</si>
  <si>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</si>
  <si>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</si>
  <si>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</si>
  <si>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</si>
  <si>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</si>
  <si>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</si>
  <si>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</si>
  <si>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</si>
  <si>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</si>
  <si>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</si>
  <si>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</si>
  <si>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</si>
  <si>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</si>
  <si>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</si>
  <si>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</si>
  <si>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</si>
  <si>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</si>
  <si>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</si>
  <si>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</si>
  <si>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</si>
  <si>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</si>
  <si>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</si>
  <si>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</si>
  <si>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</si>
  <si>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</si>
  <si>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</si>
  <si>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</si>
  <si>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</si>
  <si>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</si>
  <si>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</si>
  <si>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</si>
  <si>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</si>
  <si>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</si>
  <si>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</si>
  <si>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</si>
  <si>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</si>
  <si>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</si>
  <si>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</si>
  <si>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</si>
  <si>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</si>
  <si>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</si>
  <si>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</si>
  <si>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</si>
  <si>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</si>
  <si>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</si>
  <si>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</si>
  <si>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</si>
  <si>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</si>
  <si>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</si>
  <si>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</si>
  <si>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</si>
  <si>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</si>
  <si>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</si>
  <si>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</si>
  <si>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</si>
  <si>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</si>
  <si>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</si>
  <si>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</si>
  <si>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</si>
  <si>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</si>
  <si>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</si>
  <si>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</si>
  <si>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</si>
  <si>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</si>
  <si>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</si>
  <si>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</si>
  <si>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</si>
  <si>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</si>
  <si>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</si>
  <si>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</si>
  <si>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</si>
  <si>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</si>
  <si>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</si>
  <si>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</si>
  <si>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</si>
  <si>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</si>
  <si>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</si>
  <si>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</si>
  <si>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</si>
  <si>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</si>
  <si>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</si>
  <si>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</si>
  <si>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</si>
  <si>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</si>
  <si>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</si>
  <si>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</si>
  <si>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</si>
  <si>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</si>
  <si>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</si>
  <si>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</si>
  <si>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</si>
  <si>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</si>
  <si>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</si>
  <si>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</si>
  <si>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</si>
  <si>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</si>
  <si>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</si>
  <si>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</si>
  <si>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</si>
  <si>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</si>
  <si>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</si>
  <si>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</si>
  <si>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</si>
  <si>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</si>
  <si>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</si>
  <si>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</si>
  <si>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</si>
  <si>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</si>
  <si>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</si>
  <si>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</si>
  <si>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</si>
  <si>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</si>
  <si>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</si>
  <si>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</si>
  <si>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</si>
  <si>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</si>
  <si>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</si>
  <si>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</si>
  <si>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</si>
  <si>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</si>
  <si>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</si>
  <si>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</si>
  <si>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</si>
  <si>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</si>
  <si>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</si>
  <si>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</si>
  <si>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</si>
  <si>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</si>
  <si>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</si>
  <si>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</si>
  <si>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</si>
  <si>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</si>
  <si>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</si>
  <si>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</si>
  <si>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</si>
  <si>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</si>
  <si>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</si>
  <si>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</si>
  <si>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</si>
  <si>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</si>
  <si>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</si>
  <si>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</si>
  <si>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</si>
  <si>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</si>
  <si>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</si>
  <si>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</si>
  <si>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</si>
  <si>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</si>
  <si>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</si>
  <si>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</si>
  <si>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</si>
  <si>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</si>
  <si>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</si>
  <si>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</si>
  <si>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</si>
  <si>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</si>
  <si>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</si>
  <si>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</si>
  <si>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</si>
  <si>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</si>
  <si>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</si>
  <si>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</si>
  <si>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</si>
  <si>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</si>
  <si>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</si>
  <si>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</si>
  <si>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</si>
  <si>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</si>
  <si>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</si>
  <si>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</si>
  <si>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</si>
  <si>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</si>
  <si>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</si>
  <si>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</si>
  <si>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</si>
  <si>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</si>
  <si>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</si>
  <si>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</si>
  <si>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</si>
  <si>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</si>
  <si>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</si>
  <si>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</si>
  <si>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</si>
  <si>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</si>
  <si>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</si>
  <si>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</si>
  <si>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</si>
  <si>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</si>
  <si>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</si>
  <si>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</si>
  <si>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</si>
  <si>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</si>
  <si>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</si>
  <si>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</si>
  <si>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</si>
  <si>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</si>
  <si>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</si>
  <si>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</si>
  <si>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</si>
  <si>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</si>
  <si>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</si>
  <si>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</si>
  <si>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</si>
  <si>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</si>
  <si>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</si>
  <si>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</si>
  <si>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</si>
  <si>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</si>
  <si>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</si>
  <si>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</si>
  <si>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</si>
  <si>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</si>
  <si>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</si>
  <si>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</si>
  <si>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</si>
  <si>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</si>
  <si>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</si>
  <si>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</si>
  <si>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</si>
  <si>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</si>
  <si>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</si>
  <si>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</si>
  <si>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</si>
  <si>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</si>
  <si>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</si>
  <si>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</si>
  <si>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</si>
  <si>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</si>
  <si>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</si>
  <si>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</si>
  <si>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</si>
  <si>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</si>
  <si>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</si>
  <si>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</si>
  <si>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</si>
  <si>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</si>
  <si>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</si>
  <si>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</si>
  <si>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</si>
  <si>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</si>
  <si>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</si>
  <si>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</si>
  <si>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</si>
  <si>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</si>
  <si>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</si>
  <si>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</si>
  <si>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</si>
  <si>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</si>
  <si>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</si>
  <si>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</si>
  <si>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</si>
  <si>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</si>
  <si>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</si>
  <si>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</si>
  <si>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</si>
  <si>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</si>
  <si>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</si>
  <si>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</si>
  <si>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</si>
  <si>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</si>
  <si>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</si>
  <si>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</si>
  <si>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</si>
  <si>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</si>
  <si>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Cemetery # 10 Wheatland Jt</t>
  </si>
  <si>
    <t>Brown County</t>
  </si>
  <si>
    <t>17-1330</t>
  </si>
  <si>
    <t>Atchison County</t>
  </si>
  <si>
    <t>Jackson County</t>
  </si>
  <si>
    <t>Horton City Hall</t>
  </si>
  <si>
    <t>Brown County Clerk's office</t>
  </si>
  <si>
    <t>Lot Sales</t>
  </si>
  <si>
    <t>Donations</t>
  </si>
  <si>
    <t>Operatins</t>
  </si>
  <si>
    <t>Mowing</t>
  </si>
  <si>
    <t>Improvements</t>
  </si>
  <si>
    <t>Budget &amp; Publications</t>
  </si>
  <si>
    <t>Bank Charges</t>
  </si>
  <si>
    <t>Interest on CDs</t>
  </si>
  <si>
    <t>July 31, 2012</t>
  </si>
  <si>
    <t>7:00 PM</t>
  </si>
  <si>
    <t>Darryl Hundley</t>
  </si>
  <si>
    <t>President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</si>
</sst>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7" fontId="4" fillId="34" borderId="23" xfId="0" applyNumberFormat="1" applyFont="1" applyFill="1" applyBorder="1" applyAlignment="1">
      <alignment vertical="center"/>
    </xf>
    <xf numFmtId="0" fontId="0" fillId="0" borderId="15" xfId="0" applyBorder="1" applyAlignment="1">
      <alignment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2" fillId="34" borderId="0" xfId="0" applyFont="1" applyFill="1" applyBorder="1" applyAlignment="1">
      <alignment vertical="center"/>
    </xf>
    <xf numFmtId="0" fontId="24" fillId="0" borderId="0" xfId="0" applyFont="1" applyAlignment="1">
      <alignment vertical="center"/>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23" xfId="0" applyFont="1" applyFill="1" applyBorder="1" applyAlignment="1" applyProtection="1">
      <alignment horizontal="center" vertical="center"/>
      <protection/>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7" fillId="0" borderId="0" xfId="484" applyFont="1" applyAlignment="1">
      <alignment horizontal="center"/>
      <protection/>
    </xf>
    <xf numFmtId="0" fontId="33" fillId="43" borderId="20" xfId="0" applyFont="1" applyFill="1" applyBorder="1" applyAlignment="1">
      <alignment horizontal="center"/>
    </xf>
    <xf numFmtId="187" fontId="33" fillId="43" borderId="0" xfId="0" applyNumberFormat="1"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84" fillId="43" borderId="0" xfId="0" applyFont="1" applyFill="1" applyAlignment="1">
      <alignment horizontal="center" wrapText="1"/>
    </xf>
    <xf numFmtId="0" fontId="33" fillId="43" borderId="0" xfId="0" applyFont="1" applyFill="1" applyAlignment="1">
      <alignment wrapText="1"/>
    </xf>
    <xf numFmtId="0" fontId="33" fillId="43" borderId="0" xfId="0" applyFont="1" applyFill="1" applyBorder="1" applyAlignment="1">
      <alignment horizontal="center"/>
    </xf>
    <xf numFmtId="187" fontId="33" fillId="45"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4" fillId="43" borderId="29" xfId="0" applyFont="1" applyFill="1" applyBorder="1" applyAlignment="1">
      <alignment horizontal="center" vertic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0" fontId="84" fillId="43" borderId="0" xfId="0" applyFont="1" applyFill="1" applyAlignment="1">
      <alignment horizontal="center"/>
    </xf>
    <xf numFmtId="187" fontId="33" fillId="43" borderId="0" xfId="0" applyNumberFormat="1" applyFont="1" applyFill="1" applyAlignment="1">
      <alignment/>
    </xf>
    <xf numFmtId="187" fontId="33" fillId="43" borderId="0" xfId="0" applyNumberFormat="1" applyFont="1" applyFill="1" applyAlignment="1">
      <alignment horizontal="center"/>
    </xf>
    <xf numFmtId="0" fontId="84" fillId="43" borderId="0" xfId="0" applyFont="1" applyFill="1" applyAlignment="1">
      <alignment horizontal="center" vertical="center"/>
    </xf>
    <xf numFmtId="0" fontId="84" fillId="0" borderId="0" xfId="0" applyFont="1" applyAlignment="1">
      <alignment horizontal="center" vertic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F10" sqref="F10"/>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Cemetery # 10 Wheatland Jt</v>
      </c>
      <c r="C1" s="35"/>
      <c r="D1" s="35"/>
      <c r="E1" s="35"/>
      <c r="F1" s="35"/>
      <c r="G1" s="35"/>
      <c r="H1" s="35"/>
      <c r="I1" s="35"/>
      <c r="J1" s="35"/>
      <c r="K1" s="35"/>
      <c r="L1" s="217">
        <f>inputPrYr!D22</f>
        <v>2013</v>
      </c>
    </row>
    <row r="2" spans="2:12" ht="15.75">
      <c r="B2" s="35" t="str">
        <f>inputPrYr!$D$4</f>
        <v>Brown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2012</v>
      </c>
      <c r="J7" s="223"/>
      <c r="K7" s="222">
        <f>L1</f>
        <v>2013</v>
      </c>
      <c r="L7" s="223"/>
    </row>
    <row r="8" spans="2:12" s="218" customFormat="1" ht="15.75">
      <c r="B8" s="119" t="s">
        <v>745</v>
      </c>
      <c r="C8" s="119" t="s">
        <v>56</v>
      </c>
      <c r="D8" s="119" t="s">
        <v>37</v>
      </c>
      <c r="E8" s="119" t="s">
        <v>57</v>
      </c>
      <c r="F8" s="224" t="str">
        <f>CONCATENATE("Jan 1,",L1-1,"")</f>
        <v>Jan 1,2012</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1,2012</v>
      </c>
      <c r="H28" s="119">
        <f>L1-1</f>
        <v>2012</v>
      </c>
      <c r="I28" s="119">
        <f>L1</f>
        <v>2013</v>
      </c>
      <c r="J28" s="240"/>
      <c r="K28" s="240"/>
      <c r="L28" s="240"/>
    </row>
    <row r="29" spans="2:12" s="241" customFormat="1" ht="15.75">
      <c r="B29" s="59"/>
      <c r="C29" s="388"/>
      <c r="D29" s="247"/>
      <c r="E29" s="229"/>
      <c r="F29" s="56"/>
      <c r="G29" s="56"/>
      <c r="H29" s="56"/>
      <c r="I29" s="56"/>
      <c r="J29" s="240"/>
      <c r="K29" s="240"/>
      <c r="L29" s="240"/>
    </row>
    <row r="30" spans="2:12" s="241" customFormat="1" ht="15.75">
      <c r="B30" s="59"/>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7"/>
  <sheetViews>
    <sheetView zoomScalePageLayoutView="0" workbookViewId="0" topLeftCell="A1">
      <selection activeCell="E45" sqref="E45"/>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10 Wheatland Jt</v>
      </c>
      <c r="C1" s="251"/>
      <c r="D1" s="35"/>
      <c r="E1" s="217"/>
    </row>
    <row r="2" spans="2:5" ht="15.75">
      <c r="B2" s="35" t="str">
        <f>inputPrYr!D4</f>
        <v>Brown County</v>
      </c>
      <c r="C2" s="251"/>
      <c r="D2" s="35"/>
      <c r="E2" s="192"/>
    </row>
    <row r="3" spans="2:6" ht="15.75">
      <c r="B3" s="43" t="s">
        <v>72</v>
      </c>
      <c r="C3" s="251"/>
      <c r="D3" s="35"/>
      <c r="E3" s="217">
        <f>inputPrYr!D22</f>
        <v>2013</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2011</v>
      </c>
      <c r="D6" s="376" t="str">
        <f>CONCATENATE("Estimate for ",E3-1,"")</f>
        <v>Estimate for 2012</v>
      </c>
      <c r="E6" s="205" t="str">
        <f>CONCATENATE("Year for ",E3,"")</f>
        <v>Year for 2013</v>
      </c>
    </row>
    <row r="7" spans="2:5" ht="15.75">
      <c r="B7" s="151" t="s">
        <v>116</v>
      </c>
      <c r="C7" s="94">
        <v>5879</v>
      </c>
      <c r="D7" s="380">
        <f>C38</f>
        <v>6214</v>
      </c>
      <c r="E7" s="154">
        <f>D38</f>
        <v>5549</v>
      </c>
    </row>
    <row r="8" spans="2:5" ht="15.75">
      <c r="B8" s="172" t="s">
        <v>118</v>
      </c>
      <c r="C8" s="254"/>
      <c r="D8" s="254"/>
      <c r="E8" s="158"/>
    </row>
    <row r="9" spans="2:5" ht="15.75">
      <c r="B9" s="151" t="s">
        <v>27</v>
      </c>
      <c r="C9" s="94">
        <v>2148</v>
      </c>
      <c r="D9" s="380">
        <f>IF(inputPrYr!H34&gt;0,inputPrYr!G35,inputPrYr!E35)</f>
        <v>3429</v>
      </c>
      <c r="E9" s="163" t="s">
        <v>21</v>
      </c>
    </row>
    <row r="10" spans="2:5" ht="15.75">
      <c r="B10" s="151" t="s">
        <v>28</v>
      </c>
      <c r="C10" s="94"/>
      <c r="D10" s="94"/>
      <c r="E10" s="231"/>
    </row>
    <row r="11" spans="2:5" ht="15.75">
      <c r="B11" s="151" t="s">
        <v>29</v>
      </c>
      <c r="C11" s="94"/>
      <c r="D11" s="94">
        <v>113</v>
      </c>
      <c r="E11" s="154">
        <f>mvalloc!D10</f>
        <v>178</v>
      </c>
    </row>
    <row r="12" spans="2:5" ht="15.75">
      <c r="B12" s="151" t="s">
        <v>30</v>
      </c>
      <c r="C12" s="94"/>
      <c r="D12" s="94"/>
      <c r="E12" s="154">
        <f>mvalloc!E10</f>
        <v>0</v>
      </c>
    </row>
    <row r="13" spans="2:5" ht="15.75">
      <c r="B13" s="254" t="s">
        <v>100</v>
      </c>
      <c r="C13" s="94"/>
      <c r="D13" s="94">
        <v>28</v>
      </c>
      <c r="E13" s="154">
        <f>mvalloc!F10</f>
        <v>35</v>
      </c>
    </row>
    <row r="14" spans="2:5" ht="15.75">
      <c r="B14" s="254" t="s">
        <v>161</v>
      </c>
      <c r="C14" s="94"/>
      <c r="D14" s="94"/>
      <c r="E14" s="154">
        <f>inputOth!D61</f>
        <v>0</v>
      </c>
    </row>
    <row r="15" spans="2:5" ht="15.75">
      <c r="B15" s="256"/>
      <c r="C15" s="94"/>
      <c r="D15" s="94"/>
      <c r="E15" s="231"/>
    </row>
    <row r="16" spans="2:5" ht="15.75">
      <c r="B16" s="474" t="s">
        <v>799</v>
      </c>
      <c r="C16" s="94">
        <v>100</v>
      </c>
      <c r="D16" s="94"/>
      <c r="E16" s="231"/>
    </row>
    <row r="17" spans="2:5" ht="15.75">
      <c r="B17" s="256" t="s">
        <v>800</v>
      </c>
      <c r="C17" s="94">
        <v>50</v>
      </c>
      <c r="D17" s="94"/>
      <c r="E17" s="231"/>
    </row>
    <row r="18" spans="2:5" ht="15.75">
      <c r="B18" s="256" t="s">
        <v>806</v>
      </c>
      <c r="C18" s="94">
        <v>89</v>
      </c>
      <c r="D18" s="94">
        <v>50</v>
      </c>
      <c r="E18" s="231">
        <v>50</v>
      </c>
    </row>
    <row r="19" spans="2:5" ht="15.75">
      <c r="B19" s="257" t="s">
        <v>31</v>
      </c>
      <c r="C19" s="94">
        <v>3</v>
      </c>
      <c r="D19" s="94"/>
      <c r="E19" s="231"/>
    </row>
    <row r="20" spans="2:5" ht="15.75">
      <c r="B20" s="258" t="s">
        <v>218</v>
      </c>
      <c r="C20" s="256"/>
      <c r="D20" s="256"/>
      <c r="E20" s="231"/>
    </row>
    <row r="21" spans="2:5" ht="15.75">
      <c r="B21" s="258" t="s">
        <v>665</v>
      </c>
      <c r="C21" s="377">
        <f>IF(C22*0.1&lt;C20,"Exceed 10% Rule","")</f>
      </c>
      <c r="D21" s="377">
        <f>IF(D22*0.1&lt;D20,"Exceed 10% Rule","")</f>
      </c>
      <c r="E21" s="478">
        <f>IF(E22*0.1+E44&lt;E20,"Exceed 10% Rule","")</f>
      </c>
    </row>
    <row r="22" spans="2:5" ht="15.75">
      <c r="B22" s="261" t="s">
        <v>32</v>
      </c>
      <c r="C22" s="378">
        <f>SUM(C9:C20)</f>
        <v>2390</v>
      </c>
      <c r="D22" s="378">
        <f>SUM(D9:D20)</f>
        <v>3620</v>
      </c>
      <c r="E22" s="262">
        <f>SUM(E9:E20)</f>
        <v>263</v>
      </c>
    </row>
    <row r="23" spans="2:5" ht="15.75">
      <c r="B23" s="261" t="s">
        <v>33</v>
      </c>
      <c r="C23" s="378">
        <f>C7+C22</f>
        <v>8269</v>
      </c>
      <c r="D23" s="378">
        <f>D7+D22</f>
        <v>9834</v>
      </c>
      <c r="E23" s="262">
        <f>E7+E22</f>
        <v>5812</v>
      </c>
    </row>
    <row r="24" spans="2:5" ht="15.75">
      <c r="B24" s="151" t="s">
        <v>34</v>
      </c>
      <c r="C24" s="155"/>
      <c r="D24" s="155"/>
      <c r="E24" s="68"/>
    </row>
    <row r="25" spans="2:5" ht="15.75">
      <c r="B25" s="256"/>
      <c r="C25" s="94"/>
      <c r="D25" s="94"/>
      <c r="E25" s="56"/>
    </row>
    <row r="26" spans="2:5" ht="15.75">
      <c r="B26" s="256" t="s">
        <v>801</v>
      </c>
      <c r="C26" s="94">
        <f>235-75</f>
        <v>160</v>
      </c>
      <c r="D26" s="94">
        <v>600</v>
      </c>
      <c r="E26" s="56">
        <v>600</v>
      </c>
    </row>
    <row r="27" spans="2:5" ht="15.75">
      <c r="B27" s="256" t="s">
        <v>802</v>
      </c>
      <c r="C27" s="94">
        <v>1820</v>
      </c>
      <c r="D27" s="94">
        <v>2500</v>
      </c>
      <c r="E27" s="56">
        <v>2500</v>
      </c>
    </row>
    <row r="28" spans="2:5" ht="15.75">
      <c r="B28" s="256" t="s">
        <v>803</v>
      </c>
      <c r="C28" s="94"/>
      <c r="D28" s="94">
        <v>1000</v>
      </c>
      <c r="E28" s="56">
        <f>5812+3496-3285</f>
        <v>6023</v>
      </c>
    </row>
    <row r="29" spans="2:5" ht="15.75">
      <c r="B29" s="256" t="s">
        <v>804</v>
      </c>
      <c r="C29" s="94">
        <v>75</v>
      </c>
      <c r="D29" s="94">
        <v>160</v>
      </c>
      <c r="E29" s="56">
        <v>160</v>
      </c>
    </row>
    <row r="30" spans="2:5" ht="15.75">
      <c r="B30" s="256" t="s">
        <v>805</v>
      </c>
      <c r="C30" s="94"/>
      <c r="D30" s="94">
        <v>25</v>
      </c>
      <c r="E30" s="56">
        <v>25</v>
      </c>
    </row>
    <row r="31" spans="2:5" ht="15.75">
      <c r="B31" s="256"/>
      <c r="C31" s="94"/>
      <c r="D31" s="94"/>
      <c r="E31" s="56"/>
    </row>
    <row r="32" spans="2:5" ht="15.75">
      <c r="B32" s="256"/>
      <c r="C32" s="94"/>
      <c r="D32" s="94"/>
      <c r="E32" s="56"/>
    </row>
    <row r="33" spans="2:11" ht="15.75">
      <c r="B33" s="256"/>
      <c r="C33" s="94"/>
      <c r="D33" s="94"/>
      <c r="E33" s="56"/>
      <c r="F33" s="33"/>
      <c r="G33" s="606" t="s">
        <v>748</v>
      </c>
      <c r="H33" s="600"/>
      <c r="I33" s="600"/>
      <c r="J33" s="599" t="e">
        <f>IF(#REF!&gt;0,#REF!-E41,0)</f>
        <v>#REF!</v>
      </c>
      <c r="K33" s="33"/>
    </row>
    <row r="34" spans="2:11" ht="15.75">
      <c r="B34" s="155" t="s">
        <v>217</v>
      </c>
      <c r="C34" s="94"/>
      <c r="D34" s="94"/>
      <c r="E34" s="176">
        <f>Nhood!E7</f>
      </c>
      <c r="F34" s="33"/>
      <c r="G34" s="33"/>
      <c r="H34" s="33"/>
      <c r="I34" s="33"/>
      <c r="J34" s="33"/>
      <c r="K34" s="33"/>
    </row>
    <row r="35" spans="2:11" ht="15.75">
      <c r="B35" s="155" t="s">
        <v>218</v>
      </c>
      <c r="C35" s="94"/>
      <c r="D35" s="94"/>
      <c r="E35" s="56"/>
      <c r="F35" s="33"/>
      <c r="G35" s="707" t="str">
        <f>CONCATENATE("Projected Carryover Into ",E3+1,"")</f>
        <v>Projected Carryover Into 2014</v>
      </c>
      <c r="H35" s="708"/>
      <c r="I35" s="708"/>
      <c r="J35" s="709"/>
      <c r="K35" s="33"/>
    </row>
    <row r="36" spans="2:11" ht="15.75">
      <c r="B36" s="155" t="s">
        <v>664</v>
      </c>
      <c r="C36" s="377">
        <f>IF(C37*0.1&lt;C35,"Exceed 10% Rule","")</f>
      </c>
      <c r="D36" s="377">
        <f>IF(D37*0.1&lt;D35,"Exceed 10% Rule","")</f>
      </c>
      <c r="E36" s="478">
        <f>IF(E37*0.1&lt;E35,"Exceed 10% Rule","")</f>
      </c>
      <c r="F36" s="33"/>
      <c r="G36" s="504"/>
      <c r="H36" s="41"/>
      <c r="I36" s="41"/>
      <c r="J36" s="506"/>
      <c r="K36" s="33"/>
    </row>
    <row r="37" spans="2:11" ht="15.75">
      <c r="B37" s="261" t="s">
        <v>35</v>
      </c>
      <c r="C37" s="378">
        <f>SUM(C25:C35)</f>
        <v>2055</v>
      </c>
      <c r="D37" s="378">
        <f>SUM(D25:D35)</f>
        <v>4285</v>
      </c>
      <c r="E37" s="262">
        <f>SUM(E25:E35)</f>
        <v>9308</v>
      </c>
      <c r="F37" s="33"/>
      <c r="G37" s="507">
        <f>D38</f>
        <v>5549</v>
      </c>
      <c r="H37" s="513" t="str">
        <f>CONCATENATE("",E3-1," Ending Cash Balance (est.)")</f>
        <v>2012 Ending Cash Balance (est.)</v>
      </c>
      <c r="I37" s="598"/>
      <c r="J37" s="506"/>
      <c r="K37" s="33"/>
    </row>
    <row r="38" spans="2:11" ht="15.75">
      <c r="B38" s="151" t="s">
        <v>117</v>
      </c>
      <c r="C38" s="374">
        <f>C23-C37</f>
        <v>6214</v>
      </c>
      <c r="D38" s="374">
        <f>D23-D37</f>
        <v>5549</v>
      </c>
      <c r="E38" s="163" t="s">
        <v>21</v>
      </c>
      <c r="F38" s="33"/>
      <c r="G38" s="507">
        <f>E22</f>
        <v>263</v>
      </c>
      <c r="H38" s="514" t="str">
        <f>CONCATENATE("",E3," Non-AV Receipts (est.)")</f>
        <v>2013 Non-AV Receipts (est.)</v>
      </c>
      <c r="I38" s="598"/>
      <c r="J38" s="506"/>
      <c r="K38" s="33"/>
    </row>
    <row r="39" spans="2:11" ht="15.75">
      <c r="B39" s="192" t="str">
        <f>CONCATENATE("",E3-2,"/",E3-1," Budget Authority Amount:")</f>
        <v>2011/2012 Budget Authority Amount:</v>
      </c>
      <c r="C39" s="152">
        <f>inputOth!C91</f>
        <v>2745</v>
      </c>
      <c r="D39" s="318">
        <f>inputPrYr!D35</f>
        <v>8656</v>
      </c>
      <c r="E39" s="163" t="s">
        <v>21</v>
      </c>
      <c r="F39" s="275"/>
      <c r="G39" s="509">
        <f>IF(E43&gt;0,E42,E44)</f>
        <v>3496</v>
      </c>
      <c r="H39" s="514" t="str">
        <f>CONCATENATE("",E3," Ad Valorem Tax (est.)")</f>
        <v>2013 Ad Valorem Tax (est.)</v>
      </c>
      <c r="I39" s="514"/>
      <c r="J39" s="506"/>
      <c r="K39" s="597">
        <f>IF(G39=E44,"","Note: Does not include Delinquent Taxes")</f>
      </c>
    </row>
    <row r="40" spans="2:11" ht="15.75">
      <c r="B40" s="192"/>
      <c r="C40" s="701" t="s">
        <v>666</v>
      </c>
      <c r="D40" s="702"/>
      <c r="E40" s="231"/>
      <c r="F40" s="596">
        <f>IF(E37/0.95-E37&lt;E40,"Exceeds 5%","")</f>
      </c>
      <c r="G40" s="507">
        <f>SUM(G37:G39)</f>
        <v>9308</v>
      </c>
      <c r="H40" s="514" t="str">
        <f>CONCATENATE("Total ",E3," Resources Available")</f>
        <v>Total 2013 Resources Available</v>
      </c>
      <c r="I40" s="598"/>
      <c r="J40" s="506"/>
      <c r="K40" s="33"/>
    </row>
    <row r="41" spans="2:11" ht="15.75">
      <c r="B41" s="475" t="str">
        <f>CONCATENATE(C56,"     ",D56)</f>
        <v>     </v>
      </c>
      <c r="C41" s="703" t="s">
        <v>667</v>
      </c>
      <c r="D41" s="704"/>
      <c r="E41" s="154">
        <f>E37+E40</f>
        <v>9308</v>
      </c>
      <c r="F41" s="33"/>
      <c r="G41" s="510"/>
      <c r="H41" s="514"/>
      <c r="I41" s="514"/>
      <c r="J41" s="506"/>
      <c r="K41" s="33"/>
    </row>
    <row r="42" spans="2:11" ht="15.75">
      <c r="B42" s="475" t="str">
        <f>CONCATENATE(C57,"     ",D57)</f>
        <v>     </v>
      </c>
      <c r="C42" s="480"/>
      <c r="D42" s="481" t="s">
        <v>36</v>
      </c>
      <c r="E42" s="176">
        <f>IF(E41-E23&gt;0,E41-E23,0)</f>
        <v>3496</v>
      </c>
      <c r="F42" s="33"/>
      <c r="G42" s="509">
        <f>ROUND(C37*0.05+C37,0)</f>
        <v>2158</v>
      </c>
      <c r="H42" s="514" t="str">
        <f>CONCATENATE("Less ",E3-2," Expenditures + 5%")</f>
        <v>Less 2011 Expenditures + 5%</v>
      </c>
      <c r="I42" s="598"/>
      <c r="J42" s="506"/>
      <c r="K42" s="33"/>
    </row>
    <row r="43" spans="2:11" ht="15.75">
      <c r="B43" s="191"/>
      <c r="C43" s="479" t="s">
        <v>668</v>
      </c>
      <c r="D43" s="555">
        <f>inputOth!$G$85</f>
        <v>0</v>
      </c>
      <c r="E43" s="154">
        <f>ROUND(IF(D43&gt;0,(E42*D43),0),0)</f>
        <v>0</v>
      </c>
      <c r="F43" s="33"/>
      <c r="G43" s="595">
        <f>G40-G42</f>
        <v>7150</v>
      </c>
      <c r="H43" s="594" t="str">
        <f>CONCATENATE("Projected ",E3+1," Carryover (est.)")</f>
        <v>Projected 2014 Carryover (est.)</v>
      </c>
      <c r="I43" s="593"/>
      <c r="J43" s="512"/>
      <c r="K43" s="33"/>
    </row>
    <row r="44" spans="2:11" ht="15.75">
      <c r="B44" s="35"/>
      <c r="C44" s="705" t="str">
        <f>CONCATENATE("Amount of  ",$E$3-1," Ad Valorem Tax")</f>
        <v>Amount of  2012 Ad Valorem Tax</v>
      </c>
      <c r="D44" s="706"/>
      <c r="E44" s="176">
        <f>E42+E43</f>
        <v>3496</v>
      </c>
      <c r="F44" s="33"/>
      <c r="G44" s="33"/>
      <c r="H44" s="33"/>
      <c r="I44" s="33"/>
      <c r="J44" s="33"/>
      <c r="K44" s="33"/>
    </row>
    <row r="45" spans="2:11" ht="15.75">
      <c r="B45" s="35"/>
      <c r="C45" s="35"/>
      <c r="D45" s="35"/>
      <c r="E45" s="35"/>
      <c r="F45" s="33"/>
      <c r="G45" s="710" t="s">
        <v>749</v>
      </c>
      <c r="H45" s="711"/>
      <c r="I45" s="711"/>
      <c r="J45" s="712"/>
      <c r="K45" s="33"/>
    </row>
    <row r="46" spans="2:11" ht="15.75">
      <c r="B46" s="35"/>
      <c r="C46" s="35"/>
      <c r="D46" s="35"/>
      <c r="E46" s="35"/>
      <c r="F46" s="33"/>
      <c r="G46" s="592"/>
      <c r="H46" s="513"/>
      <c r="I46" s="558"/>
      <c r="J46" s="591"/>
      <c r="K46" s="33"/>
    </row>
    <row r="47" spans="2:11" ht="15.75">
      <c r="B47" s="35"/>
      <c r="C47" s="35"/>
      <c r="D47" s="35"/>
      <c r="E47" s="35"/>
      <c r="F47" s="33"/>
      <c r="G47" s="590">
        <f>summ!H16</f>
        <v>2.101</v>
      </c>
      <c r="H47" s="513" t="str">
        <f>CONCATENATE("",E3," Fund Mill Rate")</f>
        <v>2013 Fund Mill Rate</v>
      </c>
      <c r="I47" s="558"/>
      <c r="J47" s="591"/>
      <c r="K47" s="33"/>
    </row>
    <row r="48" spans="2:11" ht="15.75">
      <c r="B48" s="35"/>
      <c r="C48" s="35"/>
      <c r="D48" s="35"/>
      <c r="E48" s="35"/>
      <c r="F48" s="589"/>
      <c r="G48" s="588">
        <f>summ!E16</f>
        <v>2.21</v>
      </c>
      <c r="H48" s="513" t="str">
        <f>CONCATENATE("",E3-1," Fund Mill Rate")</f>
        <v>2012 Fund Mill Rate</v>
      </c>
      <c r="I48" s="558"/>
      <c r="J48" s="591"/>
      <c r="K48" s="33"/>
    </row>
    <row r="49" spans="2:11" ht="15.75">
      <c r="B49" s="35"/>
      <c r="C49" s="251"/>
      <c r="D49" s="251"/>
      <c r="E49" s="251"/>
      <c r="F49" s="565"/>
      <c r="G49" s="587">
        <f>summ!H18</f>
        <v>2.101</v>
      </c>
      <c r="H49" s="513" t="str">
        <f>CONCATENATE("Total ",E3," Mill Rate")</f>
        <v>Total 2013 Mill Rate</v>
      </c>
      <c r="I49" s="558"/>
      <c r="J49" s="591"/>
      <c r="K49" s="33"/>
    </row>
    <row r="50" spans="2:11" ht="15.75">
      <c r="B50" s="192"/>
      <c r="C50" s="52" t="s">
        <v>225</v>
      </c>
      <c r="D50" s="35"/>
      <c r="E50" s="35"/>
      <c r="F50" s="565"/>
      <c r="G50" s="588">
        <f>summ!E18</f>
        <v>2.21</v>
      </c>
      <c r="H50" s="586" t="str">
        <f>CONCATENATE("Total ",E3-1," Mill Rate")</f>
        <v>Total 2012 Mill Rate</v>
      </c>
      <c r="I50" s="585"/>
      <c r="J50" s="584"/>
      <c r="K50" s="33"/>
    </row>
    <row r="52" ht="15.75">
      <c r="B52" s="82"/>
    </row>
    <row r="56" spans="3:4" ht="15.75" hidden="1">
      <c r="C56" s="20">
        <f>IF(C37&gt;C39,"See Tab A","")</f>
      </c>
      <c r="D56" s="20">
        <f>IF(D37&gt;D39,"See Tab C","")</f>
      </c>
    </row>
    <row r="57" spans="3:4" ht="15.75" hidden="1">
      <c r="C57" s="20">
        <f>IF(C38&lt;0,"See Tab B","")</f>
      </c>
      <c r="D57" s="20">
        <f>IF(D38&lt;0,"See Tab D","")</f>
      </c>
    </row>
  </sheetData>
  <sheetProtection/>
  <mergeCells count="5">
    <mergeCell ref="C40:D40"/>
    <mergeCell ref="C41:D41"/>
    <mergeCell ref="C44:D44"/>
    <mergeCell ref="G35:J35"/>
    <mergeCell ref="G45:J45"/>
  </mergeCells>
  <conditionalFormatting sqref="C35">
    <cfRule type="cellIs" priority="3" dxfId="60" operator="greaterThan" stopIfTrue="1">
      <formula>$C$37*0.1</formula>
    </cfRule>
  </conditionalFormatting>
  <conditionalFormatting sqref="D35">
    <cfRule type="cellIs" priority="4" dxfId="60" operator="greaterThan" stopIfTrue="1">
      <formula>$D$37*0.1</formula>
    </cfRule>
  </conditionalFormatting>
  <conditionalFormatting sqref="E35">
    <cfRule type="cellIs" priority="5" dxfId="60" operator="greaterThan" stopIfTrue="1">
      <formula>$E$37*0.1</formula>
    </cfRule>
  </conditionalFormatting>
  <conditionalFormatting sqref="E40">
    <cfRule type="cellIs" priority="6" dxfId="60" operator="greaterThan" stopIfTrue="1">
      <formula>$E$37/0.95-$E$37</formula>
    </cfRule>
  </conditionalFormatting>
  <conditionalFormatting sqref="C20">
    <cfRule type="cellIs" priority="7" dxfId="60" operator="greaterThan" stopIfTrue="1">
      <formula>$C$22*0.1</formula>
    </cfRule>
  </conditionalFormatting>
  <conditionalFormatting sqref="D20">
    <cfRule type="cellIs" priority="8" dxfId="60" operator="greaterThan" stopIfTrue="1">
      <formula>$D$22*0.1</formula>
    </cfRule>
  </conditionalFormatting>
  <conditionalFormatting sqref="C38">
    <cfRule type="cellIs" priority="9" dxfId="60" operator="lessThan" stopIfTrue="1">
      <formula>0</formula>
    </cfRule>
  </conditionalFormatting>
  <conditionalFormatting sqref="D38">
    <cfRule type="cellIs" priority="1" dxfId="0" operator="lessThan" stopIfTrue="1">
      <formula>0</formula>
    </cfRule>
  </conditionalFormatting>
  <conditionalFormatting sqref="D37">
    <cfRule type="cellIs" priority="21" dxfId="1" operator="greaterThan" stopIfTrue="1">
      <formula>$D$39</formula>
    </cfRule>
  </conditionalFormatting>
  <conditionalFormatting sqref="C37">
    <cfRule type="cellIs" priority="29" dxfId="1" operator="greaterThan" stopIfTrue="1">
      <formula>$C$39</formula>
    </cfRule>
  </conditionalFormatting>
  <conditionalFormatting sqref="E20">
    <cfRule type="cellIs" priority="32" dxfId="60"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F17" sqref="F17"/>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43"/>
    </row>
    <row r="2" spans="1:8" ht="15.75">
      <c r="A2" s="35"/>
      <c r="B2" s="35"/>
      <c r="C2" s="35"/>
      <c r="D2" s="35"/>
      <c r="E2" s="35"/>
      <c r="F2" s="35"/>
      <c r="G2" s="35"/>
      <c r="H2" s="35"/>
    </row>
    <row r="3" spans="1:9" ht="15.75">
      <c r="A3" s="683" t="s">
        <v>101</v>
      </c>
      <c r="B3" s="683"/>
      <c r="C3" s="683"/>
      <c r="D3" s="683"/>
      <c r="E3" s="683"/>
      <c r="F3" s="683"/>
      <c r="G3" s="683"/>
      <c r="H3" s="683"/>
      <c r="I3" s="123">
        <f>inputPrYr!D22</f>
        <v>2013</v>
      </c>
    </row>
    <row r="4" spans="1:8" ht="15.75">
      <c r="A4" s="633" t="str">
        <f>inputPrYr!D3</f>
        <v>Cemetery # 10 Wheatland Jt</v>
      </c>
      <c r="B4" s="633"/>
      <c r="C4" s="633"/>
      <c r="D4" s="633"/>
      <c r="E4" s="633"/>
      <c r="F4" s="633"/>
      <c r="G4" s="633"/>
      <c r="H4" s="633"/>
    </row>
    <row r="5" spans="1:8" ht="15.75">
      <c r="A5" s="633" t="str">
        <f>inputPrYr!D4</f>
        <v>Brown County</v>
      </c>
      <c r="B5" s="633"/>
      <c r="C5" s="633"/>
      <c r="D5" s="633"/>
      <c r="E5" s="633"/>
      <c r="F5" s="633"/>
      <c r="G5" s="633"/>
      <c r="H5" s="633"/>
    </row>
    <row r="6" spans="1:8" ht="15.75">
      <c r="A6" s="715" t="str">
        <f>CONCATENATE("will meet on ",inputBudSum!B7," at ",inputBudSum!B9," at ",inputBudSum!B11," for the purpose of hearing and")</f>
        <v>will meet on July 31, 2012 at 7:00 PM at Horton City Hall for the purpose of hearing and</v>
      </c>
      <c r="B6" s="715"/>
      <c r="C6" s="715"/>
      <c r="D6" s="715"/>
      <c r="E6" s="715"/>
      <c r="F6" s="715"/>
      <c r="G6" s="715"/>
      <c r="H6" s="715"/>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Brown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2013 Expenditures and Amount of 2012 Ad Valorem Tax establish the maximum limits</v>
      </c>
      <c r="B10" s="46"/>
      <c r="C10" s="46"/>
      <c r="D10" s="46"/>
      <c r="E10" s="46"/>
      <c r="F10" s="46"/>
      <c r="G10" s="46"/>
      <c r="H10" s="46"/>
      <c r="J10" s="718" t="str">
        <f>CONCATENATE("Estimated Value Of One Mill For ",I3,"")</f>
        <v>Estimated Value Of One Mill For 2013</v>
      </c>
      <c r="K10" s="719"/>
      <c r="L10" s="719"/>
      <c r="M10" s="720"/>
    </row>
    <row r="11" spans="1:13" ht="15.75">
      <c r="A11" s="134" t="str">
        <f>CONCATENATE("of the ",I3," budget.  Estimated Tax Rate is subject to change depending on the final assessed valuation.")</f>
        <v>of the 2013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1664</v>
      </c>
    </row>
    <row r="13" spans="1:13" ht="15.75">
      <c r="A13" s="242"/>
      <c r="B13" s="312" t="str">
        <f>CONCATENATE("Prior Year Actual for ",I3-2,"")</f>
        <v>Prior Year Actual for 2011</v>
      </c>
      <c r="C13" s="313"/>
      <c r="D13" s="314" t="str">
        <f>CONCATENATE("Current Year Estimate for ",I3-1,"")</f>
        <v>Current Year Estimate for 2012</v>
      </c>
      <c r="E13" s="313"/>
      <c r="F13" s="312" t="str">
        <f>CONCATENATE("Proposed Budget Year for ",I3,"")</f>
        <v>Proposed Budget Year for 2013</v>
      </c>
      <c r="G13" s="315"/>
      <c r="H13" s="313"/>
      <c r="J13" s="33"/>
      <c r="K13" s="33"/>
      <c r="L13" s="33"/>
      <c r="M13" s="33"/>
    </row>
    <row r="14" spans="1:13" ht="15.75">
      <c r="A14" s="245"/>
      <c r="B14" s="117"/>
      <c r="C14" s="117" t="s">
        <v>45</v>
      </c>
      <c r="D14" s="117"/>
      <c r="E14" s="117" t="s">
        <v>45</v>
      </c>
      <c r="F14" s="245" t="s">
        <v>660</v>
      </c>
      <c r="G14" s="723" t="str">
        <f>CONCATENATE("Amount of ",I3-1," Ad Valorem Tax")</f>
        <v>Amount of 2012 Ad Valorem Tax</v>
      </c>
      <c r="H14" s="117" t="s">
        <v>697</v>
      </c>
      <c r="J14" s="718" t="str">
        <f>CONCATENATE("Want The Mill Rate The Same As For ",I3-1,"?")</f>
        <v>Want The Mill Rate The Same As For 2012?</v>
      </c>
      <c r="K14" s="721"/>
      <c r="L14" s="721"/>
      <c r="M14" s="722"/>
    </row>
    <row r="15" spans="1:13" ht="15.75">
      <c r="A15" s="522" t="s">
        <v>46</v>
      </c>
      <c r="B15" s="119" t="s">
        <v>47</v>
      </c>
      <c r="C15" s="119" t="s">
        <v>164</v>
      </c>
      <c r="D15" s="119" t="s">
        <v>47</v>
      </c>
      <c r="E15" s="119" t="s">
        <v>164</v>
      </c>
      <c r="F15" s="119" t="s">
        <v>661</v>
      </c>
      <c r="G15" s="724"/>
      <c r="H15" s="119" t="s">
        <v>164</v>
      </c>
      <c r="J15" s="496"/>
      <c r="K15" s="491"/>
      <c r="L15" s="491"/>
      <c r="M15" s="497"/>
    </row>
    <row r="16" spans="1:13" ht="15.75">
      <c r="A16" s="68" t="s">
        <v>5</v>
      </c>
      <c r="B16" s="154">
        <f>IF(gen!$C$37&lt;&gt;0,gen!$C$37,"  ")</f>
        <v>2055</v>
      </c>
      <c r="C16" s="488">
        <f>IF(inputPrYr!D54&gt;0,inputPrYr!D54,"  ")</f>
        <v>1.243</v>
      </c>
      <c r="D16" s="154">
        <f>IF(gen!$D$37&lt;&gt;0,gen!$D$37,"  ")</f>
        <v>4285</v>
      </c>
      <c r="E16" s="488">
        <f>IF(inputOth!D32&gt;0,inputOth!D32,"  ")</f>
        <v>2.21</v>
      </c>
      <c r="F16" s="154">
        <f>IF(gen!$E$37&lt;&gt;0,gen!$E$37,"  ")</f>
        <v>9308</v>
      </c>
      <c r="G16" s="154">
        <f>IF(gen!$E$44&lt;&gt;0,gen!$E$44,"  ")</f>
        <v>3496</v>
      </c>
      <c r="H16" s="488">
        <f>IF(gen!E44&gt;0,ROUND(G16/$F$22*1000,3)," ")</f>
        <v>2.101</v>
      </c>
      <c r="J16" s="496" t="str">
        <f>CONCATENATE("",I3-1," Mill Rate Was:")</f>
        <v>2012 Mill Rate Was:</v>
      </c>
      <c r="K16" s="491"/>
      <c r="L16" s="491"/>
      <c r="M16" s="498">
        <f>E18</f>
        <v>2.21</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2055</v>
      </c>
      <c r="C18" s="489">
        <f aca="true" t="shared" si="0" ref="C18:H18">SUM(C16:C16)</f>
        <v>1.243</v>
      </c>
      <c r="D18" s="176">
        <f t="shared" si="0"/>
        <v>4285</v>
      </c>
      <c r="E18" s="489">
        <f t="shared" si="0"/>
        <v>2.21</v>
      </c>
      <c r="F18" s="176">
        <f t="shared" si="0"/>
        <v>9308</v>
      </c>
      <c r="G18" s="176">
        <f t="shared" si="0"/>
        <v>3496</v>
      </c>
      <c r="H18" s="489">
        <f t="shared" si="0"/>
        <v>2.101</v>
      </c>
      <c r="J18" s="496" t="str">
        <f>CONCATENATE("",I3," Ad Valorem Tax Revenue:")</f>
        <v>2013 Ad Valorem Tax Revenue:</v>
      </c>
      <c r="K18" s="491"/>
      <c r="L18" s="491"/>
      <c r="M18" s="492">
        <f>G18</f>
        <v>3496</v>
      </c>
    </row>
    <row r="19" spans="1:13" ht="15.75">
      <c r="A19" s="55" t="s">
        <v>168</v>
      </c>
      <c r="B19" s="154">
        <f>transfers!C26</f>
        <v>0</v>
      </c>
      <c r="C19" s="161"/>
      <c r="D19" s="154">
        <f>transfers!D26</f>
        <v>0</v>
      </c>
      <c r="E19" s="161"/>
      <c r="F19" s="62">
        <f>transfers!E26</f>
        <v>0</v>
      </c>
      <c r="G19" s="263"/>
      <c r="H19" s="316"/>
      <c r="J19" s="496" t="str">
        <f>CONCATENATE("",I3-1," Ad Valorem Tax Revenue:")</f>
        <v>2012 Ad Valorem Tax Revenue:</v>
      </c>
      <c r="K19" s="491"/>
      <c r="L19" s="491"/>
      <c r="M19" s="500">
        <f>ROUND(F22*M16/1000,0)</f>
        <v>3678</v>
      </c>
    </row>
    <row r="20" spans="1:13" ht="16.5" thickBot="1">
      <c r="A20" s="55" t="s">
        <v>169</v>
      </c>
      <c r="B20" s="66">
        <f>SUM(B18-B19)</f>
        <v>2055</v>
      </c>
      <c r="C20" s="317"/>
      <c r="D20" s="66">
        <f>SUM(D18-D19)</f>
        <v>4285</v>
      </c>
      <c r="E20" s="317"/>
      <c r="F20" s="63">
        <f>SUM(F18-F19)</f>
        <v>9308</v>
      </c>
      <c r="G20" s="263"/>
      <c r="H20" s="316"/>
      <c r="J20" s="501" t="s">
        <v>670</v>
      </c>
      <c r="K20" s="502"/>
      <c r="L20" s="502"/>
      <c r="M20" s="495">
        <f>M18-M19</f>
        <v>-182</v>
      </c>
    </row>
    <row r="21" spans="1:13" ht="16.5" thickTop="1">
      <c r="A21" s="55" t="s">
        <v>48</v>
      </c>
      <c r="B21" s="153">
        <f>inputPrYr!E61</f>
        <v>1858</v>
      </c>
      <c r="C21" s="245"/>
      <c r="D21" s="153">
        <f>inputPrYr!E40</f>
        <v>3429</v>
      </c>
      <c r="E21" s="245"/>
      <c r="F21" s="620" t="s">
        <v>21</v>
      </c>
      <c r="G21" s="35"/>
      <c r="H21" s="35"/>
      <c r="J21" s="503"/>
      <c r="K21" s="503"/>
      <c r="L21" s="503"/>
      <c r="M21" s="499"/>
    </row>
    <row r="22" spans="1:13" ht="16.5" thickBot="1">
      <c r="A22" s="55" t="s">
        <v>170</v>
      </c>
      <c r="B22" s="487">
        <f>inputPrYr!E62</f>
        <v>1495414</v>
      </c>
      <c r="C22" s="245"/>
      <c r="D22" s="487">
        <f>inputOth!H26</f>
        <v>1552369</v>
      </c>
      <c r="E22" s="245"/>
      <c r="F22" s="487">
        <f>inputOth!C26</f>
        <v>1664096</v>
      </c>
      <c r="G22" s="35"/>
      <c r="H22" s="35"/>
      <c r="J22" s="718" t="s">
        <v>671</v>
      </c>
      <c r="K22" s="721"/>
      <c r="L22" s="721"/>
      <c r="M22" s="722"/>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16" t="str">
        <f>inputBudSum!B3</f>
        <v>Darryl Hundley</v>
      </c>
      <c r="B27" s="717"/>
      <c r="C27" s="135"/>
      <c r="D27" s="35"/>
      <c r="E27" s="35"/>
      <c r="F27" s="35"/>
      <c r="G27" s="35"/>
      <c r="H27" s="123"/>
    </row>
    <row r="28" spans="1:8" ht="15.75">
      <c r="A28" s="713" t="str">
        <f>inputBudSum!B5</f>
        <v>President</v>
      </c>
      <c r="B28" s="714"/>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J10:M10"/>
    <mergeCell ref="J14:M14"/>
    <mergeCell ref="J22:M22"/>
    <mergeCell ref="G14:G15"/>
    <mergeCell ref="A3:H3"/>
    <mergeCell ref="A4:H4"/>
    <mergeCell ref="A28:B28"/>
    <mergeCell ref="A5:H5"/>
    <mergeCell ref="A6:H6"/>
    <mergeCell ref="A27:B27"/>
    <mergeCell ref="A1:H1"/>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Cemetery # 10 Wheatland Jt</v>
      </c>
      <c r="B1" s="123"/>
      <c r="C1" s="123"/>
      <c r="D1" s="123"/>
      <c r="E1" s="123"/>
      <c r="F1" s="123">
        <f>inputPrYr!D22</f>
        <v>2013</v>
      </c>
    </row>
    <row r="2" spans="1:6" ht="15.75">
      <c r="A2" s="320"/>
      <c r="B2" s="123"/>
      <c r="C2" s="123"/>
      <c r="D2" s="123"/>
      <c r="E2" s="123"/>
      <c r="F2" s="123"/>
    </row>
    <row r="3" spans="1:6" ht="15.75">
      <c r="A3" s="123"/>
      <c r="B3" s="123"/>
      <c r="C3" s="123"/>
      <c r="D3" s="123"/>
      <c r="E3" s="123"/>
      <c r="F3" s="123"/>
    </row>
    <row r="4" spans="1:6" ht="15.75">
      <c r="A4" s="35"/>
      <c r="B4" s="687" t="str">
        <f>CONCATENATE("",F1," Neighborhood Revitalization Rebate")</f>
        <v>2013 Neighborhood Revitalization Rebate</v>
      </c>
      <c r="C4" s="727"/>
      <c r="D4" s="727"/>
      <c r="E4" s="643"/>
      <c r="F4" s="123"/>
    </row>
    <row r="5" spans="1:6" ht="15.75">
      <c r="A5" s="35"/>
      <c r="B5" s="35"/>
      <c r="C5" s="35"/>
      <c r="D5" s="35"/>
      <c r="E5" s="35"/>
      <c r="F5" s="123"/>
    </row>
    <row r="6" spans="1:6" ht="51.75" customHeight="1">
      <c r="A6" s="35"/>
      <c r="B6" s="138" t="str">
        <f>CONCATENATE("Budgeted Funds                         for ",F1,"")</f>
        <v>Budgeted Funds                         for 2013</v>
      </c>
      <c r="C6" s="138" t="str">
        <f>CONCATENATE("",F1-1," Ad Valorem before Rebate**")</f>
        <v>2012 Ad Valorem before Rebate**</v>
      </c>
      <c r="D6" s="321" t="str">
        <f>CONCATENATE("",F1-1," Mil Rate before Rebate")</f>
        <v>2012 Mil Rate before Rebate</v>
      </c>
      <c r="E6" s="322" t="str">
        <f>CONCATENATE("Estimate ",F1," NR Rebate")</f>
        <v>Estimate 2013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85" t="str">
        <f>CONCATENATE("",F1-1," July 1 Valuation:")</f>
        <v>2012 July 1 Valuation:</v>
      </c>
      <c r="B16" s="726"/>
      <c r="C16" s="685"/>
      <c r="D16" s="328">
        <f>inputOth!C26</f>
        <v>1664096</v>
      </c>
      <c r="E16" s="35"/>
      <c r="F16" s="123"/>
    </row>
    <row r="17" spans="1:6" ht="15.75">
      <c r="A17" s="35"/>
      <c r="B17" s="35"/>
      <c r="C17" s="35"/>
      <c r="D17" s="35"/>
      <c r="E17" s="35"/>
      <c r="F17" s="123"/>
    </row>
    <row r="18" spans="1:6" ht="15.75">
      <c r="A18" s="35"/>
      <c r="B18" s="685" t="s">
        <v>320</v>
      </c>
      <c r="C18" s="685"/>
      <c r="D18" s="329">
        <f>IF(D16&gt;0,(D16*0.001),"")</f>
        <v>1664.096</v>
      </c>
      <c r="E18" s="35"/>
      <c r="F18" s="123"/>
    </row>
    <row r="19" spans="1:6" ht="15.75">
      <c r="A19" s="35"/>
      <c r="B19" s="192"/>
      <c r="C19" s="192"/>
      <c r="D19" s="330"/>
      <c r="E19" s="35"/>
      <c r="F19" s="123"/>
    </row>
    <row r="20" spans="1:6" ht="15.75">
      <c r="A20" s="725" t="s">
        <v>318</v>
      </c>
      <c r="B20" s="643"/>
      <c r="C20" s="64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2013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4" t="s">
        <v>129</v>
      </c>
      <c r="C1" s="734"/>
      <c r="D1" s="734"/>
      <c r="E1" s="734"/>
      <c r="F1" s="734"/>
      <c r="G1" s="734"/>
      <c r="H1" s="734"/>
    </row>
    <row r="2" spans="2:8" ht="15.75">
      <c r="B2" s="8"/>
      <c r="C2"/>
      <c r="D2"/>
      <c r="E2"/>
      <c r="F2"/>
      <c r="G2"/>
      <c r="H2"/>
    </row>
    <row r="3" spans="2:8" ht="15.75">
      <c r="B3" s="735" t="s">
        <v>126</v>
      </c>
      <c r="C3" s="735"/>
      <c r="D3" s="735"/>
      <c r="E3" s="735"/>
      <c r="F3" s="735"/>
      <c r="G3" s="735"/>
      <c r="H3" s="735"/>
    </row>
    <row r="4" spans="2:8" ht="15.75">
      <c r="B4" s="9"/>
      <c r="C4"/>
      <c r="D4"/>
      <c r="E4"/>
      <c r="F4"/>
      <c r="G4"/>
      <c r="H4"/>
    </row>
    <row r="5" spans="2:8" ht="15.75">
      <c r="B5" s="736" t="str">
        <f>CONCATENATE("A resolution expressing the property taxation policy of the Board of ",(inputPrYr!D3)," District with respect to financing the ",inputPrYr!D22," annual budget for ",(inputPrYr!D3)," , ",(inputPrYr!D4)," , Kansas.")</f>
        <v>A resolution expressing the property taxation policy of the Board of Cemetery # 10 Wheatland Jt District with respect to financing the 2013 annual budget for Cemetery # 10 Wheatland Jt , Brown County , Kansas.</v>
      </c>
      <c r="C5" s="732"/>
      <c r="D5" s="732"/>
      <c r="E5" s="732"/>
      <c r="F5" s="732"/>
      <c r="G5" s="732"/>
      <c r="H5" s="732"/>
    </row>
    <row r="6" spans="2:10" ht="15.75">
      <c r="B6" s="732"/>
      <c r="C6" s="732"/>
      <c r="D6" s="732"/>
      <c r="E6" s="732"/>
      <c r="F6" s="732"/>
      <c r="G6" s="732"/>
      <c r="H6" s="732"/>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2013 Cemetery # 10 Wheatland Jt district budget exceed the amount levied to finance the</v>
      </c>
      <c r="C9"/>
      <c r="D9"/>
      <c r="E9"/>
      <c r="F9"/>
      <c r="G9"/>
      <c r="H9"/>
    </row>
    <row r="10" spans="2:8" ht="15.75">
      <c r="B10" s="14" t="str">
        <f>CONCATENATE("",inputPrYr!D22-1," ",inputPrYr!D3," except with regard to revenue produced and attributable to the")</f>
        <v>2012 Cemetery # 10 Wheatland Jt except with regard to revenue produced and attributable to the</v>
      </c>
      <c r="C10"/>
      <c r="D10"/>
      <c r="E10"/>
      <c r="F10"/>
      <c r="G10"/>
      <c r="H10"/>
    </row>
    <row r="11" spans="2:8" ht="15.75">
      <c r="B11" s="730" t="s">
        <v>172</v>
      </c>
      <c r="C11" s="737"/>
      <c r="D11" s="737"/>
      <c r="E11" s="737"/>
      <c r="F11" s="737"/>
      <c r="G11" s="737"/>
      <c r="H11" s="737"/>
    </row>
    <row r="12" spans="2:8" ht="15.75">
      <c r="B12" s="737"/>
      <c r="C12" s="737"/>
      <c r="D12" s="737"/>
      <c r="E12" s="737"/>
      <c r="F12" s="737"/>
      <c r="G12" s="737"/>
      <c r="H12" s="737"/>
    </row>
    <row r="13" spans="2:8" ht="15.75">
      <c r="B13" s="737"/>
      <c r="C13" s="737"/>
      <c r="D13" s="737"/>
      <c r="E13" s="737"/>
      <c r="F13" s="737"/>
      <c r="G13" s="737"/>
      <c r="H13" s="737"/>
    </row>
    <row r="14" spans="2:8" ht="15.75">
      <c r="B14" s="737"/>
      <c r="C14" s="737"/>
      <c r="D14" s="737"/>
      <c r="E14" s="737"/>
      <c r="F14" s="737"/>
      <c r="G14" s="737"/>
      <c r="H14" s="737"/>
    </row>
    <row r="15" spans="2:8" ht="15.75">
      <c r="B15" s="3"/>
      <c r="C15" s="3"/>
      <c r="D15" s="3"/>
      <c r="E15" s="3"/>
      <c r="F15" s="3"/>
      <c r="G15" s="3"/>
      <c r="H15" s="3"/>
    </row>
    <row r="16" spans="2:8" ht="15.75">
      <c r="B16" s="728" t="s">
        <v>142</v>
      </c>
      <c r="C16" s="729"/>
      <c r="D16" s="729"/>
      <c r="E16" s="729"/>
      <c r="F16" s="729"/>
      <c r="G16" s="729"/>
      <c r="H16" s="729"/>
    </row>
    <row r="17" spans="2:8" ht="15.75">
      <c r="B17" s="729"/>
      <c r="C17" s="729"/>
      <c r="D17" s="729"/>
      <c r="E17" s="729"/>
      <c r="F17" s="729"/>
      <c r="G17" s="729"/>
      <c r="H17" s="729"/>
    </row>
    <row r="18" spans="2:8" ht="15.75">
      <c r="B18" s="14"/>
      <c r="C18"/>
      <c r="D18"/>
      <c r="E18"/>
      <c r="F18"/>
      <c r="G18"/>
      <c r="H18"/>
    </row>
    <row r="19" spans="2:8" ht="15.75">
      <c r="B19" s="14" t="str">
        <f>CONCATENATE("Whereas, ",(inputPrYr!D3)," provides essential services to district residents; and")</f>
        <v>Whereas, Cemetery # 10 Wheatland Jt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0"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Cemetery # 10 Wheatland Jt that is our desire to notify the public of the possibility of increased property taxes to finance the 2013 Cemetery # 10 Wheatland Jt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4"/>
      <c r="C26"/>
      <c r="D26"/>
      <c r="E26"/>
      <c r="F26"/>
      <c r="G26"/>
      <c r="H26"/>
    </row>
    <row r="27" spans="2:8" ht="15.75">
      <c r="B27" s="728" t="str">
        <f>CONCATENATE("Adopted this _________ day of ___________, ",inputPrYr!D22-1," by the ",(inputPrYr!D3)," District Board, ",(inputPrYr!D4),", State of Kansas.")</f>
        <v>Adopted this _________ day of ___________, 2012 by the Cemetery # 10 Wheatland Jt District Board, Brown County, State of Kansas.</v>
      </c>
      <c r="C27" s="732"/>
      <c r="D27" s="732"/>
      <c r="E27" s="732"/>
      <c r="F27" s="732"/>
      <c r="G27" s="732"/>
      <c r="H27" s="732"/>
    </row>
    <row r="28" spans="2:8" ht="15.75">
      <c r="B28" s="732"/>
      <c r="C28" s="732"/>
      <c r="D28" s="732"/>
      <c r="E28" s="732"/>
      <c r="F28" s="732"/>
      <c r="G28" s="732"/>
      <c r="H28" s="732"/>
    </row>
    <row r="29" spans="2:8" ht="15.75">
      <c r="B29" s="10"/>
      <c r="C29"/>
      <c r="D29"/>
      <c r="E29"/>
      <c r="F29"/>
      <c r="G29"/>
      <c r="H29"/>
    </row>
    <row r="30" spans="2:8" ht="15.75">
      <c r="B30" s="10"/>
      <c r="C30"/>
      <c r="D30"/>
      <c r="E30"/>
      <c r="F30"/>
      <c r="G30"/>
      <c r="H30"/>
    </row>
    <row r="31" spans="2:8" ht="15.75">
      <c r="B31" s="11" t="str">
        <f>CONCATENATE(" ",(inputPrYr!D3)," District Board")</f>
        <v> Cemetery # 10 Wheatland Jt District Board</v>
      </c>
      <c r="C31"/>
      <c r="D31"/>
      <c r="E31"/>
      <c r="F31"/>
      <c r="G31"/>
      <c r="H31"/>
    </row>
    <row r="32" spans="2:8" ht="15.75">
      <c r="B32" s="10"/>
      <c r="C32"/>
      <c r="D32"/>
      <c r="E32"/>
      <c r="F32"/>
      <c r="G32"/>
      <c r="H32"/>
    </row>
    <row r="33" spans="2:8" ht="15.75">
      <c r="B33"/>
      <c r="C33"/>
      <c r="D33"/>
      <c r="E33" s="733" t="s">
        <v>127</v>
      </c>
      <c r="F33" s="733"/>
      <c r="G33" s="733"/>
      <c r="H33" s="733"/>
    </row>
    <row r="34" spans="2:8" ht="15.75">
      <c r="B34"/>
      <c r="C34"/>
      <c r="D34"/>
      <c r="E34" s="733" t="s">
        <v>130</v>
      </c>
      <c r="F34" s="733"/>
      <c r="G34" s="733"/>
      <c r="H34" s="733"/>
    </row>
    <row r="35" spans="2:8" ht="15.75">
      <c r="B35" s="10"/>
      <c r="C35"/>
      <c r="D35"/>
      <c r="E35" s="733"/>
      <c r="F35" s="733"/>
      <c r="G35" s="733"/>
      <c r="H35" s="733"/>
    </row>
    <row r="36" spans="2:8" ht="15.75">
      <c r="B36"/>
      <c r="C36"/>
      <c r="D36"/>
      <c r="E36" s="733" t="s">
        <v>127</v>
      </c>
      <c r="F36" s="733"/>
      <c r="G36" s="733"/>
      <c r="H36" s="733"/>
    </row>
    <row r="37" spans="2:8" ht="15.75">
      <c r="B37"/>
      <c r="C37"/>
      <c r="D37"/>
      <c r="E37" s="733" t="s">
        <v>131</v>
      </c>
      <c r="F37" s="733"/>
      <c r="G37" s="733"/>
      <c r="H37" s="733"/>
    </row>
    <row r="38" spans="2:8" ht="15.75">
      <c r="B38" s="10"/>
      <c r="C38"/>
      <c r="D38"/>
      <c r="E38" s="733"/>
      <c r="F38" s="733"/>
      <c r="G38" s="733"/>
      <c r="H38" s="733"/>
    </row>
    <row r="39" spans="2:8" ht="15.75">
      <c r="B39"/>
      <c r="C39"/>
      <c r="D39"/>
      <c r="E39" s="733" t="s">
        <v>127</v>
      </c>
      <c r="F39" s="733"/>
      <c r="G39" s="733"/>
      <c r="H39" s="733"/>
    </row>
    <row r="40" spans="2:8" ht="15.75">
      <c r="B40"/>
      <c r="C40"/>
      <c r="D40"/>
      <c r="E40" s="733" t="s">
        <v>132</v>
      </c>
      <c r="F40" s="733"/>
      <c r="G40" s="733"/>
      <c r="H40" s="733"/>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38"/>
      <c r="F46" s="738"/>
      <c r="G46" s="738"/>
      <c r="H46" s="738"/>
    </row>
    <row r="47" spans="2:8" ht="15.75">
      <c r="B47" s="5"/>
      <c r="E47" s="738"/>
      <c r="F47" s="738"/>
      <c r="G47" s="738"/>
      <c r="H47" s="738"/>
    </row>
    <row r="48" spans="5:8" ht="15.75">
      <c r="E48" s="738"/>
      <c r="F48" s="738"/>
      <c r="G48" s="738"/>
      <c r="H48" s="738"/>
    </row>
    <row r="49" spans="5:8" ht="15.75">
      <c r="E49" s="738"/>
      <c r="F49" s="738"/>
      <c r="G49" s="738"/>
      <c r="H49" s="738"/>
    </row>
    <row r="50" spans="2:8" ht="15.75">
      <c r="B50" s="5"/>
      <c r="E50" s="738"/>
      <c r="F50" s="738"/>
      <c r="G50" s="738"/>
      <c r="H50" s="738"/>
    </row>
    <row r="51" ht="15.75">
      <c r="B51" s="7"/>
    </row>
    <row r="52" ht="15.75">
      <c r="B52" s="7"/>
    </row>
    <row r="53" ht="15.75">
      <c r="B53" s="7"/>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16:H17"/>
    <mergeCell ref="B23:H25"/>
    <mergeCell ref="B27:H28"/>
    <mergeCell ref="E33:H33"/>
    <mergeCell ref="B1:H1"/>
    <mergeCell ref="B3:H3"/>
    <mergeCell ref="B5:H6"/>
    <mergeCell ref="B11:H14"/>
  </mergeCells>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2011 'total expenditures' exceed your 2011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2013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2011 budget was amended, did you</v>
      </c>
    </row>
    <row r="26" ht="15">
      <c r="A26" s="355" t="s">
        <v>348</v>
      </c>
    </row>
    <row r="27" ht="15">
      <c r="A27" s="355"/>
    </row>
    <row r="28" ht="15">
      <c r="A28" s="355" t="str">
        <f>CONCATENATE("Next, look to see if any of your ",inputPrYr!D22-2," expenditures can be")</f>
        <v>Next, look to see if any of your 2011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2011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2011 financial records have been closed?</v>
      </c>
    </row>
    <row r="63" ht="15">
      <c r="A63" s="355" t="s">
        <v>374</v>
      </c>
    </row>
    <row r="64" ht="15">
      <c r="A64" s="355" t="str">
        <f>CONCATENATE("(i.e. an audit for ",inputPrYr!D22-2," has been completed, or the ",inputPrYr!D22)</f>
        <v>(i.e. an audit for 2011 has been completed, or the 2013</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2011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2011 are not closed</v>
      </c>
      <c r="B33" s="355"/>
      <c r="C33" s="355"/>
      <c r="D33" s="355"/>
      <c r="E33" s="355"/>
      <c r="F33" s="355"/>
      <c r="G33" s="355"/>
      <c r="H33" s="355"/>
    </row>
    <row r="34" spans="1:8" ht="15">
      <c r="A34" s="355" t="str">
        <f>CONCATENATE("(i.e. an audit has not been completed, or the ",inputPrYr!D22," adopted ")</f>
        <v>(i.e. an audit has not been completed, or the 2013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2012 'total expenditures' exceed your 2012</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2012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2012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2012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2012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2012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2013 'total expenditures' exceed your 2013</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E5" sqref="E5"/>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795</v>
      </c>
      <c r="E6" s="38"/>
    </row>
    <row r="7" spans="1:5" ht="15.75">
      <c r="A7" s="34">
        <v>2</v>
      </c>
      <c r="B7" s="35"/>
      <c r="C7" s="35"/>
      <c r="D7" s="37" t="s">
        <v>796</v>
      </c>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2013</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2012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2012</v>
      </c>
      <c r="E33" s="634" t="str">
        <f>CONCATENATE("Amount of ",D22-2,"     Ad Valorem Tax")</f>
        <v>Amount of 2011     Ad Valorem Tax</v>
      </c>
      <c r="G33" s="141" t="s">
        <v>751</v>
      </c>
      <c r="H33" s="146" t="s">
        <v>37</v>
      </c>
    </row>
    <row r="34" spans="1:8" ht="15.75">
      <c r="A34" s="34" t="s">
        <v>3</v>
      </c>
      <c r="B34" s="35"/>
      <c r="C34" s="52" t="s">
        <v>4</v>
      </c>
      <c r="D34" s="54" t="s">
        <v>283</v>
      </c>
      <c r="E34" s="635"/>
      <c r="G34" s="119" t="str">
        <f>CONCATENATE("",D22-2," Ad Valorem Tax")</f>
        <v>2011 Ad Valorem Tax</v>
      </c>
      <c r="H34" s="576">
        <v>0</v>
      </c>
    </row>
    <row r="35" spans="1:7" ht="15.75">
      <c r="A35" s="35"/>
      <c r="B35" s="55" t="s">
        <v>5</v>
      </c>
      <c r="C35" s="471" t="s">
        <v>794</v>
      </c>
      <c r="D35" s="56">
        <v>8656</v>
      </c>
      <c r="E35" s="56">
        <v>3429</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2012 Budgeted Year</v>
      </c>
      <c r="B40" s="61"/>
      <c r="C40" s="61"/>
      <c r="D40" s="62"/>
      <c r="E40" s="63">
        <f>SUM(E35:E39)</f>
        <v>3429</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2012 Budgeted Year</v>
      </c>
      <c r="B44" s="61"/>
      <c r="C44" s="65"/>
      <c r="D44" s="66">
        <f>SUM(D35:D36,D38:D39,D42:D43)</f>
        <v>8656</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2010 Tax Rate         (2011 Column)</v>
      </c>
      <c r="E52" s="58"/>
    </row>
    <row r="53" spans="1:5" ht="15.75">
      <c r="A53" s="50" t="str">
        <f>CONCATENATE("the ",D22-1," Budget, Budget Summary Page")</f>
        <v>the 2012 Budget, Budget Summary Page</v>
      </c>
      <c r="B53" s="51"/>
      <c r="C53" s="35"/>
      <c r="D53" s="630"/>
      <c r="E53" s="58"/>
    </row>
    <row r="54" spans="1:5" ht="15.75">
      <c r="A54" s="35"/>
      <c r="B54" s="68" t="str">
        <f>B35</f>
        <v>General</v>
      </c>
      <c r="C54" s="35"/>
      <c r="D54" s="69">
        <v>1.243</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1.243</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(2011 budget column)</v>
      </c>
      <c r="B61" s="49"/>
      <c r="C61" s="35"/>
      <c r="D61" s="35"/>
      <c r="E61" s="73">
        <v>1858</v>
      </c>
    </row>
    <row r="62" spans="1:5" ht="15.75">
      <c r="A62" s="72" t="str">
        <f>CONCATENATE("Assessed Valuation (",D22-2," budget column)")</f>
        <v>Assessed Valuation (2011 budget column)</v>
      </c>
      <c r="B62" s="49"/>
      <c r="C62" s="35"/>
      <c r="D62" s="35"/>
      <c r="E62" s="74">
        <v>1495414</v>
      </c>
    </row>
    <row r="63" spans="1:5" ht="15.75">
      <c r="A63" s="35"/>
      <c r="B63" s="35"/>
      <c r="C63" s="35"/>
      <c r="D63" s="35"/>
      <c r="E63" s="58"/>
    </row>
    <row r="64" spans="1:5" ht="15.75">
      <c r="A64" s="49" t="s">
        <v>204</v>
      </c>
      <c r="B64" s="49"/>
      <c r="C64" s="35"/>
      <c r="D64" s="75">
        <f>D22-2</f>
        <v>2011</v>
      </c>
      <c r="E64" s="75">
        <f>D22-1</f>
        <v>2012</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48" t="s">
        <v>567</v>
      </c>
      <c r="C6" s="756"/>
      <c r="D6" s="756"/>
      <c r="E6" s="756"/>
      <c r="F6" s="756"/>
      <c r="G6" s="756"/>
      <c r="H6" s="756"/>
      <c r="I6" s="756"/>
      <c r="J6" s="756"/>
      <c r="K6" s="756"/>
      <c r="L6" s="392"/>
    </row>
    <row r="7" spans="1:12" ht="40.5" customHeight="1">
      <c r="A7" s="389"/>
      <c r="B7" s="768" t="s">
        <v>568</v>
      </c>
      <c r="C7" s="769"/>
      <c r="D7" s="769"/>
      <c r="E7" s="769"/>
      <c r="F7" s="769"/>
      <c r="G7" s="769"/>
      <c r="H7" s="769"/>
      <c r="I7" s="769"/>
      <c r="J7" s="769"/>
      <c r="K7" s="769"/>
      <c r="L7" s="389"/>
    </row>
    <row r="8" spans="1:12" ht="14.25">
      <c r="A8" s="389"/>
      <c r="B8" s="765" t="s">
        <v>569</v>
      </c>
      <c r="C8" s="765"/>
      <c r="D8" s="765"/>
      <c r="E8" s="765"/>
      <c r="F8" s="765"/>
      <c r="G8" s="765"/>
      <c r="H8" s="765"/>
      <c r="I8" s="765"/>
      <c r="J8" s="765"/>
      <c r="K8" s="765"/>
      <c r="L8" s="389"/>
    </row>
    <row r="9" spans="1:12" ht="14.25">
      <c r="A9" s="389"/>
      <c r="L9" s="389"/>
    </row>
    <row r="10" spans="1:12" ht="14.25">
      <c r="A10" s="389"/>
      <c r="B10" s="765" t="s">
        <v>570</v>
      </c>
      <c r="C10" s="765"/>
      <c r="D10" s="765"/>
      <c r="E10" s="765"/>
      <c r="F10" s="765"/>
      <c r="G10" s="765"/>
      <c r="H10" s="765"/>
      <c r="I10" s="765"/>
      <c r="J10" s="765"/>
      <c r="K10" s="765"/>
      <c r="L10" s="389"/>
    </row>
    <row r="11" spans="1:12" ht="14.25">
      <c r="A11" s="389"/>
      <c r="B11" s="526"/>
      <c r="C11" s="526"/>
      <c r="D11" s="526"/>
      <c r="E11" s="526"/>
      <c r="F11" s="526"/>
      <c r="G11" s="526"/>
      <c r="H11" s="526"/>
      <c r="I11" s="526"/>
      <c r="J11" s="526"/>
      <c r="K11" s="526"/>
      <c r="L11" s="389"/>
    </row>
    <row r="12" spans="1:12" ht="32.25" customHeight="1">
      <c r="A12" s="389"/>
      <c r="B12" s="749" t="s">
        <v>571</v>
      </c>
      <c r="C12" s="749"/>
      <c r="D12" s="749"/>
      <c r="E12" s="749"/>
      <c r="F12" s="749"/>
      <c r="G12" s="749"/>
      <c r="H12" s="749"/>
      <c r="I12" s="749"/>
      <c r="J12" s="749"/>
      <c r="K12" s="749"/>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51">
        <v>312000000</v>
      </c>
      <c r="G23" s="751"/>
      <c r="L23" s="389"/>
    </row>
    <row r="24" spans="1:12" ht="14.25">
      <c r="A24" s="389"/>
      <c r="L24" s="389"/>
    </row>
    <row r="25" spans="1:12" ht="14.25">
      <c r="A25" s="389"/>
      <c r="C25" s="766">
        <f>F23</f>
        <v>312000000</v>
      </c>
      <c r="D25" s="76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53" t="s">
        <v>568</v>
      </c>
      <c r="C30" s="753"/>
      <c r="D30" s="753"/>
      <c r="E30" s="753"/>
      <c r="F30" s="753"/>
      <c r="G30" s="753"/>
      <c r="H30" s="753"/>
      <c r="I30" s="753"/>
      <c r="J30" s="753"/>
      <c r="K30" s="753"/>
      <c r="L30" s="389"/>
    </row>
    <row r="31" spans="1:12" ht="14.25">
      <c r="A31" s="389"/>
      <c r="B31" s="765" t="s">
        <v>580</v>
      </c>
      <c r="C31" s="765"/>
      <c r="D31" s="765"/>
      <c r="E31" s="765"/>
      <c r="F31" s="765"/>
      <c r="G31" s="765"/>
      <c r="H31" s="765"/>
      <c r="I31" s="765"/>
      <c r="J31" s="765"/>
      <c r="K31" s="765"/>
      <c r="L31" s="389"/>
    </row>
    <row r="32" spans="1:12" ht="14.25">
      <c r="A32" s="389"/>
      <c r="L32" s="389"/>
    </row>
    <row r="33" spans="1:12" ht="14.25">
      <c r="A33" s="389"/>
      <c r="B33" s="765" t="s">
        <v>581</v>
      </c>
      <c r="C33" s="765"/>
      <c r="D33" s="765"/>
      <c r="E33" s="765"/>
      <c r="F33" s="765"/>
      <c r="G33" s="765"/>
      <c r="H33" s="765"/>
      <c r="I33" s="765"/>
      <c r="J33" s="765"/>
      <c r="K33" s="765"/>
      <c r="L33" s="389"/>
    </row>
    <row r="34" spans="1:12" ht="14.25">
      <c r="A34" s="389"/>
      <c r="L34" s="389"/>
    </row>
    <row r="35" spans="1:12" ht="89.25" customHeight="1">
      <c r="A35" s="389"/>
      <c r="B35" s="749" t="s">
        <v>582</v>
      </c>
      <c r="C35" s="759"/>
      <c r="D35" s="759"/>
      <c r="E35" s="759"/>
      <c r="F35" s="759"/>
      <c r="G35" s="759"/>
      <c r="H35" s="759"/>
      <c r="I35" s="759"/>
      <c r="J35" s="759"/>
      <c r="K35" s="759"/>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67">
        <v>312000000</v>
      </c>
      <c r="D41" s="767"/>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60">
        <v>312000000</v>
      </c>
      <c r="C48" s="751"/>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61" t="s">
        <v>590</v>
      </c>
      <c r="H50" s="762"/>
      <c r="I50" s="531" t="s">
        <v>576</v>
      </c>
      <c r="J50" s="409">
        <f>B50/F50</f>
        <v>0.16025641025641027</v>
      </c>
      <c r="K50" s="401"/>
      <c r="L50" s="389"/>
    </row>
    <row r="51" spans="1:15" ht="15" thickBot="1">
      <c r="A51" s="389"/>
      <c r="B51" s="402"/>
      <c r="C51" s="403"/>
      <c r="D51" s="403"/>
      <c r="E51" s="403"/>
      <c r="F51" s="403"/>
      <c r="G51" s="403"/>
      <c r="H51" s="403"/>
      <c r="I51" s="763" t="s">
        <v>591</v>
      </c>
      <c r="J51" s="763"/>
      <c r="K51" s="764"/>
      <c r="L51" s="389"/>
      <c r="O51" s="410"/>
    </row>
    <row r="52" spans="1:12" ht="40.5" customHeight="1">
      <c r="A52" s="389"/>
      <c r="B52" s="753" t="s">
        <v>568</v>
      </c>
      <c r="C52" s="753"/>
      <c r="D52" s="753"/>
      <c r="E52" s="753"/>
      <c r="F52" s="753"/>
      <c r="G52" s="753"/>
      <c r="H52" s="753"/>
      <c r="I52" s="753"/>
      <c r="J52" s="753"/>
      <c r="K52" s="753"/>
      <c r="L52" s="389"/>
    </row>
    <row r="53" spans="1:12" ht="14.25">
      <c r="A53" s="389"/>
      <c r="B53" s="765" t="s">
        <v>592</v>
      </c>
      <c r="C53" s="765"/>
      <c r="D53" s="765"/>
      <c r="E53" s="765"/>
      <c r="F53" s="765"/>
      <c r="G53" s="765"/>
      <c r="H53" s="765"/>
      <c r="I53" s="765"/>
      <c r="J53" s="765"/>
      <c r="K53" s="765"/>
      <c r="L53" s="389"/>
    </row>
    <row r="54" spans="1:12" ht="14.25">
      <c r="A54" s="389"/>
      <c r="B54" s="526"/>
      <c r="C54" s="526"/>
      <c r="D54" s="526"/>
      <c r="E54" s="526"/>
      <c r="F54" s="526"/>
      <c r="G54" s="526"/>
      <c r="H54" s="526"/>
      <c r="I54" s="526"/>
      <c r="J54" s="526"/>
      <c r="K54" s="526"/>
      <c r="L54" s="389"/>
    </row>
    <row r="55" spans="1:12" ht="14.25">
      <c r="A55" s="389"/>
      <c r="B55" s="748" t="s">
        <v>593</v>
      </c>
      <c r="C55" s="748"/>
      <c r="D55" s="748"/>
      <c r="E55" s="748"/>
      <c r="F55" s="748"/>
      <c r="G55" s="748"/>
      <c r="H55" s="748"/>
      <c r="I55" s="748"/>
      <c r="J55" s="748"/>
      <c r="K55" s="748"/>
      <c r="L55" s="389"/>
    </row>
    <row r="56" spans="1:12" ht="15" customHeight="1">
      <c r="A56" s="389"/>
      <c r="L56" s="389"/>
    </row>
    <row r="57" spans="1:24" ht="74.25" customHeight="1">
      <c r="A57" s="389"/>
      <c r="B57" s="749" t="s">
        <v>594</v>
      </c>
      <c r="C57" s="759"/>
      <c r="D57" s="759"/>
      <c r="E57" s="759"/>
      <c r="F57" s="759"/>
      <c r="G57" s="759"/>
      <c r="H57" s="759"/>
      <c r="I57" s="759"/>
      <c r="J57" s="759"/>
      <c r="K57" s="759"/>
      <c r="L57" s="389"/>
      <c r="M57" s="411"/>
      <c r="N57" s="412"/>
      <c r="O57" s="412"/>
      <c r="P57" s="412"/>
      <c r="Q57" s="412"/>
      <c r="R57" s="412"/>
      <c r="S57" s="412"/>
      <c r="T57" s="412"/>
      <c r="U57" s="412"/>
      <c r="V57" s="412"/>
      <c r="W57" s="412"/>
      <c r="X57" s="412"/>
    </row>
    <row r="58" spans="1:24" ht="15" customHeight="1">
      <c r="A58" s="389"/>
      <c r="B58" s="749"/>
      <c r="C58" s="759"/>
      <c r="D58" s="759"/>
      <c r="E58" s="759"/>
      <c r="F58" s="759"/>
      <c r="G58" s="759"/>
      <c r="H58" s="759"/>
      <c r="I58" s="759"/>
      <c r="J58" s="759"/>
      <c r="K58" s="759"/>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51">
        <v>312000000</v>
      </c>
      <c r="D74" s="751"/>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51">
        <v>50000</v>
      </c>
      <c r="D77" s="751"/>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51">
        <v>100000</v>
      </c>
      <c r="D80" s="751"/>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2">
        <f>H80</f>
        <v>11500</v>
      </c>
      <c r="D83" s="752"/>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53" t="s">
        <v>568</v>
      </c>
      <c r="C85" s="753"/>
      <c r="D85" s="753"/>
      <c r="E85" s="753"/>
      <c r="F85" s="753"/>
      <c r="G85" s="753"/>
      <c r="H85" s="753"/>
      <c r="I85" s="753"/>
      <c r="J85" s="753"/>
      <c r="K85" s="753"/>
      <c r="L85" s="389"/>
    </row>
    <row r="86" spans="1:12" ht="14.25">
      <c r="A86" s="389"/>
      <c r="B86" s="748" t="s">
        <v>610</v>
      </c>
      <c r="C86" s="748"/>
      <c r="D86" s="748"/>
      <c r="E86" s="748"/>
      <c r="F86" s="748"/>
      <c r="G86" s="748"/>
      <c r="H86" s="748"/>
      <c r="I86" s="748"/>
      <c r="J86" s="748"/>
      <c r="K86" s="748"/>
      <c r="L86" s="389"/>
    </row>
    <row r="87" spans="1:12" ht="14.25">
      <c r="A87" s="389"/>
      <c r="B87" s="423"/>
      <c r="C87" s="423"/>
      <c r="D87" s="423"/>
      <c r="E87" s="423"/>
      <c r="F87" s="423"/>
      <c r="G87" s="423"/>
      <c r="H87" s="423"/>
      <c r="I87" s="423"/>
      <c r="J87" s="423"/>
      <c r="K87" s="423"/>
      <c r="L87" s="389"/>
    </row>
    <row r="88" spans="1:12" ht="14.25">
      <c r="A88" s="389"/>
      <c r="B88" s="748" t="s">
        <v>611</v>
      </c>
      <c r="C88" s="748"/>
      <c r="D88" s="748"/>
      <c r="E88" s="748"/>
      <c r="F88" s="748"/>
      <c r="G88" s="748"/>
      <c r="H88" s="748"/>
      <c r="I88" s="748"/>
      <c r="J88" s="748"/>
      <c r="K88" s="748"/>
      <c r="L88" s="389"/>
    </row>
    <row r="89" spans="1:12" ht="14.25">
      <c r="A89" s="389"/>
      <c r="B89" s="525"/>
      <c r="C89" s="525"/>
      <c r="D89" s="525"/>
      <c r="E89" s="525"/>
      <c r="F89" s="525"/>
      <c r="G89" s="525"/>
      <c r="H89" s="525"/>
      <c r="I89" s="525"/>
      <c r="J89" s="525"/>
      <c r="K89" s="525"/>
      <c r="L89" s="389"/>
    </row>
    <row r="90" spans="1:12" ht="45" customHeight="1">
      <c r="A90" s="389"/>
      <c r="B90" s="749" t="s">
        <v>612</v>
      </c>
      <c r="C90" s="749"/>
      <c r="D90" s="749"/>
      <c r="E90" s="749"/>
      <c r="F90" s="749"/>
      <c r="G90" s="749"/>
      <c r="H90" s="749"/>
      <c r="I90" s="749"/>
      <c r="J90" s="749"/>
      <c r="K90" s="749"/>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51">
        <v>312000000</v>
      </c>
      <c r="D94" s="751"/>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51">
        <v>50000</v>
      </c>
      <c r="D97" s="751"/>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51">
        <v>2500000</v>
      </c>
      <c r="D100" s="751"/>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2">
        <f>H100</f>
        <v>750000</v>
      </c>
      <c r="D103" s="752"/>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53" t="s">
        <v>568</v>
      </c>
      <c r="C105" s="754"/>
      <c r="D105" s="754"/>
      <c r="E105" s="754"/>
      <c r="F105" s="754"/>
      <c r="G105" s="754"/>
      <c r="H105" s="754"/>
      <c r="I105" s="754"/>
      <c r="J105" s="754"/>
      <c r="K105" s="754"/>
      <c r="L105" s="389"/>
    </row>
    <row r="106" spans="1:12" ht="15" customHeight="1">
      <c r="A106" s="389"/>
      <c r="B106" s="755" t="s">
        <v>614</v>
      </c>
      <c r="C106" s="756"/>
      <c r="D106" s="756"/>
      <c r="E106" s="756"/>
      <c r="F106" s="756"/>
      <c r="G106" s="756"/>
      <c r="H106" s="756"/>
      <c r="I106" s="756"/>
      <c r="J106" s="756"/>
      <c r="K106" s="756"/>
      <c r="L106" s="389"/>
    </row>
    <row r="107" spans="1:12" ht="15" customHeight="1">
      <c r="A107" s="389"/>
      <c r="B107" s="529"/>
      <c r="C107" s="434"/>
      <c r="D107" s="434"/>
      <c r="E107" s="531"/>
      <c r="F107" s="409"/>
      <c r="G107" s="531"/>
      <c r="H107" s="531"/>
      <c r="I107" s="531"/>
      <c r="J107" s="534"/>
      <c r="K107" s="529"/>
      <c r="L107" s="389"/>
    </row>
    <row r="108" spans="1:12" ht="15" customHeight="1">
      <c r="A108" s="389"/>
      <c r="B108" s="755" t="s">
        <v>615</v>
      </c>
      <c r="C108" s="757"/>
      <c r="D108" s="757"/>
      <c r="E108" s="757"/>
      <c r="F108" s="757"/>
      <c r="G108" s="757"/>
      <c r="H108" s="757"/>
      <c r="I108" s="757"/>
      <c r="J108" s="757"/>
      <c r="K108" s="757"/>
      <c r="L108" s="389"/>
    </row>
    <row r="109" spans="1:12" ht="15" customHeight="1">
      <c r="A109" s="389"/>
      <c r="B109" s="529"/>
      <c r="C109" s="434"/>
      <c r="D109" s="434"/>
      <c r="E109" s="531"/>
      <c r="F109" s="409"/>
      <c r="G109" s="531"/>
      <c r="H109" s="531"/>
      <c r="I109" s="531"/>
      <c r="J109" s="534"/>
      <c r="K109" s="529"/>
      <c r="L109" s="389"/>
    </row>
    <row r="110" spans="1:12" ht="59.25" customHeight="1">
      <c r="A110" s="389"/>
      <c r="B110" s="758" t="s">
        <v>616</v>
      </c>
      <c r="C110" s="759"/>
      <c r="D110" s="759"/>
      <c r="E110" s="759"/>
      <c r="F110" s="759"/>
      <c r="G110" s="759"/>
      <c r="H110" s="759"/>
      <c r="I110" s="759"/>
      <c r="J110" s="759"/>
      <c r="K110" s="759"/>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51">
        <v>312000000</v>
      </c>
      <c r="D114" s="751"/>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51">
        <v>50000</v>
      </c>
      <c r="D117" s="751"/>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51">
        <v>2500000</v>
      </c>
      <c r="D120" s="751"/>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2">
        <f>H120</f>
        <v>625000</v>
      </c>
      <c r="D123" s="752"/>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53" t="s">
        <v>568</v>
      </c>
      <c r="C125" s="753"/>
      <c r="D125" s="753"/>
      <c r="E125" s="753"/>
      <c r="F125" s="753"/>
      <c r="G125" s="753"/>
      <c r="H125" s="753"/>
      <c r="I125" s="753"/>
      <c r="J125" s="753"/>
      <c r="K125" s="753"/>
      <c r="L125" s="435"/>
    </row>
    <row r="126" spans="1:12" ht="14.25">
      <c r="A126" s="389"/>
      <c r="B126" s="748" t="s">
        <v>617</v>
      </c>
      <c r="C126" s="748"/>
      <c r="D126" s="748"/>
      <c r="E126" s="748"/>
      <c r="F126" s="748"/>
      <c r="G126" s="748"/>
      <c r="H126" s="748"/>
      <c r="I126" s="748"/>
      <c r="J126" s="748"/>
      <c r="K126" s="748"/>
      <c r="L126" s="435"/>
    </row>
    <row r="127" spans="1:12" ht="14.25">
      <c r="A127" s="389"/>
      <c r="B127" s="526"/>
      <c r="C127" s="526"/>
      <c r="D127" s="526"/>
      <c r="E127" s="526"/>
      <c r="F127" s="526"/>
      <c r="G127" s="526"/>
      <c r="H127" s="526"/>
      <c r="I127" s="526"/>
      <c r="J127" s="526"/>
      <c r="K127" s="526"/>
      <c r="L127" s="435"/>
    </row>
    <row r="128" spans="1:12" ht="14.25">
      <c r="A128" s="389"/>
      <c r="B128" s="748" t="s">
        <v>618</v>
      </c>
      <c r="C128" s="748"/>
      <c r="D128" s="748"/>
      <c r="E128" s="748"/>
      <c r="F128" s="748"/>
      <c r="G128" s="748"/>
      <c r="H128" s="748"/>
      <c r="I128" s="748"/>
      <c r="J128" s="748"/>
      <c r="K128" s="748"/>
      <c r="L128" s="435"/>
    </row>
    <row r="129" spans="1:12" ht="14.25">
      <c r="A129" s="389"/>
      <c r="B129" s="525"/>
      <c r="C129" s="525"/>
      <c r="D129" s="525"/>
      <c r="E129" s="525"/>
      <c r="F129" s="525"/>
      <c r="G129" s="525"/>
      <c r="H129" s="525"/>
      <c r="I129" s="525"/>
      <c r="J129" s="525"/>
      <c r="K129" s="525"/>
      <c r="L129" s="435"/>
    </row>
    <row r="130" spans="1:12" ht="74.25" customHeight="1">
      <c r="A130" s="389"/>
      <c r="B130" s="749" t="s">
        <v>619</v>
      </c>
      <c r="C130" s="749"/>
      <c r="D130" s="749"/>
      <c r="E130" s="749"/>
      <c r="F130" s="749"/>
      <c r="G130" s="749"/>
      <c r="H130" s="749"/>
      <c r="I130" s="749"/>
      <c r="J130" s="749"/>
      <c r="K130" s="749"/>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50" t="s">
        <v>620</v>
      </c>
      <c r="D133" s="750"/>
      <c r="E133" s="399"/>
      <c r="F133" s="531" t="s">
        <v>621</v>
      </c>
      <c r="G133" s="399"/>
      <c r="H133" s="750" t="s">
        <v>606</v>
      </c>
      <c r="I133" s="750"/>
      <c r="J133" s="399"/>
      <c r="K133" s="401"/>
      <c r="L133" s="389"/>
    </row>
    <row r="134" spans="1:12" ht="14.25">
      <c r="A134" s="389"/>
      <c r="B134" s="407" t="s">
        <v>599</v>
      </c>
      <c r="C134" s="751">
        <v>100000</v>
      </c>
      <c r="D134" s="751"/>
      <c r="E134" s="531" t="s">
        <v>21</v>
      </c>
      <c r="F134" s="531">
        <v>0.115</v>
      </c>
      <c r="G134" s="531" t="s">
        <v>576</v>
      </c>
      <c r="H134" s="740">
        <f>C134*F134</f>
        <v>11500</v>
      </c>
      <c r="I134" s="740"/>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39" t="s">
        <v>606</v>
      </c>
      <c r="D136" s="739"/>
      <c r="E136" s="417"/>
      <c r="F136" s="533" t="s">
        <v>622</v>
      </c>
      <c r="G136" s="533"/>
      <c r="H136" s="417"/>
      <c r="I136" s="417"/>
      <c r="J136" s="417" t="s">
        <v>623</v>
      </c>
      <c r="K136" s="418"/>
      <c r="L136" s="389"/>
    </row>
    <row r="137" spans="1:12" ht="14.25">
      <c r="A137" s="389"/>
      <c r="B137" s="407" t="s">
        <v>602</v>
      </c>
      <c r="C137" s="740">
        <f>H134</f>
        <v>11500</v>
      </c>
      <c r="D137" s="740"/>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41" t="s">
        <v>626</v>
      </c>
      <c r="C144" s="742"/>
      <c r="D144" s="742"/>
      <c r="E144" s="742"/>
      <c r="F144" s="742"/>
      <c r="G144" s="742"/>
      <c r="H144" s="742"/>
      <c r="I144" s="742"/>
      <c r="J144" s="742"/>
      <c r="K144" s="743"/>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40" t="s">
        <v>627</v>
      </c>
      <c r="D147" s="740"/>
      <c r="E147" s="531"/>
      <c r="F147" s="453" t="s">
        <v>628</v>
      </c>
      <c r="G147" s="531"/>
      <c r="H147" s="531"/>
      <c r="I147" s="531"/>
      <c r="J147" s="744" t="s">
        <v>629</v>
      </c>
      <c r="K147" s="745"/>
      <c r="L147" s="389"/>
    </row>
    <row r="148" spans="1:12" ht="14.25">
      <c r="A148" s="389"/>
      <c r="B148" s="407"/>
      <c r="C148" s="746">
        <v>52.869</v>
      </c>
      <c r="D148" s="746"/>
      <c r="E148" s="531" t="s">
        <v>21</v>
      </c>
      <c r="F148" s="527">
        <v>312000000</v>
      </c>
      <c r="G148" s="458" t="s">
        <v>577</v>
      </c>
      <c r="H148" s="531">
        <v>1000</v>
      </c>
      <c r="I148" s="531" t="s">
        <v>576</v>
      </c>
      <c r="J148" s="744">
        <f>C148*(F148/1000)</f>
        <v>16495128</v>
      </c>
      <c r="K148" s="747"/>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Cemetery # 10 Wheatland Jt</v>
      </c>
      <c r="C1" s="35"/>
      <c r="D1" s="35"/>
      <c r="E1" s="217">
        <f>inputPrYr!D22</f>
        <v>2013</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2011</v>
      </c>
      <c r="D5" s="376" t="str">
        <f>CONCATENATE("Estimate for ",E1-1,"")</f>
        <v>Estimate for 2012</v>
      </c>
      <c r="E5" s="205" t="str">
        <f>CONCATENATE("Year for ",E1,"")</f>
        <v>Year for 2013</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2014</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2013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2014</v>
      </c>
      <c r="H51" s="714"/>
      <c r="I51" s="714"/>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2012 Ending Cash Balance (est.)</v>
      </c>
      <c r="I53" s="598"/>
      <c r="J53" s="605"/>
    </row>
    <row r="54" spans="2:10" ht="15.75">
      <c r="B54" s="93" t="s">
        <v>117</v>
      </c>
      <c r="C54" s="385">
        <f>C30-C53</f>
        <v>0</v>
      </c>
      <c r="D54" s="385">
        <f>D30-D53</f>
        <v>0</v>
      </c>
      <c r="E54" s="265" t="s">
        <v>21</v>
      </c>
      <c r="F54"/>
      <c r="G54" s="507">
        <f>E29</f>
        <v>0</v>
      </c>
      <c r="H54" s="514" t="str">
        <f>CONCATENATE("",E1," Non-AV Receipts (est.)")</f>
        <v>2013 Non-AV Receipts (est.)</v>
      </c>
      <c r="I54" s="598"/>
      <c r="J54" s="605"/>
    </row>
    <row r="55" spans="2:11" ht="15.75">
      <c r="B55" s="192" t="str">
        <f>CONCATENATE("",E1-2,"/",E1-1," Budget Authority Amount:")</f>
        <v>2011/2012 Budget Authority Amount:</v>
      </c>
      <c r="C55" s="152">
        <f>inputOth!C92</f>
        <v>0</v>
      </c>
      <c r="D55" s="318">
        <f>inputPrYr!D36</f>
        <v>0</v>
      </c>
      <c r="E55" s="265" t="s">
        <v>21</v>
      </c>
      <c r="F55" s="275"/>
      <c r="G55" s="509">
        <f>IF(E59&gt;0,E58,E60)</f>
        <v>0</v>
      </c>
      <c r="H55" s="514" t="str">
        <f>CONCATENATE("",E1," Ad Valorem Tax (est.)")</f>
        <v>2013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2013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2011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2014 carryover (est.)</v>
      </c>
      <c r="I59" s="593"/>
      <c r="J59" s="603"/>
    </row>
    <row r="60" spans="2:10" ht="15.75">
      <c r="B60" s="35"/>
      <c r="C60" s="705" t="str">
        <f>CONCATENATE("Amount of  ",$E$1-1," Ad Valorem Tax")</f>
        <v>Amount of  2012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2013 Fund Mill Rate</v>
      </c>
      <c r="I63" s="558"/>
      <c r="J63" s="591"/>
    </row>
    <row r="64" spans="6:10" ht="15.75">
      <c r="F64"/>
      <c r="G64" s="588" t="e">
        <f>summ!#REF!</f>
        <v>#REF!</v>
      </c>
      <c r="H64" s="513" t="str">
        <f>CONCATENATE("",E1-1," Fund Mill Rate")</f>
        <v>2012 Fund Mill Rate</v>
      </c>
      <c r="I64" s="558"/>
      <c r="J64" s="591"/>
    </row>
    <row r="65" spans="6:10" ht="15.75">
      <c r="F65"/>
      <c r="G65" s="587">
        <f>summ!H18</f>
        <v>2.101</v>
      </c>
      <c r="H65" s="513" t="str">
        <f>CONCATENATE("Total ",E1," Mill Rate")</f>
        <v>Total 2013 Mill Rate</v>
      </c>
      <c r="I65" s="558"/>
      <c r="J65" s="591"/>
    </row>
    <row r="66" spans="6:10" ht="15.75">
      <c r="F66"/>
      <c r="G66" s="588">
        <f>summ!E18</f>
        <v>2.21</v>
      </c>
      <c r="H66" s="586" t="str">
        <f>CONCATENATE("Total ",E1-1," Mill Rate")</f>
        <v>Total 2012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10 Wheatland Jt</v>
      </c>
      <c r="C1" s="35"/>
      <c r="D1" s="35"/>
      <c r="E1" s="217">
        <f>inputPrYr!D22</f>
        <v>2013</v>
      </c>
    </row>
    <row r="2" spans="2:5" ht="15.75">
      <c r="B2" s="35" t="str">
        <f>inputPrYr!D4</f>
        <v>Brown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2011</v>
      </c>
      <c r="D5" s="376" t="str">
        <f>CONCATENATE("Estimate for ",E1-1,"")</f>
        <v>Estimate for 2012</v>
      </c>
      <c r="E5" s="205" t="str">
        <f>CONCATENATE("Year for ",E1,"")</f>
        <v>Year for 2013</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2014</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2013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2014</v>
      </c>
      <c r="H31" s="714"/>
      <c r="I31" s="714"/>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2012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2013 Non-AV Receipts (est.)</v>
      </c>
      <c r="I34" s="598"/>
      <c r="J34" s="582"/>
      <c r="K34" s="33"/>
    </row>
    <row r="35" spans="2:11" ht="15.75">
      <c r="B35" s="192" t="str">
        <f>CONCATENATE("",E1-2,"/",E1-1," Budget Authority Amount:")</f>
        <v>2011/2012 Budget Authority Amount:</v>
      </c>
      <c r="C35" s="152">
        <f>inputOth!C93</f>
        <v>0</v>
      </c>
      <c r="D35" s="318">
        <f>inputPrYr!D38</f>
        <v>0</v>
      </c>
      <c r="E35" s="163" t="s">
        <v>21</v>
      </c>
      <c r="F35" s="581"/>
      <c r="G35" s="509">
        <f>IF(E39&gt;0,E38,E40)</f>
        <v>0</v>
      </c>
      <c r="H35" s="514" t="str">
        <f>CONCATENATE("",E1," Ad Valorem Tax (est.)")</f>
        <v>2013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2013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2011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2014 carryover (est.)</v>
      </c>
      <c r="I39" s="593"/>
      <c r="J39" s="578"/>
      <c r="K39" s="33"/>
    </row>
    <row r="40" spans="2:11" ht="15.75">
      <c r="B40" s="35"/>
      <c r="C40" s="705" t="str">
        <f>CONCATENATE("Amount of  ",$E$1-1," Ad Valorem Tax")</f>
        <v>Amount of  2012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2013 Fund Mill Rate</v>
      </c>
      <c r="I43" s="558"/>
      <c r="J43" s="591"/>
      <c r="K43" s="33"/>
    </row>
    <row r="44" spans="2:11" ht="15.75">
      <c r="B44" s="477">
        <f>inputPrYr!B39</f>
        <v>0</v>
      </c>
      <c r="C44" s="376" t="str">
        <f>C5</f>
        <v>Actual for 2011</v>
      </c>
      <c r="D44" s="376" t="str">
        <f>D5</f>
        <v>Estimate for 2012</v>
      </c>
      <c r="E44" s="205" t="str">
        <f>E5</f>
        <v>Year for 2013</v>
      </c>
      <c r="F44" s="33"/>
      <c r="G44" s="588" t="e">
        <f>summ!#REF!</f>
        <v>#REF!</v>
      </c>
      <c r="H44" s="513" t="str">
        <f>CONCATENATE("",E1-1," Fund Mill Rate")</f>
        <v>2012 Fund Mill Rate</v>
      </c>
      <c r="I44" s="558"/>
      <c r="J44" s="591"/>
      <c r="K44" s="33"/>
    </row>
    <row r="45" spans="2:11" ht="15.75">
      <c r="B45" s="151" t="s">
        <v>116</v>
      </c>
      <c r="C45" s="94"/>
      <c r="D45" s="380">
        <f>C74</f>
        <v>0</v>
      </c>
      <c r="E45" s="154">
        <f>D74</f>
        <v>0</v>
      </c>
      <c r="F45" s="33"/>
      <c r="G45" s="587">
        <f>summ!H18</f>
        <v>2.101</v>
      </c>
      <c r="H45" s="513" t="str">
        <f>CONCATENATE("Total ",E1," Mill Rate")</f>
        <v>Total 2013 Mill Rate</v>
      </c>
      <c r="I45" s="558"/>
      <c r="J45" s="591"/>
      <c r="K45" s="33"/>
    </row>
    <row r="46" spans="2:11" ht="15.75">
      <c r="B46" s="151" t="s">
        <v>118</v>
      </c>
      <c r="C46" s="254"/>
      <c r="D46" s="254"/>
      <c r="E46" s="158"/>
      <c r="F46" s="33"/>
      <c r="G46" s="588">
        <f>summ!E18</f>
        <v>2.21</v>
      </c>
      <c r="H46" s="586" t="str">
        <f>CONCATENATE("Total ",E1-1," Mill Rate")</f>
        <v>Total 2012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2014</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2013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2014</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2012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2013 Non-AV Receipts (est.)</v>
      </c>
      <c r="I74" s="598"/>
      <c r="J74" s="506"/>
      <c r="K74" s="33"/>
    </row>
    <row r="75" spans="2:11" ht="15.75">
      <c r="B75" s="192" t="str">
        <f>CONCATENATE("",E1-2,"/",E1-1," Budget Authority Amount:")</f>
        <v>2011/2012 Budget Authority Amount:</v>
      </c>
      <c r="C75" s="152">
        <f>inputOth!C94</f>
        <v>0</v>
      </c>
      <c r="D75" s="318">
        <f>inputPrYr!D39</f>
        <v>0</v>
      </c>
      <c r="E75" s="163" t="s">
        <v>21</v>
      </c>
      <c r="F75" s="581"/>
      <c r="G75" s="509">
        <f>IF(E79&gt;0,E78,E80)</f>
        <v>0</v>
      </c>
      <c r="H75" s="514" t="str">
        <f>CONCATENATE("",E1," Ad Valorem Tax (est.)")</f>
        <v>2013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2013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2011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2014 carryover (est.)</v>
      </c>
      <c r="I79" s="512"/>
      <c r="J79" s="578"/>
      <c r="K79" s="33"/>
    </row>
    <row r="80" spans="2:11" ht="15.75">
      <c r="B80" s="35"/>
      <c r="C80" s="705" t="str">
        <f>CONCATENATE("Amount of  ",$E$1-1," Ad Valorem Tax")</f>
        <v>Amount of  2012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2013 Fund Mill Rate</v>
      </c>
      <c r="I83" s="558"/>
      <c r="J83" s="591"/>
      <c r="K83" s="33"/>
    </row>
    <row r="84" spans="6:11" ht="15.75">
      <c r="F84" s="33"/>
      <c r="G84" s="588" t="e">
        <f>summ!#REF!</f>
        <v>#REF!</v>
      </c>
      <c r="H84" s="513" t="str">
        <f>CONCATENATE("",E1-1," Fund Mill Rate")</f>
        <v>2012 Fund Mill Rate</v>
      </c>
      <c r="I84" s="558"/>
      <c r="J84" s="591"/>
      <c r="K84" s="33"/>
    </row>
    <row r="85" spans="6:11" ht="15.75">
      <c r="F85" s="33"/>
      <c r="G85" s="587">
        <f>summ!H18</f>
        <v>2.101</v>
      </c>
      <c r="H85" s="513" t="str">
        <f>CONCATENATE("Total ",E1," Mill Rate")</f>
        <v>Total 2013 Mill Rate</v>
      </c>
      <c r="I85" s="558"/>
      <c r="J85" s="591"/>
      <c r="K85" s="33"/>
    </row>
    <row r="86" spans="6:11" ht="15.75">
      <c r="F86" s="33"/>
      <c r="G86" s="588">
        <f>summ!E18</f>
        <v>2.21</v>
      </c>
      <c r="H86" s="586" t="str">
        <f>CONCATENATE("Total ",E1-1," Mill Rate")</f>
        <v>Total 2012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Cemetery # 10 Wheatland Jt</v>
      </c>
      <c r="C1" s="251"/>
      <c r="D1" s="35"/>
      <c r="E1" s="217"/>
    </row>
    <row r="2" spans="2:5" ht="15.75">
      <c r="B2" s="35" t="str">
        <f>inputPrYr!D4</f>
        <v>Brown County</v>
      </c>
      <c r="C2" s="251"/>
      <c r="D2" s="35"/>
      <c r="E2" s="192"/>
    </row>
    <row r="3" spans="2:5" ht="15.75">
      <c r="B3" s="43" t="s">
        <v>73</v>
      </c>
      <c r="C3" s="251"/>
      <c r="D3" s="251"/>
      <c r="E3" s="252">
        <f>inputPrYr!D22</f>
        <v>2013</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2011</v>
      </c>
      <c r="D6" s="205" t="str">
        <f>CONCATENATE("Estimate for ",E3-1,"")</f>
        <v>Estimate for 2012</v>
      </c>
      <c r="E6" s="205" t="str">
        <f>CONCATENATE("Year for ",E3,"")</f>
        <v>Year for 2013</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2011/2012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2011</v>
      </c>
      <c r="D39" s="205" t="str">
        <f>D6</f>
        <v>Estimate for 2012</v>
      </c>
      <c r="E39" s="205" t="str">
        <f>E6</f>
        <v>Year for 2013</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Cemetery # 10 Wheatland Jt</v>
      </c>
      <c r="B1" s="280"/>
      <c r="C1" s="81"/>
      <c r="D1" s="81"/>
      <c r="E1" s="81"/>
      <c r="F1" s="281" t="s">
        <v>244</v>
      </c>
      <c r="G1" s="81"/>
      <c r="H1" s="81"/>
      <c r="I1" s="81"/>
      <c r="J1" s="81"/>
      <c r="K1" s="81">
        <f>inputPrYr!$D$22</f>
        <v>2013</v>
      </c>
    </row>
    <row r="2" spans="1:11" ht="15.75">
      <c r="A2" s="81"/>
      <c r="B2" s="81"/>
      <c r="C2" s="81"/>
      <c r="D2" s="81"/>
      <c r="E2" s="81"/>
      <c r="F2" s="282" t="str">
        <f>CONCATENATE("(Only the actual budget year for ",K1-2," is to be shown)")</f>
        <v>(Only the actual budget year for 2011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90" zoomScaleNormal="90" zoomScalePageLayoutView="0" workbookViewId="0" topLeftCell="A1">
      <selection activeCell="G5" sqref="G5"/>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Cemetery # 10 Wheatland Jt</v>
      </c>
      <c r="B1" s="81"/>
      <c r="C1" s="81"/>
      <c r="D1" s="81"/>
      <c r="E1" s="81"/>
      <c r="F1" s="81"/>
      <c r="G1" s="81">
        <f>inputPrYr!D22</f>
        <v>2013</v>
      </c>
    </row>
    <row r="2" spans="1:7" ht="15">
      <c r="A2" s="83"/>
      <c r="B2" s="83"/>
      <c r="C2" s="83"/>
      <c r="D2" s="83"/>
      <c r="E2" s="83"/>
      <c r="F2" s="83"/>
      <c r="G2" s="83"/>
    </row>
    <row r="3" spans="1:7" ht="15.75">
      <c r="A3" s="631" t="s">
        <v>147</v>
      </c>
      <c r="B3" s="632"/>
      <c r="C3" s="632"/>
      <c r="D3" s="632"/>
      <c r="E3" s="632"/>
      <c r="F3" s="643"/>
      <c r="G3" s="643"/>
    </row>
    <row r="4" spans="1:7" ht="15.75">
      <c r="A4" s="83"/>
      <c r="B4" s="84"/>
      <c r="C4" s="84"/>
      <c r="D4" s="84"/>
      <c r="E4" s="84"/>
      <c r="F4" s="83"/>
      <c r="G4" s="47"/>
    </row>
    <row r="5" spans="1:7" ht="9" customHeight="1">
      <c r="A5" s="47"/>
      <c r="B5" s="47"/>
      <c r="C5" s="47"/>
      <c r="D5" s="47"/>
      <c r="E5" s="47"/>
      <c r="F5" s="83"/>
      <c r="G5" s="83"/>
    </row>
    <row r="6" spans="1:8" ht="16.5" customHeight="1">
      <c r="A6" s="650" t="str">
        <f>CONCATENATE("From the County Clerks ",G1," Budget Information:")</f>
        <v>From the County Clerks 2013 Budget Information:</v>
      </c>
      <c r="B6" s="651"/>
      <c r="C6" s="651"/>
      <c r="D6" s="651"/>
      <c r="E6" s="651"/>
      <c r="F6" s="651"/>
      <c r="G6" s="651"/>
      <c r="H6" s="652"/>
    </row>
    <row r="7" spans="1:8" ht="15.75">
      <c r="A7" s="85"/>
      <c r="B7" s="86"/>
      <c r="C7" s="644" t="str">
        <f>CONCATENATE("Assessed Valuation for ",G1-1,":")</f>
        <v>Assessed Valuation for 2012:</v>
      </c>
      <c r="D7" s="644" t="str">
        <f>CONCATENATE("New Improvements for ",G1-1,":")</f>
        <v>New Improvements for 2012:</v>
      </c>
      <c r="E7" s="647" t="str">
        <f>CONCATENATE("Personal Property excluding oil, gas, and mobile homes- ",G1-1,":")</f>
        <v>Personal Property excluding oil, gas, and mobile homes- 2012:</v>
      </c>
      <c r="F7" s="644" t="str">
        <f>CONCATENATE("Property that has changed in use for ",G1-1,":")</f>
        <v>Property that has changed in use for 2012:</v>
      </c>
      <c r="G7" s="647" t="str">
        <f>CONCATENATE("Personal Property excluding oil, gas, and mobile homes- ",G1-2,":")</f>
        <v>Personal Property excluding oil, gas, and mobile homes- 2011:</v>
      </c>
      <c r="H7" s="655" t="str">
        <f>CONCATENATE("November 1 Abstract for ",G1-2,":")</f>
        <v>November 1 Abstract for 2011:</v>
      </c>
    </row>
    <row r="8" spans="1:8" ht="15.75">
      <c r="A8" s="87"/>
      <c r="B8" s="88"/>
      <c r="C8" s="645"/>
      <c r="D8" s="645"/>
      <c r="E8" s="648"/>
      <c r="F8" s="645"/>
      <c r="G8" s="648"/>
      <c r="H8" s="656"/>
    </row>
    <row r="9" spans="1:8" ht="16.5" customHeight="1">
      <c r="A9" s="89" t="s">
        <v>197</v>
      </c>
      <c r="B9" s="76"/>
      <c r="C9" s="646"/>
      <c r="D9" s="646"/>
      <c r="E9" s="649"/>
      <c r="F9" s="646"/>
      <c r="G9" s="649"/>
      <c r="H9" s="657"/>
    </row>
    <row r="10" spans="1:8" ht="15.75">
      <c r="A10" s="90" t="str">
        <f>inputPrYr!$D$4</f>
        <v>Brown County</v>
      </c>
      <c r="B10" s="65"/>
      <c r="C10" s="91">
        <v>927873</v>
      </c>
      <c r="D10" s="92">
        <v>29476</v>
      </c>
      <c r="E10" s="91">
        <v>36762</v>
      </c>
      <c r="F10" s="91">
        <v>194</v>
      </c>
      <c r="G10" s="91">
        <v>34667</v>
      </c>
      <c r="H10" s="77">
        <v>816146</v>
      </c>
    </row>
    <row r="11" spans="1:8" ht="15.75">
      <c r="A11" s="93" t="str">
        <f>inputPrYr!$D$6</f>
        <v>Atchison County</v>
      </c>
      <c r="B11" s="79"/>
      <c r="C11" s="91">
        <v>452075</v>
      </c>
      <c r="D11" s="92"/>
      <c r="E11" s="91">
        <v>6975</v>
      </c>
      <c r="F11" s="91"/>
      <c r="G11" s="91">
        <v>6975</v>
      </c>
      <c r="H11" s="77">
        <v>452075</v>
      </c>
    </row>
    <row r="12" spans="1:8" ht="15.75">
      <c r="A12" s="93" t="str">
        <f>inputPrYr!$D$7</f>
        <v>Jackson County</v>
      </c>
      <c r="B12" s="79"/>
      <c r="C12" s="91">
        <v>284148</v>
      </c>
      <c r="D12" s="92"/>
      <c r="E12" s="91">
        <v>600</v>
      </c>
      <c r="F12" s="91"/>
      <c r="G12" s="91">
        <v>600</v>
      </c>
      <c r="H12" s="77">
        <v>284148</v>
      </c>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1664096</v>
      </c>
      <c r="D26" s="66">
        <f t="shared" si="0"/>
        <v>29476</v>
      </c>
      <c r="E26" s="66">
        <f t="shared" si="0"/>
        <v>44337</v>
      </c>
      <c r="F26" s="66">
        <f t="shared" si="0"/>
        <v>194</v>
      </c>
      <c r="G26" s="66">
        <f t="shared" si="0"/>
        <v>42242</v>
      </c>
      <c r="H26" s="98">
        <f t="shared" si="0"/>
        <v>1552369</v>
      </c>
    </row>
    <row r="27" spans="1:7" ht="16.5" thickTop="1">
      <c r="A27" s="99"/>
      <c r="B27" s="41"/>
      <c r="C27" s="41"/>
      <c r="D27" s="41"/>
      <c r="E27" s="100"/>
      <c r="F27" s="101"/>
      <c r="G27" s="101"/>
    </row>
    <row r="28" spans="1:7" ht="15.75">
      <c r="A28" s="102" t="str">
        <f>CONCATENATE("Neighborhood Revitalization - ",G1,":")</f>
        <v>Neighborhood Revitalization - 2013:</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2012 Budget:</v>
      </c>
      <c r="B30" s="41"/>
      <c r="C30" s="41"/>
      <c r="D30" s="41"/>
      <c r="E30" s="100"/>
      <c r="F30" s="101"/>
      <c r="G30" s="101"/>
    </row>
    <row r="31" spans="1:7" ht="15.75">
      <c r="A31" s="661" t="s">
        <v>19</v>
      </c>
      <c r="B31" s="662"/>
      <c r="C31" s="101"/>
      <c r="D31" s="104" t="s">
        <v>54</v>
      </c>
      <c r="E31" s="100"/>
      <c r="F31" s="101"/>
      <c r="G31" s="101"/>
    </row>
    <row r="32" spans="1:7" ht="15.75">
      <c r="A32" s="90" t="s">
        <v>5</v>
      </c>
      <c r="B32" s="61"/>
      <c r="C32" s="41"/>
      <c r="D32" s="105">
        <v>2.21</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2.21</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58" t="str">
        <f>CONCATENATE("From the County Treasurer's Budget Information - Budget Year Estimates ",G1,":")</f>
        <v>From the County Treasurer's Budget Information - Budget Year Estimates 2013:</v>
      </c>
      <c r="B41" s="663"/>
      <c r="C41" s="663"/>
      <c r="D41" s="663"/>
      <c r="E41" s="663"/>
      <c r="F41" s="664"/>
      <c r="G41" s="83"/>
    </row>
    <row r="42" spans="1:7" ht="47.25">
      <c r="A42" s="575" t="s">
        <v>198</v>
      </c>
      <c r="B42" s="111"/>
      <c r="C42" s="112"/>
      <c r="D42" s="113" t="s">
        <v>138</v>
      </c>
      <c r="E42" s="113" t="s">
        <v>139</v>
      </c>
      <c r="F42" s="322" t="s">
        <v>137</v>
      </c>
      <c r="G42" s="83"/>
    </row>
    <row r="43" spans="1:7" ht="15.75">
      <c r="A43" s="574" t="str">
        <f>inputPrYr!$D$4</f>
        <v>Brown County</v>
      </c>
      <c r="B43" s="80"/>
      <c r="C43" s="79"/>
      <c r="D43" s="56">
        <v>145</v>
      </c>
      <c r="E43" s="56"/>
      <c r="F43" s="56">
        <v>18</v>
      </c>
      <c r="G43" s="83"/>
    </row>
    <row r="44" spans="1:7" ht="15.75">
      <c r="A44" s="574" t="str">
        <f>inputPrYr!$D$6</f>
        <v>Atchison County</v>
      </c>
      <c r="B44" s="80"/>
      <c r="C44" s="79"/>
      <c r="D44" s="91"/>
      <c r="E44" s="91"/>
      <c r="F44" s="91"/>
      <c r="G44" s="83"/>
    </row>
    <row r="45" spans="1:7" ht="15.75">
      <c r="A45" s="574" t="str">
        <f>inputPrYr!$D$7</f>
        <v>Jackson County</v>
      </c>
      <c r="B45" s="80"/>
      <c r="C45" s="79"/>
      <c r="D45" s="91">
        <v>33</v>
      </c>
      <c r="E45" s="91"/>
      <c r="F45" s="91">
        <v>17</v>
      </c>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178</v>
      </c>
      <c r="E59" s="66">
        <f>SUM(E43:E58)</f>
        <v>0</v>
      </c>
      <c r="F59" s="66">
        <f>SUM(F43:F58)</f>
        <v>35</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58" t="s">
        <v>102</v>
      </c>
      <c r="B63" s="659"/>
      <c r="C63" s="659"/>
      <c r="D63" s="660"/>
      <c r="E63" s="35"/>
      <c r="F63" s="83"/>
      <c r="G63" s="83"/>
    </row>
    <row r="64" spans="1:7" ht="15.75">
      <c r="A64" s="653" t="str">
        <f>CONCATENATE("",G1-3," Tax Uncollected and ",G1-2," Ad Valorem Levied")</f>
        <v>2010 Tax Uncollected and 2011 Ad Valorem Levied</v>
      </c>
      <c r="B64" s="651"/>
      <c r="C64" s="651"/>
      <c r="D64" s="654"/>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Brown County</v>
      </c>
      <c r="B67" s="114"/>
      <c r="C67" s="120"/>
      <c r="D67" s="77"/>
      <c r="E67" s="118"/>
      <c r="F67" s="83"/>
      <c r="G67" s="83"/>
    </row>
    <row r="68" spans="1:7" ht="15.75">
      <c r="A68" s="64" t="str">
        <f>inputPrYr!$D$6</f>
        <v>Atchison County</v>
      </c>
      <c r="B68" s="114"/>
      <c r="C68" s="121"/>
      <c r="D68" s="122"/>
      <c r="E68" s="123"/>
      <c r="F68" s="83"/>
      <c r="G68" s="83"/>
    </row>
    <row r="69" spans="1:7" ht="15.75">
      <c r="A69" s="64" t="str">
        <f>inputPrYr!$D$7</f>
        <v>Jackson County</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71" t="str">
        <f>CONCATENATE("From the ",G1-2," Budget Certificate Page")</f>
        <v>From the 2011 Budget Certificate Page</v>
      </c>
      <c r="B88" s="672"/>
      <c r="C88" s="652"/>
      <c r="D88" s="652"/>
      <c r="E88" s="83"/>
      <c r="F88" s="83"/>
      <c r="G88" s="83"/>
      <c r="H88" s="83"/>
    </row>
    <row r="89" spans="1:10" ht="15.75">
      <c r="A89" s="639" t="s">
        <v>214</v>
      </c>
      <c r="B89" s="640"/>
      <c r="C89" s="667" t="str">
        <f>CONCATENATE("",G1-2," Expenditure Amounts Budget Authority")</f>
        <v>2011 Expenditure Amounts Budget Authority</v>
      </c>
      <c r="D89" s="668"/>
      <c r="E89" s="673" t="str">
        <f>CONCATENATE("Note: If the ",G1-2," budget was amended, then the")</f>
        <v>Note: If the 2011 budget was amended, then the</v>
      </c>
      <c r="F89" s="674"/>
      <c r="G89" s="674"/>
      <c r="H89" s="129"/>
      <c r="I89" s="130"/>
      <c r="J89" s="130"/>
    </row>
    <row r="90" spans="1:8" ht="15.75">
      <c r="A90" s="641"/>
      <c r="B90" s="642"/>
      <c r="C90" s="669"/>
      <c r="D90" s="670"/>
      <c r="E90" s="131" t="s">
        <v>215</v>
      </c>
      <c r="F90" s="83"/>
      <c r="G90" s="83"/>
      <c r="H90" s="131"/>
    </row>
    <row r="91" spans="1:8" ht="15.75">
      <c r="A91" s="665" t="str">
        <f>inputPrYr!B35</f>
        <v>General</v>
      </c>
      <c r="B91" s="666"/>
      <c r="C91" s="675">
        <v>2745</v>
      </c>
      <c r="D91" s="676"/>
      <c r="E91" s="131" t="s">
        <v>216</v>
      </c>
      <c r="F91" s="83"/>
      <c r="G91" s="83"/>
      <c r="H91" s="131"/>
    </row>
    <row r="92" spans="1:8" ht="15.75">
      <c r="A92" s="665" t="str">
        <f>inputPrYr!B36</f>
        <v>Debt Service</v>
      </c>
      <c r="B92" s="666"/>
      <c r="C92" s="675"/>
      <c r="D92" s="676"/>
      <c r="E92" s="132"/>
      <c r="F92" s="83"/>
      <c r="G92" s="83"/>
      <c r="H92" s="83"/>
    </row>
    <row r="93" spans="1:8" ht="15.75">
      <c r="A93" s="665">
        <f>inputPrYr!B38</f>
        <v>0</v>
      </c>
      <c r="B93" s="666"/>
      <c r="C93" s="675"/>
      <c r="D93" s="676"/>
      <c r="E93" s="83"/>
      <c r="F93" s="83"/>
      <c r="G93" s="83"/>
      <c r="H93" s="83"/>
    </row>
    <row r="94" spans="1:8" ht="15.75">
      <c r="A94" s="665">
        <f>inputPrYr!B39</f>
        <v>0</v>
      </c>
      <c r="B94" s="666"/>
      <c r="C94" s="675"/>
      <c r="D94" s="676"/>
      <c r="E94" s="83"/>
      <c r="F94" s="83"/>
      <c r="G94" s="83"/>
      <c r="H94" s="83"/>
    </row>
    <row r="95" spans="1:8" ht="15.75">
      <c r="A95" s="665">
        <f>inputPrYr!B42</f>
        <v>0</v>
      </c>
      <c r="B95" s="666"/>
      <c r="C95" s="675"/>
      <c r="D95" s="676"/>
      <c r="E95" s="83"/>
      <c r="F95" s="83"/>
      <c r="G95" s="83"/>
      <c r="H95" s="83"/>
    </row>
    <row r="96" spans="1:8" ht="15.75">
      <c r="A96" s="665">
        <f>inputPrYr!B43</f>
        <v>0</v>
      </c>
      <c r="B96" s="666"/>
      <c r="C96" s="675"/>
      <c r="D96" s="676"/>
      <c r="E96" s="83"/>
      <c r="F96" s="83"/>
      <c r="G96" s="83"/>
      <c r="H96" s="83"/>
    </row>
  </sheetData>
  <sheetProtection sheet="1"/>
  <mergeCells count="28">
    <mergeCell ref="C96:D96"/>
    <mergeCell ref="A96:B96"/>
    <mergeCell ref="C93:D93"/>
    <mergeCell ref="C94:D94"/>
    <mergeCell ref="C95:D95"/>
    <mergeCell ref="A91:B91"/>
    <mergeCell ref="C91:D91"/>
    <mergeCell ref="C92:D92"/>
    <mergeCell ref="A63:D63"/>
    <mergeCell ref="A31:B31"/>
    <mergeCell ref="A41:F41"/>
    <mergeCell ref="A93:B93"/>
    <mergeCell ref="A94:B94"/>
    <mergeCell ref="A95:B95"/>
    <mergeCell ref="A92:B92"/>
    <mergeCell ref="C89:D90"/>
    <mergeCell ref="A88:D88"/>
    <mergeCell ref="E89:G89"/>
    <mergeCell ref="A89:B90"/>
    <mergeCell ref="A3:G3"/>
    <mergeCell ref="C7:C9"/>
    <mergeCell ref="D7:D9"/>
    <mergeCell ref="E7:E9"/>
    <mergeCell ref="F7:F9"/>
    <mergeCell ref="G7:G9"/>
    <mergeCell ref="A6:H6"/>
    <mergeCell ref="A64:D64"/>
    <mergeCell ref="H7:H9"/>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7" sqref="B7"/>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809</v>
      </c>
      <c r="J3" s="612" t="s">
        <v>758</v>
      </c>
    </row>
    <row r="4" spans="1:10" ht="15.75">
      <c r="A4" s="535"/>
      <c r="B4" s="610"/>
      <c r="J4" s="612" t="s">
        <v>759</v>
      </c>
    </row>
    <row r="5" spans="1:10" ht="15.75">
      <c r="A5" s="1" t="s">
        <v>754</v>
      </c>
      <c r="B5" s="345" t="s">
        <v>810</v>
      </c>
      <c r="J5" s="612" t="s">
        <v>760</v>
      </c>
    </row>
    <row r="6" spans="1:10" ht="15.75">
      <c r="A6" s="342"/>
      <c r="B6" s="342"/>
      <c r="C6" s="342"/>
      <c r="D6" s="343"/>
      <c r="E6" s="342"/>
      <c r="F6" s="342"/>
      <c r="J6" s="612" t="s">
        <v>761</v>
      </c>
    </row>
    <row r="7" spans="1:10" ht="15.75">
      <c r="A7" s="344" t="s">
        <v>325</v>
      </c>
      <c r="B7" s="345" t="s">
        <v>807</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July 21, 2012</v>
      </c>
      <c r="E8" s="342"/>
      <c r="F8" s="342"/>
      <c r="J8" s="612" t="s">
        <v>763</v>
      </c>
    </row>
    <row r="9" spans="1:10" ht="15.75">
      <c r="A9" s="344" t="s">
        <v>326</v>
      </c>
      <c r="B9" s="345" t="s">
        <v>808</v>
      </c>
      <c r="C9" s="349"/>
      <c r="D9" s="344"/>
      <c r="E9" s="342"/>
      <c r="F9" s="342"/>
      <c r="J9" s="612" t="s">
        <v>764</v>
      </c>
    </row>
    <row r="10" spans="1:10" ht="15.75">
      <c r="A10" s="344"/>
      <c r="B10" s="344"/>
      <c r="C10" s="344"/>
      <c r="D10" s="344"/>
      <c r="E10" s="342"/>
      <c r="F10" s="342"/>
      <c r="J10" s="612" t="s">
        <v>765</v>
      </c>
    </row>
    <row r="11" spans="1:10" ht="15.75">
      <c r="A11" s="344" t="s">
        <v>327</v>
      </c>
      <c r="B11" s="350" t="s">
        <v>797</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798</v>
      </c>
      <c r="C14" s="350"/>
      <c r="D14" s="350"/>
      <c r="E14" s="351"/>
      <c r="F14" s="342"/>
    </row>
    <row r="17" spans="1:6" ht="15.75">
      <c r="A17" s="679" t="s">
        <v>329</v>
      </c>
      <c r="B17" s="679"/>
      <c r="C17" s="344"/>
      <c r="D17" s="344"/>
      <c r="E17" s="344"/>
      <c r="F17" s="342"/>
    </row>
    <row r="18" spans="1:9" ht="15.75">
      <c r="A18" s="344"/>
      <c r="B18" s="344"/>
      <c r="C18" s="344"/>
      <c r="D18" s="344"/>
      <c r="E18" s="344"/>
      <c r="F18" s="342"/>
      <c r="I18" s="612" t="str">
        <f ca="1">IF(B7="","",INDIRECT(I19))</f>
        <v>July</v>
      </c>
    </row>
    <row r="19" spans="1:9" ht="15.75">
      <c r="A19" s="344" t="s">
        <v>325</v>
      </c>
      <c r="B19" s="347" t="s">
        <v>330</v>
      </c>
      <c r="C19" s="344"/>
      <c r="D19" s="344"/>
      <c r="E19" s="344"/>
      <c r="I19" s="613" t="str">
        <f>IF(B7="","",CONCATENATE("J",I21))</f>
        <v>J7</v>
      </c>
    </row>
    <row r="20" spans="1:9" ht="15.75">
      <c r="A20" s="344"/>
      <c r="B20" s="344"/>
      <c r="C20" s="344"/>
      <c r="D20" s="344"/>
      <c r="E20" s="344"/>
      <c r="I20" s="614">
        <f>B7-10</f>
        <v>41111</v>
      </c>
    </row>
    <row r="21" spans="1:9" ht="15.75">
      <c r="A21" s="344" t="s">
        <v>326</v>
      </c>
      <c r="B21" s="344" t="s">
        <v>331</v>
      </c>
      <c r="C21" s="344"/>
      <c r="D21" s="344"/>
      <c r="E21" s="344"/>
      <c r="I21" s="615">
        <f>IF(B7="","",MONTH(I20))</f>
        <v>7</v>
      </c>
    </row>
    <row r="22" spans="1:9" ht="15.75">
      <c r="A22" s="344"/>
      <c r="B22" s="344"/>
      <c r="C22" s="344"/>
      <c r="D22" s="344"/>
      <c r="E22" s="344"/>
      <c r="I22" s="616">
        <f>IF(B7="","",DAY(I20))</f>
        <v>21</v>
      </c>
    </row>
    <row r="23" spans="1:9" ht="15.75">
      <c r="A23" s="344" t="s">
        <v>327</v>
      </c>
      <c r="B23" s="344" t="s">
        <v>332</v>
      </c>
      <c r="C23" s="344"/>
      <c r="D23" s="344"/>
      <c r="E23" s="344"/>
      <c r="I23" s="617">
        <f>IF(D7="","",YEAR(I20))</f>
        <v>2012</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C41" sqref="C41"/>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85" t="s">
        <v>662</v>
      </c>
      <c r="G1" s="643"/>
    </row>
    <row r="2" spans="1:7" ht="15.75">
      <c r="A2" s="46"/>
      <c r="B2" s="46"/>
      <c r="C2" s="46"/>
      <c r="D2" s="46"/>
      <c r="E2" s="46"/>
      <c r="F2" s="685" t="s">
        <v>663</v>
      </c>
      <c r="G2" s="685"/>
    </row>
    <row r="3" spans="1:7" ht="15.75">
      <c r="A3" s="81"/>
      <c r="B3" s="81"/>
      <c r="C3" s="81"/>
      <c r="D3" s="81"/>
      <c r="E3" s="81"/>
      <c r="F3" s="81"/>
      <c r="G3" s="46">
        <f>inputPrYr!D22</f>
        <v>2013</v>
      </c>
    </row>
    <row r="4" spans="1:7" ht="15.75">
      <c r="A4" s="687" t="s">
        <v>70</v>
      </c>
      <c r="B4" s="687"/>
      <c r="C4" s="687"/>
      <c r="D4" s="687"/>
      <c r="E4" s="687"/>
      <c r="F4" s="687"/>
      <c r="G4" s="687"/>
    </row>
    <row r="5" spans="1:7" ht="15.75">
      <c r="A5" s="35"/>
      <c r="B5" s="35"/>
      <c r="C5" s="35"/>
      <c r="D5" s="35"/>
      <c r="E5" s="35"/>
      <c r="F5" s="35"/>
      <c r="G5" s="46"/>
    </row>
    <row r="6" spans="1:7" ht="15.75">
      <c r="A6" s="690" t="str">
        <f>CONCATENATE("To the Clerk of ",inputPrYr!D4,", State of Kansas")</f>
        <v>To the Clerk of Brown County, State of Kansas</v>
      </c>
      <c r="B6" s="690"/>
      <c r="C6" s="690"/>
      <c r="D6" s="690"/>
      <c r="E6" s="690"/>
      <c r="F6" s="690"/>
      <c r="G6" s="690"/>
    </row>
    <row r="7" spans="1:7" ht="15.75">
      <c r="A7" s="134" t="s">
        <v>162</v>
      </c>
      <c r="B7" s="46"/>
      <c r="C7" s="46"/>
      <c r="D7" s="46"/>
      <c r="E7" s="46"/>
      <c r="F7" s="46"/>
      <c r="G7" s="46"/>
    </row>
    <row r="8" spans="1:7" ht="15.75">
      <c r="A8" s="633" t="str">
        <f>inputPrYr!D3</f>
        <v>Cemetery # 10 Wheatland Jt</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2013; and</v>
      </c>
      <c r="B11" s="46"/>
      <c r="C11" s="46"/>
      <c r="D11" s="46"/>
      <c r="E11" s="46"/>
      <c r="F11" s="46"/>
      <c r="G11" s="46"/>
    </row>
    <row r="12" spans="1:7" ht="15.75">
      <c r="A12" s="134" t="str">
        <f>CONCATENATE("(3) the Amount(s) of  ",G3-1," Ad Valorem Tax are within statutory limitations for the ",G3," Budget.")</f>
        <v>(3) the Amount(s) of  2012 Ad Valorem Tax are within statutory limitations for the 2013 Budget.</v>
      </c>
      <c r="B12" s="46"/>
      <c r="C12" s="46"/>
      <c r="D12" s="46"/>
      <c r="E12" s="46"/>
      <c r="F12" s="46"/>
      <c r="G12" s="46"/>
    </row>
    <row r="13" spans="1:7" ht="15.75">
      <c r="A13" s="34"/>
      <c r="B13" s="35"/>
      <c r="C13" s="35"/>
      <c r="D13" s="135"/>
      <c r="E13" s="136"/>
      <c r="F13" s="136"/>
      <c r="G13" s="136"/>
    </row>
    <row r="14" spans="1:7" ht="15.75">
      <c r="A14" s="35"/>
      <c r="B14" s="35"/>
      <c r="C14" s="35"/>
      <c r="D14" s="35"/>
      <c r="E14" s="680" t="str">
        <f>CONCATENATE("",G3," Adopted Budget")</f>
        <v>2013 Adopted Budget</v>
      </c>
      <c r="F14" s="691"/>
      <c r="G14" s="666"/>
    </row>
    <row r="15" spans="1:8" ht="15.75">
      <c r="A15" s="34"/>
      <c r="B15" s="35"/>
      <c r="C15" s="35"/>
      <c r="D15" s="61"/>
      <c r="E15" s="137" t="s">
        <v>11</v>
      </c>
      <c r="F15" s="688" t="str">
        <f>CONCATENATE("Amount of  ",G3-1," Ad Valorem Tax")</f>
        <v>Amount of  2012 Ad Valorem Tax</v>
      </c>
      <c r="G15" s="139" t="s">
        <v>12</v>
      </c>
      <c r="H15" s="140"/>
    </row>
    <row r="16" spans="1:7" ht="15.75">
      <c r="A16" s="35"/>
      <c r="B16" s="35"/>
      <c r="C16" s="35"/>
      <c r="D16" s="141" t="s">
        <v>13</v>
      </c>
      <c r="E16" s="117" t="s">
        <v>660</v>
      </c>
      <c r="F16" s="689"/>
      <c r="G16" s="142" t="s">
        <v>14</v>
      </c>
    </row>
    <row r="17" spans="1:7" ht="15.75">
      <c r="A17" s="36" t="s">
        <v>15</v>
      </c>
      <c r="B17" s="35"/>
      <c r="C17" s="35"/>
      <c r="D17" s="117" t="s">
        <v>16</v>
      </c>
      <c r="E17" s="117" t="s">
        <v>661</v>
      </c>
      <c r="F17" s="689"/>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2013</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17-1330</v>
      </c>
      <c r="D24" s="152">
        <v>6</v>
      </c>
      <c r="E24" s="537">
        <f>IF(gen!$E$37&lt;&gt;0,gen!$E$37,"  ")</f>
        <v>9308</v>
      </c>
      <c r="F24" s="537">
        <f>IF(gen!$E$44&lt;&gt;0,gen!$E$44,"  ")</f>
        <v>3496</v>
      </c>
      <c r="G24" s="538">
        <v>2.032</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9308</v>
      </c>
      <c r="F31" s="545">
        <f>SUM(F24:F29)</f>
        <v>3496</v>
      </c>
      <c r="G31" s="546">
        <f>IF(SUM(G24:G29)&gt;0,SUM(G24:G29),"")</f>
        <v>2.032</v>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92" t="str">
        <f>CONCATENATE("County Clerk's use only for November 1,",G3-1," - Final Assessed Valuation:")</f>
        <v>County Clerk's use only for November 1,2012 - Final Assessed Valuation:</v>
      </c>
      <c r="B36" s="693"/>
      <c r="C36" s="693"/>
      <c r="D36" s="693"/>
      <c r="E36" s="693"/>
      <c r="F36" s="694"/>
      <c r="G36" s="35"/>
    </row>
    <row r="37" spans="1:7" ht="15.75">
      <c r="A37" s="680" t="s">
        <v>197</v>
      </c>
      <c r="B37" s="664"/>
      <c r="C37" s="170" t="s">
        <v>49</v>
      </c>
      <c r="D37" s="681" t="s">
        <v>197</v>
      </c>
      <c r="E37" s="682"/>
      <c r="F37" s="170" t="s">
        <v>49</v>
      </c>
      <c r="G37" s="35"/>
    </row>
    <row r="38" spans="1:7" ht="15.75">
      <c r="A38" s="172" t="str">
        <f>inputPrYr!D4</f>
        <v>Brown County</v>
      </c>
      <c r="B38" s="65"/>
      <c r="C38" s="77">
        <v>927933</v>
      </c>
      <c r="D38" s="151">
        <f>inputPrYr!D13</f>
        <v>0</v>
      </c>
      <c r="E38" s="173"/>
      <c r="F38" s="77"/>
      <c r="G38" s="35"/>
    </row>
    <row r="39" spans="1:7" ht="15.75">
      <c r="A39" s="151" t="str">
        <f>inputPrYr!D6</f>
        <v>Atchison County</v>
      </c>
      <c r="B39" s="79"/>
      <c r="C39" s="77">
        <v>477754</v>
      </c>
      <c r="D39" s="151">
        <f>inputPrYr!D14</f>
        <v>0</v>
      </c>
      <c r="E39" s="173"/>
      <c r="F39" s="77"/>
      <c r="G39" s="35"/>
    </row>
    <row r="40" spans="1:7" ht="15.75">
      <c r="A40" s="151" t="str">
        <f>inputPrYr!D7</f>
        <v>Jackson County</v>
      </c>
      <c r="B40" s="79"/>
      <c r="C40" s="77">
        <v>314558</v>
      </c>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1720245</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2012</v>
      </c>
      <c r="D59" s="41" t="s">
        <v>741</v>
      </c>
      <c r="E59" s="41"/>
      <c r="F59" s="41"/>
      <c r="G59" s="41"/>
    </row>
    <row r="60" spans="1:7" ht="15.75">
      <c r="A60" s="41"/>
      <c r="B60" s="41"/>
      <c r="C60" s="35"/>
      <c r="D60" s="41"/>
      <c r="E60" s="41"/>
      <c r="F60" s="41"/>
      <c r="G60" s="41"/>
    </row>
    <row r="61" spans="1:7" ht="15.75">
      <c r="A61" s="684"/>
      <c r="B61" s="684"/>
      <c r="C61" s="35"/>
      <c r="D61" s="41" t="s">
        <v>741</v>
      </c>
      <c r="E61" s="41"/>
      <c r="F61" s="41"/>
      <c r="G61" s="41"/>
    </row>
    <row r="62" spans="1:7" ht="15.75">
      <c r="A62" s="46" t="s">
        <v>24</v>
      </c>
      <c r="B62" s="46"/>
      <c r="C62" s="35"/>
      <c r="D62" s="683" t="s">
        <v>23</v>
      </c>
      <c r="E62" s="643"/>
      <c r="F62" s="643"/>
      <c r="G62" s="643"/>
    </row>
    <row r="63" spans="1:7" ht="15.75">
      <c r="A63" s="33"/>
      <c r="B63" s="33"/>
      <c r="C63" s="33"/>
      <c r="D63" s="33"/>
      <c r="E63" s="33"/>
      <c r="F63" s="33"/>
      <c r="G63" s="686"/>
    </row>
    <row r="64" spans="1:7" ht="15.75">
      <c r="A64" s="33"/>
      <c r="B64" s="33"/>
      <c r="C64" s="33"/>
      <c r="D64" s="33"/>
      <c r="E64" s="33"/>
      <c r="F64" s="33"/>
      <c r="G64" s="686"/>
    </row>
    <row r="65" spans="1:7" ht="15.75">
      <c r="A65" s="33"/>
      <c r="B65" s="33"/>
      <c r="C65" s="33"/>
      <c r="D65" s="33"/>
      <c r="E65" s="33"/>
      <c r="F65" s="33"/>
      <c r="G65" s="686"/>
    </row>
    <row r="66" spans="1:7" ht="15.75">
      <c r="A66" s="33"/>
      <c r="B66" s="33"/>
      <c r="C66" s="33"/>
      <c r="D66" s="33"/>
      <c r="E66" s="33"/>
      <c r="F66" s="33"/>
      <c r="G66" s="686"/>
    </row>
    <row r="67" spans="1:7" ht="15.75">
      <c r="A67" s="33"/>
      <c r="B67" s="33"/>
      <c r="C67" s="33"/>
      <c r="D67" s="181"/>
      <c r="E67" s="33"/>
      <c r="F67" s="33"/>
      <c r="G67" s="686"/>
    </row>
    <row r="68" ht="15.75">
      <c r="G68" s="686"/>
    </row>
    <row r="69" ht="15.75">
      <c r="G69" s="686"/>
    </row>
    <row r="70" ht="15.75">
      <c r="G70" s="686"/>
    </row>
    <row r="71" ht="15.75">
      <c r="G71" s="686"/>
    </row>
    <row r="72" ht="15.75">
      <c r="G72" s="686"/>
    </row>
    <row r="73" ht="15.75">
      <c r="G73" s="686"/>
    </row>
    <row r="74" ht="15.75">
      <c r="G74" s="686"/>
    </row>
    <row r="75" ht="15.75">
      <c r="G75" s="686"/>
    </row>
  </sheetData>
  <sheetProtection sheet="1"/>
  <mergeCells count="13">
    <mergeCell ref="G63:G75"/>
    <mergeCell ref="A4:G4"/>
    <mergeCell ref="F15:F17"/>
    <mergeCell ref="A6:G6"/>
    <mergeCell ref="A8:G8"/>
    <mergeCell ref="E14:G14"/>
    <mergeCell ref="A36:F36"/>
    <mergeCell ref="A37:B37"/>
    <mergeCell ref="D37:E37"/>
    <mergeCell ref="D62:G62"/>
    <mergeCell ref="A61:B61"/>
    <mergeCell ref="F1:G1"/>
    <mergeCell ref="F2:G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Cemetery # 10 Wheatland Jt</v>
      </c>
      <c r="D1" s="35"/>
      <c r="E1" s="35"/>
      <c r="F1" s="35"/>
      <c r="G1" s="35"/>
      <c r="H1" s="35"/>
      <c r="I1" s="35"/>
      <c r="J1" s="35">
        <f>inputPrYr!D22</f>
        <v>2013</v>
      </c>
    </row>
    <row r="2" spans="1:10" ht="15.75" customHeight="1">
      <c r="A2" s="35"/>
      <c r="B2" s="35"/>
      <c r="C2" s="35" t="str">
        <f>inputPrYr!D4</f>
        <v>Brown County</v>
      </c>
      <c r="D2" s="35"/>
      <c r="E2" s="35"/>
      <c r="F2" s="35"/>
      <c r="G2" s="35"/>
      <c r="H2" s="35"/>
      <c r="I2" s="35"/>
      <c r="J2" s="35"/>
    </row>
    <row r="3" spans="1:10" ht="15.75">
      <c r="A3" s="695" t="str">
        <f>CONCATENATE("Computation to Determine Limit for ",J1,"")</f>
        <v>Computation to Determine Limit for 2013</v>
      </c>
      <c r="B3" s="687"/>
      <c r="C3" s="687"/>
      <c r="D3" s="687"/>
      <c r="E3" s="687"/>
      <c r="F3" s="687"/>
      <c r="G3" s="687"/>
      <c r="H3" s="687"/>
      <c r="I3" s="687"/>
      <c r="J3" s="687"/>
    </row>
    <row r="4" spans="1:10" ht="15.75">
      <c r="A4" s="35"/>
      <c r="B4" s="35"/>
      <c r="C4" s="35"/>
      <c r="D4" s="35"/>
      <c r="E4" s="687"/>
      <c r="F4" s="687"/>
      <c r="G4" s="687"/>
      <c r="H4" s="133"/>
      <c r="I4" s="35"/>
      <c r="J4" s="182" t="s">
        <v>81</v>
      </c>
    </row>
    <row r="5" spans="1:10" ht="15.75">
      <c r="A5" s="183" t="s">
        <v>82</v>
      </c>
      <c r="B5" s="35" t="str">
        <f>CONCATENATE("Total Tax Levy Amount in ",J1-1," Budget")</f>
        <v>Total Tax Levy Amount in 2012 Budget</v>
      </c>
      <c r="C5" s="35"/>
      <c r="D5" s="35"/>
      <c r="E5" s="58"/>
      <c r="F5" s="58"/>
      <c r="G5" s="58"/>
      <c r="H5" s="184" t="s">
        <v>83</v>
      </c>
      <c r="I5" s="58" t="s">
        <v>84</v>
      </c>
      <c r="J5" s="334">
        <f>inputPrYr!E40</f>
        <v>3429</v>
      </c>
    </row>
    <row r="6" spans="1:10" ht="15.75">
      <c r="A6" s="183" t="s">
        <v>85</v>
      </c>
      <c r="B6" s="35" t="str">
        <f>CONCATENATE("Debt Service Levy in ",J1-1," Budget")</f>
        <v>Debt Service Levy in 2012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3429</v>
      </c>
    </row>
    <row r="8" spans="1:10" ht="15.75">
      <c r="A8" s="35"/>
      <c r="B8" s="35"/>
      <c r="C8" s="35"/>
      <c r="D8" s="35"/>
      <c r="E8" s="58"/>
      <c r="F8" s="58"/>
      <c r="G8" s="58"/>
      <c r="H8" s="58"/>
      <c r="I8" s="58"/>
      <c r="J8" s="58"/>
    </row>
    <row r="9" spans="1:10" ht="15.75">
      <c r="A9" s="35"/>
      <c r="B9" s="43" t="str">
        <f>CONCATENATE("",J1-1," Valuation Information for Valuation Adjustments:")</f>
        <v>2012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2012:</v>
      </c>
      <c r="C11" s="35"/>
      <c r="D11" s="35"/>
      <c r="E11" s="184"/>
      <c r="F11" s="184" t="s">
        <v>83</v>
      </c>
      <c r="G11" s="185">
        <f>inputOth!D26</f>
        <v>29476</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2012:</v>
      </c>
      <c r="C13" s="35"/>
      <c r="D13" s="35"/>
      <c r="E13" s="184"/>
      <c r="F13" s="184"/>
      <c r="G13" s="100"/>
      <c r="H13" s="100"/>
      <c r="I13" s="58"/>
      <c r="J13" s="58"/>
    </row>
    <row r="14" spans="1:10" ht="15.75">
      <c r="A14" s="35"/>
      <c r="B14" s="35" t="s">
        <v>89</v>
      </c>
      <c r="C14" s="35" t="str">
        <f>CONCATENATE("Personal Property ",J1-1,"")</f>
        <v>Personal Property 2012</v>
      </c>
      <c r="D14" s="183" t="s">
        <v>83</v>
      </c>
      <c r="E14" s="185">
        <f>inputOth!E26</f>
        <v>44337</v>
      </c>
      <c r="F14" s="184"/>
      <c r="G14" s="58"/>
      <c r="H14" s="58"/>
      <c r="I14" s="100"/>
      <c r="J14" s="58"/>
    </row>
    <row r="15" spans="1:10" ht="15.75">
      <c r="A15" s="183"/>
      <c r="B15" s="35" t="s">
        <v>90</v>
      </c>
      <c r="C15" s="35" t="str">
        <f>CONCATENATE("Personal Property ",J1-2,"")</f>
        <v>Personal Property 2011</v>
      </c>
      <c r="D15" s="183" t="s">
        <v>86</v>
      </c>
      <c r="E15" s="186">
        <f>inputOth!G26</f>
        <v>42242</v>
      </c>
      <c r="F15" s="184"/>
      <c r="G15" s="100"/>
      <c r="H15" s="100"/>
      <c r="I15" s="58"/>
      <c r="J15" s="58"/>
    </row>
    <row r="16" spans="1:10" ht="15.75">
      <c r="A16" s="183"/>
      <c r="B16" s="35" t="s">
        <v>91</v>
      </c>
      <c r="C16" s="35" t="s">
        <v>105</v>
      </c>
      <c r="D16" s="35"/>
      <c r="E16" s="58"/>
      <c r="F16" s="58" t="s">
        <v>83</v>
      </c>
      <c r="G16" s="185">
        <f>IF(E14&gt;E15,E14-E15,0)</f>
        <v>2095</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2012:</v>
      </c>
      <c r="C18" s="35"/>
      <c r="D18" s="183"/>
      <c r="E18" s="58"/>
      <c r="F18" s="58"/>
      <c r="G18" s="58">
        <f>inputOth!F26</f>
        <v>194</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31765</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1,2012</v>
      </c>
      <c r="C22" s="35"/>
      <c r="D22" s="35"/>
      <c r="E22" s="185">
        <f>inputOth!C26</f>
        <v>1664096</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1632331</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0.019459901208762193</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67</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3496</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2013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3496</v>
      </c>
    </row>
    <row r="35" spans="1:10" ht="16.5" thickTop="1">
      <c r="A35" s="35"/>
      <c r="B35" s="35"/>
      <c r="C35" s="35"/>
      <c r="D35" s="35"/>
      <c r="E35" s="35"/>
      <c r="F35" s="35"/>
      <c r="G35" s="35"/>
      <c r="H35" s="35"/>
      <c r="I35" s="35"/>
      <c r="J35" s="35"/>
    </row>
    <row r="36" spans="1:10" ht="15.75">
      <c r="A36" s="683" t="str">
        <f>CONCATENATE("If the ",J1," budget includes tax levies exceeding the total on line 14, you must")</f>
        <v>If the 2013 budget includes tax levies exceeding the total on line 14, you must</v>
      </c>
      <c r="B36" s="683"/>
      <c r="C36" s="683"/>
      <c r="D36" s="683"/>
      <c r="E36" s="683"/>
      <c r="F36" s="683"/>
      <c r="G36" s="683"/>
      <c r="H36" s="683"/>
      <c r="I36" s="683"/>
      <c r="J36" s="683"/>
    </row>
    <row r="37" spans="1:10" ht="15.75">
      <c r="A37" s="683" t="s">
        <v>111</v>
      </c>
      <c r="B37" s="683"/>
      <c r="C37" s="683"/>
      <c r="D37" s="683"/>
      <c r="E37" s="683"/>
      <c r="F37" s="683"/>
      <c r="G37" s="683"/>
      <c r="H37" s="683"/>
      <c r="I37" s="683"/>
      <c r="J37" s="68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Cemetery # 10 Wheatland Jt</v>
      </c>
      <c r="C1" s="35"/>
      <c r="D1" s="35"/>
      <c r="E1" s="35"/>
      <c r="F1" s="35"/>
      <c r="G1" s="35"/>
      <c r="H1" s="35"/>
      <c r="I1" s="191"/>
      <c r="J1" s="35"/>
    </row>
    <row r="2" spans="1:10" ht="15.75">
      <c r="A2" s="35"/>
      <c r="B2" s="35" t="str">
        <f>inputPrYr!D4</f>
        <v>Brown County</v>
      </c>
      <c r="C2" s="35"/>
      <c r="D2" s="35"/>
      <c r="E2" s="35"/>
      <c r="F2" s="35"/>
      <c r="G2" s="35"/>
      <c r="H2" s="35"/>
      <c r="I2" s="192"/>
      <c r="J2" s="35">
        <f>inputPrYr!D22</f>
        <v>2013</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2012                    Budgeted Funds</v>
      </c>
      <c r="C8" s="688" t="str">
        <f>CONCATENATE("Tax Levy Amount in ",J2-2," Budget")</f>
        <v>Tax Levy Amount in 2011 Budget</v>
      </c>
      <c r="D8" s="680" t="str">
        <f>CONCATENATE("Allocation for Year ",J2,"")</f>
        <v>Allocation for Year 2013</v>
      </c>
      <c r="E8" s="663"/>
      <c r="F8" s="664"/>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3429</v>
      </c>
      <c r="D10" s="154">
        <f>IF(E16=0,0,E16-D11-D12-D13)</f>
        <v>178</v>
      </c>
      <c r="E10" s="154">
        <f>IF(E18=0,0,E18-E11-E12-E13)</f>
        <v>0</v>
      </c>
      <c r="F10" s="154">
        <f>IF(E20=0,0,E20-F11-F12-F13)</f>
        <v>35</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3429</v>
      </c>
      <c r="D14" s="66">
        <f>SUM(D10:D13)</f>
        <v>178</v>
      </c>
      <c r="E14" s="66">
        <f>SUM(E10:E13)</f>
        <v>0</v>
      </c>
      <c r="F14" s="66">
        <f>SUM(F10:F13)</f>
        <v>35</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178</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0</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35</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0.051910177894429865</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0.010207057451151939</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120" verticalDpi="12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7" sqref="C17:E17"/>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2013</v>
      </c>
    </row>
    <row r="2" spans="1:6" ht="15.75">
      <c r="A2" s="200" t="str">
        <f>inputPrYr!D3</f>
        <v>Cemetery # 10 Wheatland Jt</v>
      </c>
      <c r="B2" s="200"/>
      <c r="C2" s="35"/>
      <c r="D2" s="35"/>
      <c r="E2" s="191"/>
      <c r="F2" s="35"/>
    </row>
    <row r="3" spans="1:6" ht="15.75">
      <c r="A3" s="200" t="str">
        <f>inputPrYr!D4</f>
        <v>Brown County</v>
      </c>
      <c r="B3" s="200"/>
      <c r="C3" s="35"/>
      <c r="D3" s="35"/>
      <c r="E3" s="191"/>
      <c r="F3" s="35"/>
    </row>
    <row r="4" spans="1:6" ht="15.75">
      <c r="A4" s="193"/>
      <c r="B4" s="35"/>
      <c r="C4" s="35"/>
      <c r="D4" s="35"/>
      <c r="E4" s="191"/>
      <c r="F4" s="35"/>
    </row>
    <row r="5" spans="1:6" ht="15" customHeight="1">
      <c r="A5" s="687" t="s">
        <v>134</v>
      </c>
      <c r="B5" s="687"/>
      <c r="C5" s="687"/>
      <c r="D5" s="687"/>
      <c r="E5" s="687"/>
      <c r="F5" s="687"/>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2011</v>
      </c>
      <c r="D9" s="205">
        <f>F1-1</f>
        <v>2012</v>
      </c>
      <c r="E9" s="205">
        <f>F1</f>
        <v>2013</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2012 and/or 2013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2012-07-10T21:39:36Z</cp:lastPrinted>
  <dcterms:created xsi:type="dcterms:W3CDTF">1999-08-06T13:59:57Z</dcterms:created>
  <dcterms:modified xsi:type="dcterms:W3CDTF">2012-12-11T20:39:24Z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