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40" yWindow="30" windowWidth="8085" windowHeight="7860" tabRatio="905" activeTab="0"/>
  </bookViews>
  <sheets>
    <sheet name="cert" sheetId="1" r:id="rId1"/>
    <sheet name="computation" sheetId="2" r:id="rId2"/>
    <sheet name="mvalloc" sheetId="3" r:id="rId3"/>
    <sheet name="transfers" sheetId="4" r:id="rId4"/>
    <sheet name="debt" sheetId="5" r:id="rId5"/>
    <sheet name="lpform" sheetId="6" r:id="rId6"/>
    <sheet name="general" sheetId="7" r:id="rId7"/>
    <sheet name="bondint" sheetId="8" r:id="rId8"/>
    <sheet name="elections" sheetId="9" r:id="rId9"/>
    <sheet name="aging" sheetId="10" r:id="rId10"/>
    <sheet name="mental.health" sheetId="11" r:id="rId11"/>
    <sheet name="dev.dis health" sheetId="12" r:id="rId12"/>
    <sheet name="cifi cons.parks" sheetId="13" r:id="rId13"/>
    <sheet name="trustee jail.com" sheetId="14" r:id="rId14"/>
    <sheet name="reg deeds" sheetId="15" r:id="rId15"/>
    <sheet name="nonbudA" sheetId="16" r:id="rId16"/>
    <sheet name="nonbudB" sheetId="17" r:id="rId17"/>
    <sheet name="Comp Library" sheetId="18" r:id="rId18"/>
    <sheet name="Library" sheetId="19" r:id="rId19"/>
    <sheet name="summ" sheetId="20" r:id="rId20"/>
    <sheet name="inputPrYr" sheetId="21" r:id="rId21"/>
    <sheet name="inputOth" sheetId="22" r:id="rId22"/>
    <sheet name="NonBudFunds" sheetId="23" r:id="rId23"/>
    <sheet name="summ2" sheetId="24" r:id="rId24"/>
    <sheet name="instructions" sheetId="25" r:id="rId25"/>
    <sheet name="inputBudSum" sheetId="26" r:id="rId26"/>
    <sheet name="Nhood" sheetId="27" r:id="rId27"/>
    <sheet name="TransfersStatutes" sheetId="28" r:id="rId28"/>
    <sheet name="Resolution" sheetId="29" r:id="rId29"/>
    <sheet name="Tab A" sheetId="30" r:id="rId30"/>
    <sheet name="Tab B" sheetId="31" r:id="rId31"/>
    <sheet name="Tab C" sheetId="32" r:id="rId32"/>
    <sheet name="Tab D" sheetId="33" r:id="rId33"/>
    <sheet name="Tab E" sheetId="34" r:id="rId34"/>
    <sheet name="Mill Rate Computation" sheetId="35" r:id="rId35"/>
    <sheet name="Helpful Links" sheetId="36" r:id="rId36"/>
    <sheet name="legend" sheetId="37" r:id="rId37"/>
    <sheet name="Sheet1" sheetId="38" r:id="rId38"/>
  </sheets>
  <definedNames>
    <definedName name="_xlnm.Print_Area" localSheetId="9">'aging'!$B$1:$F$42</definedName>
    <definedName name="_xlnm.Print_Area" localSheetId="7">'bondint'!$B$1:$F$44</definedName>
    <definedName name="_xlnm.Print_Area" localSheetId="12">'cifi cons.parks'!$B$1:$F$97</definedName>
    <definedName name="_xlnm.Print_Area" localSheetId="11">'dev.dis health'!$B$1:$F$95</definedName>
    <definedName name="_xlnm.Print_Area" localSheetId="8">'elections'!$B$1:$F$42</definedName>
    <definedName name="_xlnm.Print_Area" localSheetId="6">'general'!$B$1:$F$100</definedName>
    <definedName name="_xlnm.Print_Area" localSheetId="20">'inputPrYr'!$A$1:$F$68</definedName>
    <definedName name="_xlnm.Print_Area" localSheetId="24">'instructions'!$A$1:$A$107</definedName>
    <definedName name="_xlnm.Print_Area" localSheetId="18">'Library'!$A$1:$F$39</definedName>
    <definedName name="_xlnm.Print_Area" localSheetId="10">'mental.health'!$A$1:$F$43</definedName>
    <definedName name="_xlnm.Print_Area" localSheetId="14">'reg deeds'!$B$1:$F$30</definedName>
    <definedName name="_xlnm.Print_Area" localSheetId="19">'summ'!$A$1:$H$49</definedName>
    <definedName name="_xlnm.Print_Area" localSheetId="13">'trustee jail.com'!$B$1:$F$56</definedName>
  </definedNames>
  <calcPr fullCalcOnLoad="1"/>
</workbook>
</file>

<file path=xl/sharedStrings.xml><?xml version="1.0" encoding="utf-8"?>
<sst xmlns="http://schemas.openxmlformats.org/spreadsheetml/2006/main" count="2193" uniqueCount="1049">
  <si>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</si>
  <si>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</si>
  <si>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</si>
  <si>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</si>
  <si>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</si>
  <si>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</si>
  <si>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</si>
  <si>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Other County</t>
  </si>
  <si>
    <t>Special District Funds</t>
  </si>
  <si>
    <t>NON-BUDGETED FUNDS (A)</t>
  </si>
  <si>
    <t>Non-Budgeted Funds-A</t>
  </si>
  <si>
    <t>(1) Fund Name:</t>
  </si>
  <si>
    <t>(2) Fund Name:</t>
  </si>
  <si>
    <t>(3) Fund Name:</t>
  </si>
  <si>
    <t>(4) Fund Name:</t>
  </si>
  <si>
    <t>(5) Fund Name:</t>
  </si>
  <si>
    <t xml:space="preserve">Unencumbered </t>
  </si>
  <si>
    <t>Cash Balance Dec 31</t>
  </si>
  <si>
    <t>NON-BUDGETED FUNDS (B)</t>
  </si>
  <si>
    <t>Non-Budgeted Funds-B</t>
  </si>
  <si>
    <t>Other non-tax levy fund names: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</si>
  <si>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</si>
  <si>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</si>
  <si>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</si>
  <si>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</si>
  <si>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Read these instructions carefully.  If after reviewing them you still have questions, call Municipal Services at 785-296-2311 or e-mail : armunis@da.ks.gov</t>
  </si>
  <si>
    <t>All dollar amounts should be rounded to whole dollars (do not record cents).</t>
  </si>
  <si>
    <t>The blue areas indicated where the information comes from to complete the section input.</t>
  </si>
  <si>
    <t xml:space="preserve">3. Hard coded the Bond &amp; Interest, and Road &amp; Bridge on Certificate and Summary pages. </t>
  </si>
  <si>
    <t xml:space="preserve">7. Now have the indebtedness prior year added to the input page and link with the budget summary page. </t>
  </si>
  <si>
    <t>10. Changed the Budget Summary Heading to include Actual/Estimate/Proposed with the budget year.</t>
  </si>
  <si>
    <t>11. Changed the delinquency rate formula for all levy funds.</t>
  </si>
  <si>
    <t>16. Add total section for Schedule of Transfers and linked the total to the Budget Summary page.</t>
  </si>
  <si>
    <t>17. Added column to show when debt retired on the Indebtedness page.</t>
  </si>
  <si>
    <t>18. Certificate (2) added (2) after Certificate at top of page, removed the certification at the top, and added column for Nov 1 valuation.</t>
  </si>
  <si>
    <t>21. On the Budget Summary page (2) added column for July1 valuation and computation to compute mil rates.</t>
  </si>
  <si>
    <t>20. Added 4 non-budgeted pages for 20 non-budgeted funds.</t>
  </si>
  <si>
    <t>Budget Summary</t>
  </si>
  <si>
    <t>xxxxx</t>
  </si>
  <si>
    <t>Resolution</t>
  </si>
  <si>
    <t>Is a Resolution required?</t>
  </si>
  <si>
    <t>22. Added Resolution statement on Certificate page.</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</si>
  <si>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</si>
  <si>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</si>
  <si>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13. Added page number on the Resolution page.</t>
  </si>
  <si>
    <t>8. Added Resolution statement on Certificate page.</t>
  </si>
  <si>
    <t>Note:  All amounts are to be entered in as whole numbers only.</t>
  </si>
  <si>
    <t>23. Added computation to Certificate page 2 to comp mil rates.</t>
  </si>
  <si>
    <t>24. Added note on General and Road detail pages to ensure the General and Road subtotals are in agreement.</t>
  </si>
  <si>
    <t>**</t>
  </si>
  <si>
    <t>**Note: These two block figures should agree.</t>
  </si>
  <si>
    <t>25. Added to instructions about non-appropriated balance limited to 5%.</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</si>
  <si>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</si>
  <si>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29. Added Slider to the Vehicle Allocation table and linked to fund pages.</t>
  </si>
  <si>
    <t>xxxxxxxxxxxxxxxxxxxx</t>
  </si>
  <si>
    <t>30. Added to all budgeted fund pages the budget authority for the actual year, budget violation, and cash violation.</t>
  </si>
  <si>
    <t>31. Added instruction on the addition for item 30.</t>
  </si>
  <si>
    <t>Funds</t>
  </si>
  <si>
    <t xml:space="preserve">expenditure amounts should reflect the amended </t>
  </si>
  <si>
    <t>expenditure amounts.</t>
  </si>
  <si>
    <t xml:space="preserve">Tax Levy Rate </t>
  </si>
  <si>
    <t>Miscellaneous</t>
  </si>
  <si>
    <t>Does miscellaneous exceed 10% of Total Receipts</t>
  </si>
  <si>
    <t>Neighborhood Revitalization Rebate</t>
  </si>
  <si>
    <t>Does miscellaneous exceed 10% of Total Expenditure</t>
  </si>
  <si>
    <t xml:space="preserve">The worksheets are named (see the tab) in each budget workbook.  We will identify the worksheet by referencing the tab in parentheses (i.e. General Fund reference would be 'general'). </t>
  </si>
  <si>
    <r>
      <t xml:space="preserve">The General fund has a detail page (gen-detail) which can be used to disclose more insight of the General Fund expenditures by a department.  The detail page department name and total is linked to the General Fund page. You do not have to use the department names that are currently showing, as these can be changed to meet the need of the county. The last detail page contains all the total of the detail pages and this total amount should agree with the subtotal on the General page. If the totals do not agree, then change the figures on the detail page and </t>
    </r>
    <r>
      <rPr>
        <b/>
        <sz val="12"/>
        <rFont val="Times New Roman"/>
        <family val="1"/>
      </rPr>
      <t>not</t>
    </r>
    <r>
      <rPr>
        <sz val="12"/>
        <rFont val="Times New Roman"/>
        <family val="1"/>
      </rPr>
      <t xml:space="preserve"> on the General page.  If the detail page is used, please ensure to print the detail page and attach it to the budget.</t>
    </r>
  </si>
  <si>
    <t>The Road &amp; Bridge fund has a detail page (road-detail) which can be used to disclose more insight of the Road &amp; Bridge department expenditures.  The detail page department and total is linked to the Road fund page. You do not have to use the department names that are currently showing, as these can be changed to meet the need of the county. The detail totals should agree to the Road &amp; Bridge fund page subtotals and if they do not, then make corrections on the detail page only.  If the detail page is used, please remember to print the page.</t>
  </si>
  <si>
    <t>Red areas are for notes or indicate a problem area that will need possible corrective action taken.</t>
  </si>
  <si>
    <t>All of the county's budgets should be submitted to Municipal Services by December 1.</t>
  </si>
  <si>
    <r>
      <t xml:space="preserve">Completed budgets may be submitted to Municipal Services on 3.5 computer disk, CD, or as an attachment to an email.  If submitting by email, please mail to the following address: </t>
    </r>
    <r>
      <rPr>
        <u val="single"/>
        <sz val="12"/>
        <rFont val="Times New Roman"/>
        <family val="1"/>
      </rPr>
      <t>armunis@da.ks.gov</t>
    </r>
    <r>
      <rPr>
        <sz val="12"/>
        <rFont val="Times New Roman"/>
        <family val="1"/>
      </rPr>
      <t xml:space="preserve">. Naming the files should start with 'co' for county, 'ci' for cities, 'to' for townships, and 'sp' for special districts.  </t>
    </r>
  </si>
  <si>
    <t xml:space="preserve">Additional Certificate (cert2) and Budget Summary (summ2) pages are available for adding Special Districts. If Special Districts are submitted with the county's budget, please ensure to include the Special Districts' Computation to Determine Levy Limit computation page, and fund pages. </t>
  </si>
  <si>
    <t>Cash Balance Jan 1</t>
  </si>
  <si>
    <t>35. Added 'excluding oil, gas, and mobile homes' to lines 7 and 9 on Clerks budget info on tab inputoth.</t>
  </si>
  <si>
    <t>***If you are merely leasing/renting with no intent to purchase, do not list--such transactions are not lease-purchases.</t>
  </si>
  <si>
    <t>34. Expanded on the preparation of budget note 11 for instructions for the Notice of Budget Hearing.</t>
  </si>
  <si>
    <t>The following were changed to this spreadsheet on 5/08/2008</t>
  </si>
  <si>
    <r>
      <t>1. Change all the Non-Budgeted Funds forms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</si>
  <si>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</si>
  <si>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3. The revision date was changed.</t>
  </si>
  <si>
    <t>The following were changed to this spreadsheet on 7/01/08</t>
  </si>
  <si>
    <t>2. Changed the formula for unencumbered cash balances for NonBudA to NonBudD to show a negative balance.</t>
  </si>
  <si>
    <t>3. Added box under unencumbered cash balance for NonBudA to NonBudD to reflect a negative ending cash balance.</t>
  </si>
  <si>
    <t>1. Added instructions to 9d for the NonBudA to NonBudD tabs explaining about negative cash balance.</t>
  </si>
  <si>
    <t xml:space="preserve">Ad Valorem Tax </t>
  </si>
  <si>
    <t xml:space="preserve">County.xls spreadsheet has General Fund, Debt Service, Road &amp; Bridge, 22 levy fund pages, 16 no levy fund pages, and 20 non-budgeted funds. </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</si>
  <si>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</si>
  <si>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</si>
  <si>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</si>
  <si>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</si>
  <si>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</si>
  <si>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</si>
  <si>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</si>
  <si>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</si>
  <si>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</si>
  <si>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</si>
  <si>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</si>
  <si>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7b. Added instruction line 9c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</si>
  <si>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</si>
  <si>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</si>
  <si>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</si>
  <si>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</si>
  <si>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Added instruction lines 9h to 9j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</si>
  <si>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</si>
  <si>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</si>
  <si>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2b. If the county chooses not to use the delinquency rate for all tax levy funds, then the county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</si>
  <si>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9/04/08</t>
  </si>
  <si>
    <t>Budget Summary Page</t>
  </si>
  <si>
    <t>27. Added Neighborhood Revitalization table and linked to the tax levy fund pages.</t>
  </si>
  <si>
    <t>32. Added 'miscellaneous' category to the receipt/expenditure for all fund pages and set error message.</t>
  </si>
  <si>
    <t>33. Added to the instruction about correct the error message for the miscellaneous.</t>
  </si>
  <si>
    <t>9. Added Neighborhood Revitalization, LAVTR, City and County Revenue Sharing, and Slider to the input page and to the General Fund page. Added NR to each tax levy fund page.</t>
  </si>
  <si>
    <t xml:space="preserve">General Instructions </t>
  </si>
  <si>
    <t>To print the spreadsheets, you can either print one sheet at a time or all of the sheets at once.</t>
  </si>
  <si>
    <t>Computer Spreadsheet Preparation</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</si>
  <si>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</si>
  <si>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</si>
  <si>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</si>
  <si>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</si>
  <si>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</si>
  <si>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</si>
  <si>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</si>
  <si>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</si>
  <si>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</si>
  <si>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</si>
  <si>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</si>
  <si>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</si>
  <si>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</si>
  <si>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</si>
  <si>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</si>
  <si>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</si>
  <si>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</si>
  <si>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x</t>
  </si>
  <si>
    <t>Assisted by:</t>
  </si>
  <si>
    <t>Governing Body</t>
  </si>
  <si>
    <t>County Clerk</t>
  </si>
  <si>
    <t>Amount</t>
  </si>
  <si>
    <t>Mental Health</t>
  </si>
  <si>
    <t>TOTAL</t>
  </si>
  <si>
    <t>County Treas Motor Vehicle Estimate</t>
  </si>
  <si>
    <t>County Treasurers Recreational Vehicle Estimate</t>
  </si>
  <si>
    <t>Motor Vehicle Factor</t>
  </si>
  <si>
    <t>MVT</t>
  </si>
  <si>
    <t>Totals</t>
  </si>
  <si>
    <t>Adopted Budget</t>
  </si>
  <si>
    <t>Ad Valorem Tax</t>
  </si>
  <si>
    <t>Delinquent Tax</t>
  </si>
  <si>
    <t>Motor Vehicle Tax</t>
  </si>
  <si>
    <t>Recreational Vehicle Tax</t>
  </si>
  <si>
    <t>Total Receipts</t>
  </si>
  <si>
    <t>Resources Available:</t>
  </si>
  <si>
    <t xml:space="preserve">Page No. </t>
  </si>
  <si>
    <t xml:space="preserve">General </t>
  </si>
  <si>
    <t>Expenditures:</t>
  </si>
  <si>
    <t>Total Expenditures</t>
  </si>
  <si>
    <t>Tax Required</t>
  </si>
  <si>
    <t>%</t>
  </si>
  <si>
    <t>Debt Service</t>
  </si>
  <si>
    <t>Library</t>
  </si>
  <si>
    <t>Register of Deeds</t>
  </si>
  <si>
    <t>Other</t>
  </si>
  <si>
    <t>Page No.</t>
  </si>
  <si>
    <t xml:space="preserve"> </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</si>
  <si>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</si>
  <si>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</si>
  <si>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</si>
  <si>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</si>
  <si>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</si>
  <si>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</si>
  <si>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</si>
  <si>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</si>
  <si>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</si>
  <si>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</si>
  <si>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</si>
  <si>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</si>
  <si>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</si>
  <si>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</si>
  <si>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</si>
  <si>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</si>
  <si>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</si>
  <si>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</si>
  <si>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</si>
  <si>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</si>
  <si>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</si>
  <si>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</si>
  <si>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</si>
  <si>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</si>
  <si>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</si>
  <si>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</si>
  <si>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</si>
  <si>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</si>
  <si>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</si>
  <si>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</si>
  <si>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</si>
  <si>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</si>
  <si>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</si>
  <si>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</si>
  <si>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</si>
  <si>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</si>
  <si>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</si>
  <si>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 M Vehicle Tax</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</si>
  <si>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</si>
  <si>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</si>
  <si>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</si>
  <si>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</si>
  <si>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</si>
  <si>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</si>
  <si>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</si>
  <si>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</si>
  <si>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</si>
  <si>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</si>
  <si>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</si>
  <si>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</si>
  <si>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</si>
  <si>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</si>
  <si>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</si>
  <si>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</si>
  <si>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</si>
  <si>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</si>
  <si>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</si>
  <si>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</si>
  <si>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</si>
  <si>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</si>
  <si>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</si>
  <si>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</si>
  <si>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</si>
  <si>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</si>
  <si>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</si>
  <si>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</si>
  <si>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</si>
  <si>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</si>
  <si>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</si>
  <si>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7.</t>
  </si>
  <si>
    <t>8.</t>
  </si>
  <si>
    <t>Balance On</t>
  </si>
  <si>
    <t>16/20M Veh</t>
  </si>
  <si>
    <t>Tax Levy Excluding Debt Service</t>
  </si>
  <si>
    <t>Increase in Personal Property (5a minus 5b)</t>
  </si>
  <si>
    <t>Amount of Increase (10 times 3)</t>
  </si>
  <si>
    <t>Factor for Increase (7 divided by 9)</t>
  </si>
  <si>
    <t>Total Valuation less Valuation Adjustment (8 minus 7)</t>
  </si>
  <si>
    <t>adopt a resolution to exceed this limit and attach a copy to this budget.</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</si>
  <si>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</si>
  <si>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</si>
  <si>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</si>
  <si>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</si>
  <si>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</si>
  <si>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</si>
  <si>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</si>
  <si>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 xml:space="preserve">Enter information  in all areas that are green if they apply to the budget you are preparing. </t>
  </si>
  <si>
    <t>79-1946</t>
  </si>
  <si>
    <t>Schedule of Transfers</t>
  </si>
  <si>
    <t>Outstanding</t>
  </si>
  <si>
    <t>(Beginning Principal)</t>
  </si>
  <si>
    <t>Estimated Tax Rate is subject to change depending on the final assessed valuation.</t>
  </si>
  <si>
    <t>Lease Pur. Princ.</t>
  </si>
  <si>
    <t>COUNTY RESOLUTION</t>
  </si>
  <si>
    <t>RESOLUTION NO.__________________</t>
  </si>
  <si>
    <t>Whereas, budgeting, taxing and service level decisions for all county services are the responsibility of the board of county commissioners; and</t>
  </si>
  <si>
    <t>Whereas, the cost of provision of these services continues to increase; and</t>
  </si>
  <si>
    <t>BOARD OF COUNTY COMMISSIONERS</t>
  </si>
  <si>
    <t>___________________________________.</t>
  </si>
  <si>
    <t>ATTEST:</t>
  </si>
  <si>
    <t>________________________________.</t>
  </si>
  <si>
    <t>, County Clerk</t>
  </si>
  <si>
    <t>(Attach a signed copy to the budget)</t>
  </si>
  <si>
    <t xml:space="preserve">                                                                          16/20M Vehicle Factor</t>
  </si>
  <si>
    <t xml:space="preserve">                                         Recreational Vehicle Factor</t>
  </si>
  <si>
    <t>Current</t>
  </si>
  <si>
    <t>Proposed</t>
  </si>
  <si>
    <t>When the page numbers are changed on the fund pages, the Certificate page will also be changed.</t>
  </si>
  <si>
    <t>County Clerk's Use Only</t>
  </si>
  <si>
    <t>Address:</t>
  </si>
  <si>
    <t>County1 Spreadsheet Instructions</t>
  </si>
  <si>
    <t xml:space="preserve">Counties can use the county.xls or county1.xls files.   You must choose a form that meets the needs for the number of funds.  If you don't need all the funds, just leave the pages blank and number the completed pages sequentially. </t>
  </si>
  <si>
    <t>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</si>
  <si>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budget.</t>
  </si>
  <si>
    <t>Input sheet for County1 budget form</t>
  </si>
  <si>
    <t>Enter County Name followed by 'County'</t>
  </si>
  <si>
    <t>Enter year being budgeted (YYYY)</t>
  </si>
  <si>
    <t>Information comes from the Certificate, Page No. 1</t>
  </si>
  <si>
    <t>Fund Names for all funds with a tax levy:</t>
  </si>
  <si>
    <t>10-113</t>
  </si>
  <si>
    <t xml:space="preserve"> Commissioners will be published in the _________ (newspaper).   Interested persons can also address questions concerning the budget to __________ (office) _______ by calling ___________ between the hours of ________ a.m. to ________ p.m., Monday through Fridays, excluding holidays.  </t>
  </si>
  <si>
    <t>Neighborhood Revitalization</t>
  </si>
  <si>
    <t>LAVTR</t>
  </si>
  <si>
    <t>City and County Revenue Sharing</t>
  </si>
  <si>
    <t>Computation of Delinquency</t>
  </si>
  <si>
    <r>
      <t>**</t>
    </r>
    <r>
      <rPr>
        <u val="single"/>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</si>
  <si>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</si>
  <si>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</si>
  <si>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</si>
  <si>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</si>
  <si>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</si>
  <si>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</si>
  <si>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</si>
  <si>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</si>
  <si>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</si>
  <si>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</si>
  <si>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t>The following were changed to this spreadsheet on 2/23/09</t>
  </si>
  <si>
    <t>1. Instruction under Submitting Budgets added 79-2926 requires electronic filing of the budget.</t>
  </si>
  <si>
    <t>2. Input other tab line 27 changed from Budget Summary to Budget Certificate.</t>
  </si>
  <si>
    <t xml:space="preserve">K.S.A. 79-2926 requires budgets be submitted by electronic means. </t>
  </si>
  <si>
    <t>Transfers - Counties</t>
  </si>
  <si>
    <t>The following were changed to this spreadsheet on 9/23/09</t>
  </si>
  <si>
    <t>1. InputPrYr tab added C13 'If amended….'</t>
  </si>
  <si>
    <t>2.No levypage21 tab add conditional statement to cells c29, c30, and d29</t>
  </si>
  <si>
    <t>3. Added tab 'TransfersStatutes'</t>
  </si>
  <si>
    <t>4. Changed foot note to reflect the changes made on 7/1/08 to the above tabs.</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</si>
  <si>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</si>
  <si>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</si>
  <si>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12. Changed the Certificate page so the county name flows instead of having unneeded spaces.</t>
  </si>
  <si>
    <t>14. Delinquency rate for actual for 3 decimal and note that rate can be up to 5% over the actual rate.</t>
  </si>
  <si>
    <t>15. Computation to Determine Limit changed the note on bottom to include publish ordinance and attach the published ordinance to the budget.</t>
  </si>
  <si>
    <t>19. Budget Summary changed the sentence "will meet…" so the year automatically changes.</t>
  </si>
  <si>
    <t>26. Added warning "Exceeds 5%" on all fund pages for the non-appropriated balance.</t>
  </si>
  <si>
    <t>28. Added Neighborhood Revitalization expenditure block to each tax levy fund pages.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</si>
  <si>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</si>
  <si>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</si>
  <si>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</si>
  <si>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</si>
  <si>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</si>
  <si>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</si>
  <si>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</si>
  <si>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</si>
  <si>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</si>
  <si>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</si>
  <si>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</si>
  <si>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</si>
  <si>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</si>
  <si>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</si>
  <si>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</si>
  <si>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</si>
  <si>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</si>
  <si>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</si>
  <si>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</si>
  <si>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</si>
  <si>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</si>
  <si>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t>5. Added tab 'NonBudFunds'</t>
  </si>
  <si>
    <t>4. Added tabs A to E for possible violation</t>
  </si>
  <si>
    <t>6. Instructions tab changed cells 9g - j for changes for possible violations on fund pages</t>
  </si>
  <si>
    <t xml:space="preserve">8.  Instructions tab added line 6b to inform about TransferStatutes tab
</t>
  </si>
  <si>
    <t>7. Deleted on all fund pages the 'Yes' and 'No' and replace with see tab for possible violations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</si>
  <si>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</si>
  <si>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</si>
  <si>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</si>
  <si>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</si>
  <si>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</si>
  <si>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</si>
  <si>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</si>
  <si>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</si>
  <si>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</si>
  <si>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</si>
  <si>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</si>
  <si>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</si>
  <si>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</si>
  <si>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NonBud tab changed Net valuation to July 1</t>
  </si>
  <si>
    <t>Valuation Factor:</t>
  </si>
  <si>
    <t>Neighborhood Revitalization Subj to Rebate:</t>
  </si>
  <si>
    <t>Neighborhood Revitalization factor:</t>
  </si>
  <si>
    <t>10.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</si>
  <si>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</si>
  <si>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</si>
  <si>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</si>
  <si>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</si>
  <si>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</si>
  <si>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</si>
  <si>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</si>
  <si>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</si>
  <si>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</si>
  <si>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</si>
  <si>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</si>
  <si>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</si>
  <si>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</si>
  <si>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</si>
  <si>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</si>
  <si>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</si>
  <si>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</si>
  <si>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</si>
  <si>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</si>
  <si>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</si>
  <si>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</si>
  <si>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</si>
  <si>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</si>
  <si>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</si>
  <si>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</si>
  <si>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</si>
  <si>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</si>
  <si>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</si>
  <si>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</si>
  <si>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</si>
  <si>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</si>
  <si>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</si>
  <si>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</si>
  <si>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</si>
  <si>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 &amp; bridge</t>
  </si>
  <si>
    <t xml:space="preserve">and noxious weed funds may split contractual services between the two </t>
  </si>
  <si>
    <t xml:space="preserve">funds.  If one of those funds is in trouble, you might be able to </t>
  </si>
  <si>
    <t xml:space="preserve">allocate a little more in contractual services to the healthy fund in </t>
  </si>
  <si>
    <t>order to 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</si>
  <si>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</si>
  <si>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</si>
  <si>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</si>
  <si>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</si>
  <si>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</si>
  <si>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</si>
  <si>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</si>
  <si>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</si>
  <si>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</si>
  <si>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</si>
  <si>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</si>
  <si>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</si>
  <si>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</si>
  <si>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</si>
  <si>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</si>
  <si>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</si>
  <si>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</si>
  <si>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</si>
  <si>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</si>
  <si>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</si>
  <si>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</si>
  <si>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</si>
  <si>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</si>
  <si>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</si>
  <si>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</si>
  <si>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</si>
  <si>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</si>
  <si>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</si>
  <si>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</si>
  <si>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</si>
  <si>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</si>
  <si>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</si>
  <si>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</si>
  <si>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</si>
  <si>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</si>
  <si>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</si>
  <si>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</si>
  <si>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</si>
  <si>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</si>
  <si>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</si>
  <si>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</si>
  <si>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</si>
  <si>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</si>
  <si>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</si>
  <si>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</si>
  <si>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</si>
  <si>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</si>
  <si>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</si>
  <si>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</si>
  <si>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</si>
  <si>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</si>
  <si>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</si>
  <si>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</si>
  <si>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</si>
  <si>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</si>
  <si>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</si>
  <si>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</si>
  <si>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</si>
  <si>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</si>
  <si>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</si>
  <si>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</si>
  <si>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</si>
  <si>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</si>
  <si>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</si>
  <si>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</si>
  <si>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</si>
  <si>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</si>
  <si>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</si>
  <si>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</si>
  <si>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</si>
  <si>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</si>
  <si>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</si>
  <si>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</si>
  <si>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</si>
  <si>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</si>
  <si>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</si>
  <si>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</si>
  <si>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</si>
  <si>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</si>
  <si>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</si>
  <si>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</si>
  <si>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</si>
  <si>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</si>
  <si>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</si>
  <si>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</si>
  <si>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</si>
  <si>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</si>
  <si>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</si>
  <si>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</si>
  <si>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</si>
  <si>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</si>
  <si>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</si>
  <si>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</si>
  <si>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</si>
  <si>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</si>
  <si>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</si>
  <si>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</si>
  <si>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</si>
  <si>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</si>
  <si>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</si>
  <si>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</si>
  <si>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</si>
  <si>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</si>
  <si>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</si>
  <si>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</si>
  <si>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</si>
  <si>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</si>
  <si>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 xml:space="preserve">funds.  If one of those funds is in trouble you might be able to </t>
  </si>
  <si>
    <t>order to 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</si>
  <si>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</si>
  <si>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</si>
  <si>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</si>
  <si>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</si>
  <si>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</si>
  <si>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</si>
  <si>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</si>
  <si>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</si>
  <si>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</si>
  <si>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</si>
  <si>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</si>
  <si>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</si>
  <si>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</si>
  <si>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</si>
  <si>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</si>
  <si>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</si>
  <si>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</si>
  <si>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</si>
  <si>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</si>
  <si>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</si>
  <si>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</si>
  <si>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</si>
  <si>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</si>
  <si>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</si>
  <si>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</si>
  <si>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</si>
  <si>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</si>
  <si>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</si>
  <si>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</si>
  <si>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</si>
  <si>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</si>
  <si>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</si>
  <si>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</si>
  <si>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</si>
  <si>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</si>
  <si>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</si>
  <si>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</si>
  <si>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</si>
  <si>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</si>
  <si>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</si>
  <si>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</si>
  <si>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</si>
  <si>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</si>
  <si>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</si>
  <si>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</si>
  <si>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</si>
  <si>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</si>
  <si>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</si>
  <si>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</si>
  <si>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</si>
  <si>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</si>
  <si>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</si>
  <si>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</si>
  <si>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</si>
  <si>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</si>
  <si>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</si>
  <si>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</si>
  <si>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</si>
  <si>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</si>
  <si>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</si>
  <si>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</si>
  <si>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</si>
  <si>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</si>
  <si>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</si>
  <si>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</si>
  <si>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</si>
  <si>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</si>
  <si>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</si>
  <si>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</si>
  <si>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</si>
  <si>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</si>
  <si>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</si>
  <si>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</si>
  <si>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Submitting the Budget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</si>
  <si>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</si>
  <si>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</si>
  <si>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</si>
  <si>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</si>
  <si>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</si>
  <si>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4c. The Certificate(2) (cert2) and Budget Summary (summ2) are used when the County Clerk has special districts that are to be submitted along with the County's budget.</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</si>
  <si>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</si>
  <si>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</si>
  <si>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r>
      <t xml:space="preserve">5b. Print the Resolution page (resolution) if the max levy is exceeded.  Complete the printed resolution and ensure to attached it the budget. </t>
    </r>
    <r>
      <rPr>
        <b/>
        <sz val="12"/>
        <rFont val="Times New Roman"/>
        <family val="1"/>
      </rPr>
      <t>Ensure to number the page</t>
    </r>
    <r>
      <rPr>
        <sz val="12"/>
        <rFont val="Times New Roman"/>
        <family val="1"/>
      </rPr>
      <t>.</t>
    </r>
  </si>
  <si>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</si>
  <si>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on the Budget Summary. </t>
    </r>
    <r>
      <rPr>
        <b/>
        <sz val="12"/>
        <rFont val="Times New Roman"/>
        <family val="1"/>
      </rPr>
      <t>If the county does not have any debt, then on the first line enter 'none'.</t>
    </r>
  </si>
  <si>
    <r>
      <t xml:space="preserve">9.  Statement of Conditional Lease, Lease-Purchases and Certificate of Participation (lpform) must be completed for all transactions which at the end of the lease period the lease is owned by the county.  Principal Balance Due for the actual year is linked on the Budget Summary page. </t>
    </r>
    <r>
      <rPr>
        <b/>
        <sz val="12"/>
        <rFont val="Times New Roman"/>
        <family val="1"/>
      </rPr>
      <t>If the county does not have any leases, then on the first line enter 'none'.</t>
    </r>
  </si>
  <si>
    <t>10.  The spreadsheet has individual fund sheets for General Fund (general), Debt Service (DebtService), Road &amp; Bridge, 22 levy pages (levy page10 and levy page20), 10 no levy fund pages (nolevypage21 to nolevypage28), and 4 non-budgeted tab which allows for 20 non-budgeted funds.  Only complete the fund pages needed.  When the fund pages are completed, the totals will be linked to the Certificate and Budget Summary pages.</t>
  </si>
  <si>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</si>
  <si>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</si>
  <si>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</si>
  <si>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</si>
  <si>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</si>
  <si>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please review the entire document and verify that all amounts are correct.  In addition, the Certificate Page needs to be signed by at least one member of the governing body (signatures of the entire governing body is preferred, but not mandatory). </t>
  </si>
  <si>
    <t>answering objections of taxpayers relating to the proposed use of all funds and the amount of ad valorem tax.</t>
  </si>
  <si>
    <t>the Neighborhood Revitalization Rebate table.</t>
  </si>
  <si>
    <t>The following were changed to this spreadsheet on 12/28/09</t>
  </si>
  <si>
    <t>7c.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</si>
  <si>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</si>
  <si>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</si>
  <si>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</si>
  <si>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</si>
  <si>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</si>
  <si>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</si>
  <si>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</si>
  <si>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</si>
  <si>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</si>
  <si>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</si>
  <si>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</si>
  <si>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</si>
  <si>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in the appropriate locations.  If any of the numbers are wrong, change them on this input sheet.</t>
  </si>
  <si>
    <t xml:space="preserve">Enter the following information from the sources shown.  This information will be  entered on the budget forms </t>
  </si>
  <si>
    <t>The following were changed to this spreadsheet on 6/29/10</t>
  </si>
  <si>
    <t>1. Road tab, changed the delinquency % cell reference from E23 to E24</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</si>
  <si>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</si>
  <si>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</si>
  <si>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</si>
  <si>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</si>
  <si>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</si>
  <si>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</si>
  <si>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Does miscellaneous exceed 10% of Total Exp</t>
  </si>
  <si>
    <t>Does miscellaneous exceed 10% of Total Rec</t>
  </si>
  <si>
    <t>Non-Appropriated Balance</t>
  </si>
  <si>
    <t>Total Expenditure/Non-Appr Balance</t>
  </si>
  <si>
    <t>Delinquent Comp Rate:</t>
  </si>
  <si>
    <t>Desired Carryover Amount:</t>
  </si>
  <si>
    <t>Estimated Mill Rate Impact:</t>
  </si>
  <si>
    <t>The following were changed to this spreadsheet on 9/23/10</t>
  </si>
  <si>
    <t>1. All pages removed the revision date</t>
  </si>
  <si>
    <t>2. All tax levy fund pages reduced the columns and revised the bottom of pages for see tabs</t>
  </si>
  <si>
    <t>3. Instruction tab added 10a,b and f, 12 b and c, and 14</t>
  </si>
  <si>
    <t>4. Certificate and Certificate2 tab change the 'Expenditure' heading by adding  'Budget Authority for Expenditures'</t>
  </si>
  <si>
    <t>5. Certificate tab add the year in the block for 'County Clerk Use Only'</t>
  </si>
  <si>
    <t>6. Gen tab added revenue line for 'Compensation Use'</t>
  </si>
  <si>
    <t>7. Gen tab added table for 'Projection of Cash Carryover'</t>
  </si>
  <si>
    <t>8. Gen tab added table for 'Desired Carryover'</t>
  </si>
  <si>
    <t>9. Gen tab redefine print que to not include tables</t>
  </si>
  <si>
    <t>10. Gen tab hid the comp for see tabs</t>
  </si>
  <si>
    <t>11. DebtService tab added table for 'Projected Carryover'</t>
  </si>
  <si>
    <t>12. Road tab added table for 'Projected Carryover'</t>
  </si>
  <si>
    <t>13. DebtService and Road tab redefine print que and hid comp for see tabs</t>
  </si>
  <si>
    <t>14. Levy page10 and page20 tab hid comp for see tabs</t>
  </si>
  <si>
    <t>15. Summ and Summ2 tab changed proposed year expenditure column to 'Budget Authority (Includes Carryover)</t>
  </si>
  <si>
    <t>16. Summ tab added four tables to the right of the form</t>
  </si>
  <si>
    <t>17. Revised TransferStatutes and NonBudFunds tabs</t>
  </si>
  <si>
    <t>18. Added Mill Rate Computation tab</t>
  </si>
  <si>
    <t>19. Add Helpful Links tab</t>
  </si>
  <si>
    <t>20. Inputoth tab changed Actual Delinquency tax from -2 to -3</t>
  </si>
  <si>
    <t>21. Summ2 added year to Estimate Valuation column</t>
  </si>
  <si>
    <t>22. Added page no. to all tabs at the bottom of each page</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</si>
  <si>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</si>
  <si>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</si>
  <si>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</si>
  <si>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</si>
  <si>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</si>
  <si>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</si>
  <si>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</si>
  <si>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</si>
  <si>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</si>
  <si>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</si>
  <si>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</si>
  <si>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</si>
  <si>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</si>
  <si>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</si>
  <si>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</si>
  <si>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</si>
  <si>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</si>
  <si>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</si>
  <si>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</si>
  <si>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</si>
  <si>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</si>
  <si>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</si>
  <si>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</si>
  <si>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</si>
  <si>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</si>
  <si>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</si>
  <si>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</si>
  <si>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</si>
  <si>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</si>
  <si>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</si>
  <si>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</si>
  <si>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</si>
  <si>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</si>
  <si>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</si>
  <si>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</si>
  <si>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</si>
  <si>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</si>
  <si>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</si>
  <si>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</si>
  <si>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</si>
  <si>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</si>
  <si>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</si>
  <si>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</si>
  <si>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</si>
  <si>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</si>
  <si>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</si>
  <si>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</si>
  <si>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</si>
  <si>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</si>
  <si>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</si>
  <si>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</si>
  <si>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</si>
  <si>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</si>
  <si>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</si>
  <si>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</si>
  <si>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</si>
  <si>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</si>
  <si>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</si>
  <si>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</si>
  <si>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</si>
  <si>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</si>
  <si>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</si>
  <si>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</si>
  <si>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</si>
  <si>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</si>
  <si>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</si>
  <si>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</si>
  <si>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</si>
  <si>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</si>
  <si>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</si>
  <si>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</si>
  <si>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</si>
  <si>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</si>
  <si>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</si>
  <si>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</si>
  <si>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</si>
  <si>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</si>
  <si>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</si>
  <si>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pages . </t>
    </r>
  </si>
  <si>
    <t xml:space="preserve">2. The information entered into the Input Other (inputOth) worksheet is obtained from the County Clerk, County Treasurer, and the budget from two years ago(the year for actual year column for the current budget).  After the information has been entered, please verify the data is correct. </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</si>
  <si>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</si>
  <si>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</si>
  <si>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</si>
  <si>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</si>
  <si>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</si>
  <si>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</si>
  <si>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</si>
  <si>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</si>
  <si>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</si>
  <si>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</si>
  <si>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</si>
  <si>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</si>
  <si>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The following were changed to this spreadsheet on 4/19/11</t>
  </si>
  <si>
    <t>1. Summ tabs changed proposed year expenditure column to 'Budget Authority for Expenditures'</t>
  </si>
  <si>
    <r>
      <t xml:space="preserve">K.S.A. 65-204.  Transfer to County Health Capital Outlay Fund from County Health Fund.  </t>
    </r>
    <r>
      <rPr>
        <sz val="12"/>
        <rFont val="Times New Roman"/>
        <family val="1"/>
      </rPr>
      <t>Any moneys remaining in the county health fund at the end of any county fiscal year for which a levy is made under this section may be transferred to the county health capital outlay fund, which is hereby created, for the making of capital expenditures incident to county health purposes.</t>
    </r>
  </si>
  <si>
    <t>Type</t>
  </si>
  <si>
    <t xml:space="preserve"> Debt</t>
  </si>
  <si>
    <t xml:space="preserve"> Purchased</t>
  </si>
  <si>
    <t>Items</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</si>
  <si>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</si>
  <si>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</si>
  <si>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</si>
  <si>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</si>
  <si>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</si>
  <si>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</si>
  <si>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Clerk Name:</t>
  </si>
  <si>
    <t>Must be at least 10 days between date published and hearing held.</t>
  </si>
  <si>
    <t>January</t>
  </si>
  <si>
    <t>February</t>
  </si>
  <si>
    <t>March</t>
  </si>
  <si>
    <t>April</t>
  </si>
  <si>
    <t>May</t>
  </si>
  <si>
    <t>June</t>
  </si>
  <si>
    <t>July</t>
  </si>
  <si>
    <t>August</t>
  </si>
  <si>
    <t>September</t>
  </si>
  <si>
    <t>October</t>
  </si>
  <si>
    <t>November</t>
  </si>
  <si>
    <t>December</t>
  </si>
  <si>
    <t xml:space="preserve">Amounts used in lieu of </t>
  </si>
  <si>
    <t>Delinquency % used in this budget will be shown on all fund pages with a tax levy**</t>
  </si>
  <si>
    <t xml:space="preserve">Allocation of Motor, Recreational, 16/20M Vehicle Taxes </t>
  </si>
  <si>
    <t>Budgeted Funds</t>
  </si>
  <si>
    <t>Expenditures Must Be Changed by:</t>
  </si>
  <si>
    <t>Mill Rate Comparison</t>
  </si>
  <si>
    <t xml:space="preserve">Prior Year </t>
  </si>
  <si>
    <t xml:space="preserve">Current Year </t>
  </si>
  <si>
    <t xml:space="preserve">Proposed Budget </t>
  </si>
  <si>
    <t>Allocation of Vehicle Taxes</t>
  </si>
  <si>
    <t>3b. Once a date has been entered in the Date block, the following statement will appear: 'Latest date for notice to be published in your newspaper'.  Please ensure to take into consideration as to when your newspaper is published when arriving at the hearing date.</t>
  </si>
  <si>
    <t>6.  Motor Vehicle Allocation(mvalloc) are completed from information entered on the input pages (inputpryr and inputoth).  Once calculated, the tables information are linked to the applicable fund pages. If the information is not correct, please do not change the tables, but rather correct the information on the input pages.</t>
  </si>
  <si>
    <r>
      <t>10a.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</si>
  <si>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10b.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</si>
  <si>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10c.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</si>
  <si>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</si>
  <si>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</si>
  <si>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county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county has No Fund warrants, these can be included in the Debt Service fund page and levy taxes for this debt. </t>
    </r>
    <r>
      <rPr>
        <b/>
        <sz val="12"/>
        <rFont val="Times New Roman"/>
        <family val="1"/>
      </rPr>
      <t>Note</t>
    </r>
    <r>
      <rPr>
        <sz val="12"/>
        <rFont val="Times New Roman"/>
        <family val="1"/>
      </rPr>
      <t xml:space="preserve">, No Fund warrants </t>
    </r>
    <r>
      <rPr>
        <u val="single"/>
        <sz val="12"/>
        <rFont val="Times New Roman"/>
        <family val="1"/>
      </rPr>
      <t>are not required</t>
    </r>
    <r>
      <rPr>
        <sz val="12"/>
        <rFont val="Times New Roman"/>
        <family val="1"/>
      </rPr>
      <t xml:space="preserve"> to be included in the Debt Service and may still have a No Fund page to account for them if the county desires.  </t>
    </r>
  </si>
  <si>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</si>
  <si>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10h. The 4 non-budgeted pages (NonBudA to D) each are designed to hold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</si>
  <si>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</si>
  <si>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county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turns red.  In order to remove this warning message, you must reduce the non-appropriate figure.</t>
    </r>
  </si>
  <si>
    <t xml:space="preserve">10k. Each fund after the "unencumbered cash bal dec31", will show the budget authority expenditure amount for the actual and current year. </t>
  </si>
  <si>
    <r>
      <t>10l. For tax levy or no tax levy fund pages,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See Tab A</t>
    </r>
    <r>
      <rPr>
        <sz val="12"/>
        <rFont val="Times New Roman"/>
        <family val="1"/>
      </rPr>
      <t>' appears to indicate a possible violation and the expenditure blocks turns red.  Another comparison is made for the unencumbered cash balance dec 31 to determine if the fund ended with a negative cash balance and if so, then a '</t>
    </r>
    <r>
      <rPr>
        <sz val="12"/>
        <color indexed="10"/>
        <rFont val="Times New Roman"/>
        <family val="1"/>
      </rPr>
      <t>See Tab B</t>
    </r>
    <r>
      <rPr>
        <sz val="12"/>
        <rFont val="Times New Roman"/>
        <family val="1"/>
      </rPr>
      <t xml:space="preserve">' will appear for the violation and the unencumbered cash block turns red. </t>
    </r>
  </si>
  <si>
    <r>
      <t>10m. For tax levy or no tax levy fund pages, a comparison is maybe between the budget authority for the current year and total expenditures for the current budget expenditures as shown in the budget. If the current year adjusted expenditures are more than the budget authority, then a possible violation has occurred and red '</t>
    </r>
    <r>
      <rPr>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sz val="12"/>
        <color indexed="10"/>
        <rFont val="Times New Roman"/>
        <family val="1"/>
      </rPr>
      <t>See Tab D</t>
    </r>
    <r>
      <rPr>
        <sz val="12"/>
        <rFont val="Times New Roman"/>
        <family val="1"/>
      </rPr>
      <t>' will appear for the possible violation and the unencumbered cash block turns red.</t>
    </r>
  </si>
  <si>
    <r>
      <t>10n.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</si>
  <si>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</si>
  <si>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</si>
  <si>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</si>
  <si>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</si>
  <si>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The following were changed to this spreadsheet on 12/23/11</t>
  </si>
  <si>
    <t>5. Instructions tab, changed #11b to reflect all tax levy pages with 'Projected Carryover' table</t>
  </si>
  <si>
    <t>6. Instructions tab, changed #11c to reflect all tax levy pages with 'Desired Carryover' and warning about delinquency rate</t>
  </si>
  <si>
    <t>7. Instructions tab, added #11d for last year mill rate, proposed total mill rate, and last year total mill rate</t>
  </si>
  <si>
    <t>8. Instructions tab, changed #12b added name of official</t>
  </si>
  <si>
    <t>9. Instructions tab, added #12c for computation of one mill</t>
  </si>
  <si>
    <t>10. Instructions tab, changed #12d added the name of the tables and warning about delinquency rate if used</t>
  </si>
  <si>
    <t>11. Instructions tab, changed #12e added the name of the table and warning about delinquency rate if used</t>
  </si>
  <si>
    <t>12. Instructions tab, changed #12f added that not signing the Budget Summary page will not require to be reprinted</t>
  </si>
  <si>
    <t xml:space="preserve">13. InputPrYr tab, added column for adjusting ad valorem taxes to reflect a better picture of actual taxes received, allow a rate to be used to compute the new amount, and links the new amounts to the appropriate fund page, if used, otherwise used the original amounts </t>
  </si>
  <si>
    <t>14. InputOth tab, section for Computation of Delinquency, change to % from rate and provided example, link to all tax levy fund page will show as %  vs rate</t>
  </si>
  <si>
    <t>15. InputBudSum tab, added official name and latest date for publication of Notice of Budget Hearing</t>
  </si>
  <si>
    <t xml:space="preserve">16. Cert tab, under Table of Content, added Computation to Determine State Library Grant </t>
  </si>
  <si>
    <t>17. Cert tab, right justifyed figures versus having figures centered</t>
  </si>
  <si>
    <t>18. Cert tab, put spaces between governing body signatures block</t>
  </si>
  <si>
    <t>19. Mvalloc tab, removed slider column and computation for slider</t>
  </si>
  <si>
    <t>20. All tax levy fund pages removed the link from Mvalloc tab for slider and converted cells to blank</t>
  </si>
  <si>
    <t xml:space="preserve">21. Debt and Lpform tab added a blank new column at left side and formated 'type of debt' and 'item purchased'  </t>
  </si>
  <si>
    <t>22. All fund pages changed the year column heading, example 'Prior Year Actual' to 'Prior Year' second line 'Actual YYYY'</t>
  </si>
  <si>
    <t xml:space="preserve">23. Change out the 'Mill Rate Computation' tab so to agree with the website </t>
  </si>
  <si>
    <t>24. Added KSA 65-204 to transfer tab</t>
  </si>
  <si>
    <t>25. All tax levy fund pages added 'Mill Rate Comparison' table</t>
  </si>
  <si>
    <t>26. Certificate tab added a place for the email address of the assisted by</t>
  </si>
  <si>
    <t>Email:</t>
  </si>
  <si>
    <t>____________________________________  __________________________________</t>
  </si>
  <si>
    <t>12a. At the bottom of the page is a green shaded area, enter the page number.</t>
  </si>
  <si>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</si>
  <si>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</si>
  <si>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</si>
  <si>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</si>
  <si>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12f. Once the 'Notice of Budget Hearing' has been printed in the local newspaper, please review the notice to ensure the information was correctly printed.  If the information is not correct, the Notice may need to be republished, and may delay the submission of the budget.</t>
  </si>
  <si>
    <t>12g. If the Special District budgets are computed by the County Clerk, the Clerk could complete the County Spec District.xls spreadsheet and this spreadsheet would be included with the county's budget.  Both Budget Summary pages would be taken to the newspaper for publication.</t>
  </si>
  <si>
    <t>Wyandotte County</t>
  </si>
  <si>
    <t>Original Budget</t>
  </si>
  <si>
    <t>Slider (Machinery Equipment Reim.)</t>
  </si>
  <si>
    <t>IRB PILOT/Tax Abatement Tax</t>
  </si>
  <si>
    <t>Motor Vehicle Rent Excise Tax</t>
  </si>
  <si>
    <t>Sales Tax - County</t>
  </si>
  <si>
    <t>Compensating Use Tax-County</t>
  </si>
  <si>
    <t>Speedway Surplus</t>
  </si>
  <si>
    <t>Liquor Tax-Alcohol Liquor Tax</t>
  </si>
  <si>
    <t>Mortgage Registration Tax</t>
  </si>
  <si>
    <t>Gaming Revenue Tax</t>
  </si>
  <si>
    <t>Antique Vehicle License</t>
  </si>
  <si>
    <t>Auto License Fees</t>
  </si>
  <si>
    <t>Pass Through-Ks Div of Emerg Mgmt</t>
  </si>
  <si>
    <t>Reproduction And Copying Fees</t>
  </si>
  <si>
    <t>Computer Services</t>
  </si>
  <si>
    <t>Vending/Telephone Commissions</t>
  </si>
  <si>
    <t>Jail Fee</t>
  </si>
  <si>
    <t>Sale of Chemicals</t>
  </si>
  <si>
    <t>Parking - Lot receipts</t>
  </si>
  <si>
    <t>Parking - Monthly Permits</t>
  </si>
  <si>
    <t>Sandstone Facility Use Fee</t>
  </si>
  <si>
    <t>Fines-Pre-Trial Services</t>
  </si>
  <si>
    <t>Penalty Fee-Bad Check Collect</t>
  </si>
  <si>
    <t>Register of Deeds Officer Fee</t>
  </si>
  <si>
    <t>Treasurer Fees</t>
  </si>
  <si>
    <t>Sheriff Officer Fees</t>
  </si>
  <si>
    <t>District Court Office Fees</t>
  </si>
  <si>
    <t>Document/Preparation/Atty Fees</t>
  </si>
  <si>
    <t>Annex Usage Fees</t>
  </si>
  <si>
    <t>Interest - Investments</t>
  </si>
  <si>
    <t>Interest on Delinquent Taxes</t>
  </si>
  <si>
    <t>Sand Royalties</t>
  </si>
  <si>
    <t>Sale Scrap/Residual Materials</t>
  </si>
  <si>
    <t>Landbank Sales</t>
  </si>
  <si>
    <t>Miscellaneous Receipts</t>
  </si>
  <si>
    <t>Reim Expense-Indirect Cost</t>
  </si>
  <si>
    <t>Reim Expense-District Court</t>
  </si>
  <si>
    <t>Reim Expense-Other</t>
  </si>
  <si>
    <t>Reim Expense-Overtime</t>
  </si>
  <si>
    <t>Reim Expense-Garage</t>
  </si>
  <si>
    <t>Reim Expense-Restitution</t>
  </si>
  <si>
    <t>Reim Expense-District Coroner</t>
  </si>
  <si>
    <t>Reimb-Juvenile Crt/Limited Act</t>
  </si>
  <si>
    <t>Reimb Exp - Advertising</t>
  </si>
  <si>
    <t>Reimb Exp - Abstract Fees</t>
  </si>
  <si>
    <t>Reimb - NRA Fee</t>
  </si>
  <si>
    <t>Cancelled Encumbrances</t>
  </si>
  <si>
    <t>Sale of Land</t>
  </si>
  <si>
    <t>Residual Equity Transfer 2002 MMRS Grant</t>
  </si>
  <si>
    <t>Operating Transfers-In</t>
  </si>
  <si>
    <t>Operating Transfers-From Reg. Deeds Tech.</t>
  </si>
  <si>
    <t>Operating Transfer from County Init. Infrastructure</t>
  </si>
  <si>
    <t>Operating Transfer from Consolidated Parks</t>
  </si>
  <si>
    <t>Personnel</t>
  </si>
  <si>
    <t>Services</t>
  </si>
  <si>
    <t>Supplies</t>
  </si>
  <si>
    <t>Grants, Claims</t>
  </si>
  <si>
    <t>Capital Outlay</t>
  </si>
  <si>
    <t>Slider</t>
  </si>
  <si>
    <t>Delinquent Special Assessment</t>
  </si>
  <si>
    <t>Residual Equity</t>
  </si>
  <si>
    <t>Transfers to County General Fund</t>
  </si>
  <si>
    <t>Actual 2011</t>
  </si>
  <si>
    <t>Amended 2012</t>
  </si>
  <si>
    <t>Year 2013</t>
  </si>
  <si>
    <t>Bond and Interest</t>
  </si>
  <si>
    <t>County Elections</t>
  </si>
  <si>
    <t>19-3435a</t>
  </si>
  <si>
    <t>Aging</t>
  </si>
  <si>
    <t>12-1680</t>
  </si>
  <si>
    <t>19-4004</t>
  </si>
  <si>
    <t>Developmental Disabilities</t>
  </si>
  <si>
    <t>County Health</t>
  </si>
  <si>
    <t>65-204</t>
  </si>
  <si>
    <t>County Initiative for Funding Infrastructure</t>
  </si>
  <si>
    <t>19-120</t>
  </si>
  <si>
    <t>Consolidated Parks General Fund</t>
  </si>
  <si>
    <t>19-2803</t>
  </si>
  <si>
    <r>
      <rPr>
        <sz val="12"/>
        <color indexed="10"/>
        <rFont val="Arial"/>
        <family val="2"/>
      </rPr>
      <t>Note:</t>
    </r>
    <r>
      <rPr>
        <sz val="12"/>
        <rFont val="Arial"/>
        <family val="2"/>
      </rPr>
      <t xml:space="preserve"> The </t>
    </r>
    <r>
      <rPr>
        <u val="single"/>
        <sz val="12"/>
        <rFont val="Arial"/>
        <family val="2"/>
      </rPr>
      <t>below amounts</t>
    </r>
    <r>
      <rPr>
        <sz val="12"/>
        <rFont val="Arial"/>
        <family val="2"/>
      </rPr>
      <t xml:space="preserve"> are used to reflect actual taxes received due to delinquent taxes.  Put a percentage in the green box to compute the amount and link to the fund pages. This </t>
    </r>
    <r>
      <rPr>
        <sz val="12"/>
        <color indexed="10"/>
        <rFont val="Arial"/>
        <family val="2"/>
      </rPr>
      <t>is not mandatory</t>
    </r>
    <r>
      <rPr>
        <sz val="12"/>
        <rFont val="Arial"/>
        <family val="2"/>
      </rPr>
      <t xml:space="preserve"> and can be left blank.            </t>
    </r>
  </si>
  <si>
    <r>
      <rPr>
        <b/>
        <sz val="12"/>
        <color indexed="10"/>
        <rFont val="Arial"/>
        <family val="2"/>
      </rPr>
      <t>*</t>
    </r>
    <r>
      <rPr>
        <b/>
        <sz val="12"/>
        <rFont val="Arial"/>
        <family val="2"/>
      </rPr>
      <t>If amended, then use the amended figures.</t>
    </r>
    <r>
      <rPr>
        <b/>
        <sz val="12"/>
        <color indexed="10"/>
        <rFont val="Arial"/>
        <family val="2"/>
      </rPr>
      <t>*</t>
    </r>
  </si>
  <si>
    <r>
      <rPr>
        <sz val="12"/>
        <color indexed="10"/>
        <rFont val="Arial"/>
        <family val="2"/>
      </rPr>
      <t>*</t>
    </r>
    <r>
      <rPr>
        <sz val="12"/>
        <rFont val="Arial"/>
        <family val="2"/>
      </rPr>
      <t>Expenditures</t>
    </r>
    <r>
      <rPr>
        <sz val="12"/>
        <color indexed="10"/>
        <rFont val="Arial"/>
        <family val="2"/>
      </rPr>
      <t>*</t>
    </r>
  </si>
  <si>
    <t>Court Trustee</t>
  </si>
  <si>
    <t>Jail Commissary</t>
  </si>
  <si>
    <t>Register of Deeds Technology</t>
  </si>
  <si>
    <t>Special Prosecutor's Trust</t>
  </si>
  <si>
    <t>Aging Grants</t>
  </si>
  <si>
    <t>Community Corrections Grants</t>
  </si>
  <si>
    <t>Developmental Disabilities Grants</t>
  </si>
  <si>
    <t>County Grants</t>
  </si>
  <si>
    <t>Health Grants</t>
  </si>
  <si>
    <t>Transfers, Other</t>
  </si>
  <si>
    <t>Reim-SPE</t>
  </si>
  <si>
    <t>Reimbursed Expense Other</t>
  </si>
  <si>
    <t>Operating Transfer In</t>
  </si>
  <si>
    <t>Reserves</t>
  </si>
  <si>
    <t>Retail Grocery License</t>
  </si>
  <si>
    <t>Child Care License</t>
  </si>
  <si>
    <t>Swimming Pool Permit</t>
  </si>
  <si>
    <t>Hauling Permits</t>
  </si>
  <si>
    <t>Septic Tank Inspection Permit</t>
  </si>
  <si>
    <t>State-Migrant Health</t>
  </si>
  <si>
    <t>State-KDHE</t>
  </si>
  <si>
    <t>Slider-(Machinery Equipment Reim.)</t>
  </si>
  <si>
    <t>General Clinic</t>
  </si>
  <si>
    <t>Dental Clinic</t>
  </si>
  <si>
    <t>Laboratory Fees</t>
  </si>
  <si>
    <t>Immunizations</t>
  </si>
  <si>
    <t>Home Loan Insp Fee</t>
  </si>
  <si>
    <t>Water Analysis</t>
  </si>
  <si>
    <t>Refugee Screening</t>
  </si>
  <si>
    <t>Other Inspection Fees</t>
  </si>
  <si>
    <t>Reim Expense-Indirect Costs</t>
  </si>
  <si>
    <t>Motor Vehicle Rental Excise Tax</t>
  </si>
  <si>
    <t>Slider -(Machinery Equipment Reim.)</t>
  </si>
  <si>
    <t>Transfers from County General Fund</t>
  </si>
  <si>
    <t>Reimbursements</t>
  </si>
  <si>
    <t>Miscellaneous Expense-Reserves</t>
  </si>
  <si>
    <t>Transfer to County General Fund</t>
  </si>
  <si>
    <t>County Park Shelter Rentals</t>
  </si>
  <si>
    <t>Renaissance Festival</t>
  </si>
  <si>
    <t>Class Fees</t>
  </si>
  <si>
    <t>League - Basketball</t>
  </si>
  <si>
    <t>League - Softball</t>
  </si>
  <si>
    <t>League - Volleyball</t>
  </si>
  <si>
    <t>Lesson and League Fees</t>
  </si>
  <si>
    <t>Summer Playground Fees</t>
  </si>
  <si>
    <t>Weight Room Membership Fees</t>
  </si>
  <si>
    <t>League - Soccer</t>
  </si>
  <si>
    <t>Swimming Pool Fees</t>
  </si>
  <si>
    <t>Youth Activity Fees</t>
  </si>
  <si>
    <t>Recreation Center Rentals</t>
  </si>
  <si>
    <t>Park Field Rentals</t>
  </si>
  <si>
    <t>Special Events User Fee</t>
  </si>
  <si>
    <t>Reim Expense - Other</t>
  </si>
  <si>
    <t>Annual Appropriation City General Fund</t>
  </si>
  <si>
    <t>Transfer From County Parks</t>
  </si>
  <si>
    <t>Transfer To County General Fund</t>
  </si>
  <si>
    <t>OTHER NET</t>
  </si>
  <si>
    <t>District Court Trustee Fees</t>
  </si>
  <si>
    <t>Reim. Exp -Commissary</t>
  </si>
  <si>
    <t>Reim-Other</t>
  </si>
  <si>
    <t>Miscellaneous Revenue</t>
  </si>
  <si>
    <t>Intergovt. Revenues</t>
  </si>
  <si>
    <t>Charges for Services</t>
  </si>
  <si>
    <t>Interest Income</t>
  </si>
  <si>
    <t>Fines, Forfeits, Fees</t>
  </si>
  <si>
    <t>Transfer-in</t>
  </si>
  <si>
    <t>Contractual Services</t>
  </si>
  <si>
    <t>Commodities</t>
  </si>
  <si>
    <t>Grant, claims</t>
  </si>
  <si>
    <t>Transfer-out</t>
  </si>
  <si>
    <t>Tax Revenue</t>
  </si>
  <si>
    <t>Comp to Determine Library Limit</t>
  </si>
  <si>
    <t>County Library Fund</t>
  </si>
  <si>
    <r>
      <t xml:space="preserve">Total Valuation Adjustment </t>
    </r>
    <r>
      <rPr>
        <sz val="11"/>
        <rFont val="Arial"/>
        <family val="2"/>
      </rPr>
      <t>(Sum of 4, 5c, and 6)</t>
    </r>
  </si>
  <si>
    <t>Wyandotte County Library</t>
  </si>
  <si>
    <r>
      <t>Adjustments</t>
    </r>
    <r>
      <rPr>
        <sz val="10"/>
        <color indexed="10"/>
        <rFont val="Arial"/>
        <family val="2"/>
      </rPr>
      <t>*</t>
    </r>
  </si>
  <si>
    <t>Sales Tax-Star Bonds S</t>
  </si>
  <si>
    <t>Local Unit Shared Revenues</t>
  </si>
  <si>
    <t>Special Events - KU Rowing</t>
  </si>
  <si>
    <t xml:space="preserve">Miscellaneous encumb. Prior year </t>
  </si>
  <si>
    <t>Misc. encumb. Prior year</t>
  </si>
  <si>
    <t>Encumb. Prior year</t>
  </si>
  <si>
    <t>Library Fund</t>
  </si>
  <si>
    <t>County Library</t>
  </si>
  <si>
    <t>2006 Lease Pkg Sch 12</t>
  </si>
  <si>
    <t>2007 Lease Pkg Sch 15</t>
  </si>
  <si>
    <t>2007 Lease Pkg Sch 16</t>
  </si>
  <si>
    <t>2010 Lease - Court Services Bldg</t>
  </si>
  <si>
    <t>Series 2011 B</t>
  </si>
  <si>
    <t>Feb/Aug</t>
  </si>
  <si>
    <t>Aug</t>
  </si>
  <si>
    <t>Temporary Notes 2010-III</t>
  </si>
  <si>
    <t>2003 Warning system</t>
  </si>
  <si>
    <t>Appropriation From Stormwater Enterprise Fund</t>
  </si>
  <si>
    <t xml:space="preserve">Appropriation City General </t>
  </si>
  <si>
    <t>Health Levy Fund</t>
  </si>
  <si>
    <t>County General Fund</t>
  </si>
  <si>
    <t>28-115a</t>
  </si>
  <si>
    <t>County Init. Infrastructure</t>
  </si>
  <si>
    <t>Consolidated Parks</t>
  </si>
  <si>
    <t>Res-46-11</t>
  </si>
  <si>
    <t>Commission Chambers of the Municipal Office Building</t>
  </si>
  <si>
    <t>Unified Government Budget Office, 701 N 7th Street, Room 510</t>
  </si>
  <si>
    <t>Lew Levin, Chief Financial Officer</t>
  </si>
  <si>
    <t>July 30, 2012</t>
  </si>
  <si>
    <t>5:00 pm</t>
  </si>
  <si>
    <t>WY-2</t>
  </si>
  <si>
    <t>WY-3</t>
  </si>
  <si>
    <t>WY-4</t>
  </si>
  <si>
    <t>WY-5</t>
  </si>
  <si>
    <t>WY-6</t>
  </si>
  <si>
    <t>WY-7</t>
  </si>
  <si>
    <t>WY-9</t>
  </si>
  <si>
    <t>WY-10</t>
  </si>
  <si>
    <t>WY-11</t>
  </si>
  <si>
    <t>WY-12</t>
  </si>
  <si>
    <t>WY-13</t>
  </si>
  <si>
    <t>WY-14</t>
  </si>
  <si>
    <t>WY-15</t>
  </si>
  <si>
    <t>WY-16</t>
  </si>
  <si>
    <t>WY-17</t>
  </si>
  <si>
    <t>WY-18</t>
  </si>
  <si>
    <t>WY-19</t>
  </si>
  <si>
    <t>WY-20</t>
  </si>
  <si>
    <t>WY-21</t>
  </si>
  <si>
    <t>23-497</t>
  </si>
  <si>
    <t>19-1930</t>
  </si>
  <si>
    <t>28-1152</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</si>
</sst>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1\2\-\1\1\1\1"/>
    <numFmt numFmtId="188" formatCode="[$-409]dddd\,\ mmmm\ dd\,\ yyyy"/>
    <numFmt numFmtId="189" formatCode="m/d/yy;@"/>
    <numFmt numFmtId="190" formatCode="&quot;$&quot;#,##0"/>
    <numFmt numFmtId="191" formatCode="&quot;$&quot;#,##0.00"/>
    <numFmt numFmtId="192" formatCode="#,###"/>
    <numFmt numFmtId="193" formatCode="0.0%"/>
    <numFmt numFmtId="194" formatCode="#,##0.000_);[Red]\(#,##0.000\)"/>
    <numFmt numFmtId="195" formatCode="#,##0.00000"/>
  </numFmts>
  <fonts count="119">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8"/>
      <name val="Courier"/>
      <family val="3"/>
    </font>
    <font>
      <u val="single"/>
      <sz val="12"/>
      <color indexed="36"/>
      <name val="Courier New"/>
      <family val="3"/>
    </font>
    <font>
      <u val="single"/>
      <sz val="12"/>
      <color indexed="12"/>
      <name val="Courier New"/>
      <family val="3"/>
    </font>
    <font>
      <sz val="12"/>
      <name val="Courier New"/>
      <family val="3"/>
    </font>
    <font>
      <sz val="8"/>
      <name val="Courier New"/>
      <family val="3"/>
    </font>
    <font>
      <i/>
      <sz val="11"/>
      <name val="Times New Roman"/>
      <family val="1"/>
    </font>
    <font>
      <b/>
      <sz val="11"/>
      <name val="Times New Roman"/>
      <family val="1"/>
    </font>
    <font>
      <sz val="11"/>
      <color indexed="9"/>
      <name val="Times New Roman"/>
      <family val="1"/>
    </font>
    <font>
      <sz val="9"/>
      <name val="Times New Roman"/>
      <family val="1"/>
    </font>
    <font>
      <sz val="10"/>
      <name val="Times New Roman"/>
      <family val="1"/>
    </font>
    <font>
      <b/>
      <sz val="10"/>
      <name val="Times New Roman"/>
      <family val="1"/>
    </font>
    <font>
      <sz val="10"/>
      <name val="Courier"/>
      <family val="3"/>
    </font>
    <font>
      <sz val="12"/>
      <color indexed="9"/>
      <name val="Times New Roman"/>
      <family val="1"/>
    </font>
    <font>
      <sz val="8"/>
      <name val="Times New Roman"/>
      <family val="1"/>
    </font>
    <font>
      <b/>
      <u val="single"/>
      <sz val="12"/>
      <name val="Times New Roman"/>
      <family val="1"/>
    </font>
    <font>
      <sz val="12"/>
      <color indexed="10"/>
      <name val="Times New Roman"/>
      <family val="1"/>
    </font>
    <font>
      <b/>
      <u val="single"/>
      <sz val="12"/>
      <color indexed="10"/>
      <name val="Times New Roman"/>
      <family val="1"/>
    </font>
    <font>
      <b/>
      <u val="single"/>
      <sz val="12"/>
      <name val="Courier"/>
      <family val="3"/>
    </font>
    <font>
      <b/>
      <u val="single"/>
      <sz val="10"/>
      <name val="Times New Roman"/>
      <family val="1"/>
    </font>
    <font>
      <b/>
      <sz val="12"/>
      <color indexed="10"/>
      <name val="Times New Roman"/>
      <family val="1"/>
    </font>
    <font>
      <sz val="12"/>
      <color indexed="10"/>
      <name val="Courier"/>
      <family val="3"/>
    </font>
    <font>
      <i/>
      <sz val="12"/>
      <name val="Times New Roman"/>
      <family val="1"/>
    </font>
    <font>
      <b/>
      <u val="single"/>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sz val="14"/>
      <name val="Courier"/>
      <family val="3"/>
    </font>
    <font>
      <b/>
      <sz val="14"/>
      <name val="Times New Roman"/>
      <family val="1"/>
    </font>
    <font>
      <u val="single"/>
      <sz val="12"/>
      <color indexed="12"/>
      <name val="Courier"/>
      <family val="3"/>
    </font>
    <font>
      <i/>
      <u val="single"/>
      <sz val="12"/>
      <name val="Courier"/>
      <family val="3"/>
    </font>
    <font>
      <sz val="11"/>
      <color indexed="8"/>
      <name val="Times New Roman"/>
      <family val="1"/>
    </font>
    <font>
      <b/>
      <sz val="11"/>
      <color indexed="8"/>
      <name val="Times New Roman"/>
      <family val="1"/>
    </font>
    <font>
      <sz val="10"/>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u val="single"/>
      <sz val="12"/>
      <color indexed="10"/>
      <name val="Times New Roman"/>
      <family val="1"/>
    </font>
    <font>
      <sz val="11"/>
      <name val="Arial"/>
      <family val="2"/>
    </font>
    <font>
      <sz val="12"/>
      <name val="Arial"/>
      <family val="2"/>
    </font>
    <font>
      <b/>
      <sz val="12"/>
      <name val="Arial"/>
      <family val="2"/>
    </font>
    <font>
      <sz val="12"/>
      <color indexed="10"/>
      <name val="Arial"/>
      <family val="2"/>
    </font>
    <font>
      <sz val="10"/>
      <name val="Arial"/>
      <family val="2"/>
    </font>
    <font>
      <sz val="10"/>
      <color indexed="10"/>
      <name val="Arial"/>
      <family val="2"/>
    </font>
    <font>
      <b/>
      <sz val="12"/>
      <color indexed="10"/>
      <name val="Arial"/>
      <family val="2"/>
    </font>
    <font>
      <b/>
      <u val="single"/>
      <sz val="12"/>
      <color indexed="10"/>
      <name val="Arial"/>
      <family val="2"/>
    </font>
    <font>
      <b/>
      <sz val="10"/>
      <name val="Arial"/>
      <family val="2"/>
    </font>
    <font>
      <b/>
      <u val="single"/>
      <sz val="12"/>
      <name val="Arial"/>
      <family val="2"/>
    </font>
    <font>
      <u val="single"/>
      <sz val="12"/>
      <name val="Arial"/>
      <family val="2"/>
    </font>
    <font>
      <b/>
      <sz val="11"/>
      <name val="Arial"/>
      <family val="2"/>
    </font>
    <font>
      <sz val="11"/>
      <color indexed="10"/>
      <name val="Arial"/>
      <family val="2"/>
    </font>
    <font>
      <b/>
      <u val="single"/>
      <sz val="11"/>
      <name val="Arial"/>
      <family val="2"/>
    </font>
    <font>
      <b/>
      <u val="single"/>
      <sz val="11"/>
      <color indexed="10"/>
      <name val="Arial"/>
      <family val="2"/>
    </font>
    <font>
      <b/>
      <u val="single"/>
      <sz val="11"/>
      <name val="Times New Roman"/>
      <family val="1"/>
    </font>
    <font>
      <sz val="11"/>
      <name val="Courier"/>
      <family val="3"/>
    </font>
    <font>
      <sz val="11"/>
      <color indexed="10"/>
      <name val="Times New Roman"/>
      <family val="1"/>
    </font>
    <font>
      <b/>
      <u val="single"/>
      <sz val="10"/>
      <color indexed="10"/>
      <name val="Arial"/>
      <family val="2"/>
    </font>
    <font>
      <i/>
      <sz val="10"/>
      <name val="Arial"/>
      <family val="2"/>
    </font>
    <font>
      <u val="single"/>
      <sz val="10"/>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b/>
      <sz val="11"/>
      <color indexed="10"/>
      <name val="Arial"/>
      <family val="2"/>
    </font>
    <font>
      <u val="single"/>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0"/>
      <color rgb="FFFF0000"/>
      <name val="Times New Roman"/>
      <family val="1"/>
    </font>
    <font>
      <sz val="11"/>
      <color rgb="FFFF0000"/>
      <name val="Arial"/>
      <family val="2"/>
    </font>
    <font>
      <b/>
      <sz val="11"/>
      <color rgb="FFFF0000"/>
      <name val="Arial"/>
      <family val="2"/>
    </font>
    <font>
      <sz val="11"/>
      <color rgb="FFFF0000"/>
      <name val="Times New Roman"/>
      <family val="1"/>
    </font>
    <font>
      <u val="single"/>
      <sz val="10"/>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indexed="13"/>
        <bgColor indexed="64"/>
      </patternFill>
    </fill>
    <fill>
      <patternFill patternType="solid">
        <fgColor theme="6" tint="-0.24997000396251678"/>
        <bgColor indexed="64"/>
      </patternFill>
    </fill>
    <fill>
      <patternFill patternType="solid">
        <fgColor rgb="FFFFFF99"/>
        <bgColor indexed="64"/>
      </patternFill>
    </fill>
    <fill>
      <patternFill patternType="solid">
        <fgColor rgb="FF00B0F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style="double"/>
    </border>
    <border>
      <left style="medium"/>
      <right/>
      <top style="medium"/>
      <bottom/>
    </border>
    <border>
      <left style="medium"/>
      <right/>
      <top/>
      <bottom/>
    </border>
    <border>
      <left/>
      <right style="medium"/>
      <top/>
      <bottom/>
    </border>
    <border>
      <left/>
      <right/>
      <top style="medium"/>
      <bottom/>
    </border>
    <border>
      <left/>
      <right style="medium"/>
      <top style="medium"/>
      <bottom/>
    </border>
    <border>
      <left style="medium"/>
      <right/>
      <top/>
      <bottom style="thin"/>
    </border>
    <border>
      <left style="medium"/>
      <right/>
      <top/>
      <bottom style="medium"/>
    </border>
    <border>
      <left/>
      <right/>
      <top/>
      <bottom style="medium"/>
    </border>
    <border>
      <left/>
      <right style="medium"/>
      <top/>
      <bottom style="medium"/>
    </border>
    <border>
      <left style="medium"/>
      <right/>
      <top style="thin"/>
      <bottom/>
    </border>
    <border>
      <left>
        <color indexed="63"/>
      </left>
      <right>
        <color indexed="63"/>
      </right>
      <top style="thin"/>
      <bottom>
        <color indexed="63"/>
      </bottom>
    </border>
    <border>
      <left/>
      <right style="medium"/>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s>
  <cellStyleXfs count="4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26" borderId="0" applyNumberFormat="0" applyBorder="0" applyAlignment="0" applyProtection="0"/>
    <xf numFmtId="0" fontId="94" fillId="27" borderId="1" applyNumberFormat="0" applyAlignment="0" applyProtection="0"/>
    <xf numFmtId="0" fontId="9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6" fillId="0" borderId="0" applyNumberFormat="0" applyFill="0" applyBorder="0" applyAlignment="0" applyProtection="0"/>
    <xf numFmtId="0" fontId="9" fillId="0" borderId="0" applyNumberFormat="0" applyFill="0" applyBorder="0" applyAlignment="0" applyProtection="0"/>
    <xf numFmtId="0" fontId="97" fillId="29"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01" fillId="30" borderId="1" applyNumberFormat="0" applyAlignment="0" applyProtection="0"/>
    <xf numFmtId="0" fontId="102" fillId="0" borderId="6" applyNumberFormat="0" applyFill="0" applyAlignment="0" applyProtection="0"/>
    <xf numFmtId="0" fontId="103"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32" borderId="7" applyNumberFormat="0" applyFont="0" applyAlignment="0" applyProtection="0"/>
    <xf numFmtId="0" fontId="104" fillId="27" borderId="8" applyNumberFormat="0" applyAlignment="0" applyProtection="0"/>
    <xf numFmtId="9" fontId="0" fillId="0" borderId="0" applyFont="0" applyFill="0" applyBorder="0" applyAlignment="0" applyProtection="0"/>
    <xf numFmtId="0" fontId="105" fillId="0" borderId="0" applyNumberFormat="0" applyFill="0" applyBorder="0" applyAlignment="0" applyProtection="0"/>
    <xf numFmtId="0" fontId="106" fillId="0" borderId="9" applyNumberFormat="0" applyFill="0" applyAlignment="0" applyProtection="0"/>
    <xf numFmtId="0" fontId="107" fillId="0" borderId="0" applyNumberFormat="0" applyFill="0" applyBorder="0" applyAlignment="0" applyProtection="0"/>
  </cellStyleXfs>
  <cellXfs count="970">
    <xf numFmtId="0" fontId="0" fillId="0" borderId="0" xfId="0" applyAlignment="1">
      <alignment/>
    </xf>
    <xf numFmtId="0" fontId="4" fillId="0" borderId="0" xfId="0" applyFont="1" applyAlignment="1" applyProtection="1">
      <alignment/>
      <protection locked="0"/>
    </xf>
    <xf numFmtId="0" fontId="4" fillId="0" borderId="0" xfId="0" applyFont="1" applyAlignment="1">
      <alignment/>
    </xf>
    <xf numFmtId="0" fontId="4" fillId="0" borderId="0" xfId="0" applyFont="1" applyAlignment="1">
      <alignment horizontal="centerContinuous"/>
    </xf>
    <xf numFmtId="37" fontId="4" fillId="0" borderId="0" xfId="0" applyNumberFormat="1" applyFont="1" applyAlignment="1" applyProtection="1">
      <alignment horizontal="left"/>
      <protection locked="0"/>
    </xf>
    <xf numFmtId="37" fontId="4" fillId="0" borderId="0" xfId="0" applyNumberFormat="1" applyFont="1" applyAlignment="1" applyProtection="1">
      <alignment horizontal="center"/>
      <protection locked="0"/>
    </xf>
    <xf numFmtId="0" fontId="4" fillId="0" borderId="0" xfId="0" applyFont="1" applyAlignment="1">
      <alignment/>
    </xf>
    <xf numFmtId="0" fontId="4" fillId="0" borderId="0" xfId="0" applyFont="1" applyAlignment="1" applyProtection="1">
      <alignment horizontal="centerContinuous"/>
      <protection locked="0"/>
    </xf>
    <xf numFmtId="37" fontId="4" fillId="0" borderId="10" xfId="0" applyNumberFormat="1" applyFont="1" applyBorder="1" applyAlignment="1" applyProtection="1">
      <alignment horizontal="fill"/>
      <protection locked="0"/>
    </xf>
    <xf numFmtId="37" fontId="4" fillId="33" borderId="11" xfId="0" applyNumberFormat="1" applyFont="1" applyFill="1" applyBorder="1" applyAlignment="1" applyProtection="1">
      <alignment/>
      <protection locked="0"/>
    </xf>
    <xf numFmtId="0" fontId="4" fillId="33" borderId="0" xfId="0" applyFont="1" applyFill="1" applyAlignment="1" applyProtection="1">
      <alignment/>
      <protection locked="0"/>
    </xf>
    <xf numFmtId="164" fontId="4" fillId="33" borderId="11" xfId="0" applyNumberFormat="1" applyFont="1" applyFill="1" applyBorder="1" applyAlignment="1" applyProtection="1">
      <alignment/>
      <protection locked="0"/>
    </xf>
    <xf numFmtId="37" fontId="4" fillId="34" borderId="12" xfId="0" applyNumberFormat="1" applyFont="1" applyFill="1" applyBorder="1" applyAlignment="1" applyProtection="1">
      <alignment horizontal="center"/>
      <protection/>
    </xf>
    <xf numFmtId="37" fontId="4" fillId="34" borderId="0" xfId="0" applyNumberFormat="1" applyFont="1" applyFill="1" applyAlignment="1" applyProtection="1">
      <alignment horizontal="right"/>
      <protection/>
    </xf>
    <xf numFmtId="0" fontId="4" fillId="34" borderId="0" xfId="0" applyFont="1" applyFill="1" applyAlignment="1" applyProtection="1">
      <alignment/>
      <protection/>
    </xf>
    <xf numFmtId="37" fontId="4" fillId="34" borderId="0" xfId="0" applyNumberFormat="1" applyFont="1" applyFill="1" applyAlignment="1" applyProtection="1">
      <alignment horizontal="lef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37" fontId="4" fillId="34" borderId="0" xfId="0" applyNumberFormat="1" applyFont="1" applyFill="1" applyAlignment="1" applyProtection="1">
      <alignment horizontal="fill"/>
      <protection/>
    </xf>
    <xf numFmtId="37" fontId="4" fillId="34" borderId="13" xfId="0" applyNumberFormat="1" applyFont="1" applyFill="1" applyBorder="1" applyAlignment="1" applyProtection="1">
      <alignment horizontal="centerContinuous"/>
      <protection/>
    </xf>
    <xf numFmtId="0" fontId="4" fillId="34" borderId="14" xfId="0" applyFont="1" applyFill="1" applyBorder="1" applyAlignment="1" applyProtection="1">
      <alignment horizontal="centerContinuous"/>
      <protection/>
    </xf>
    <xf numFmtId="0" fontId="4" fillId="34" borderId="15" xfId="0" applyFont="1" applyFill="1" applyBorder="1" applyAlignment="1" applyProtection="1">
      <alignment horizontal="centerContinuous"/>
      <protection/>
    </xf>
    <xf numFmtId="37" fontId="4" fillId="34" borderId="16" xfId="0" applyNumberFormat="1"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37" fontId="4" fillId="34" borderId="11" xfId="0" applyNumberFormat="1" applyFont="1" applyFill="1" applyBorder="1" applyAlignment="1" applyProtection="1">
      <alignment/>
      <protection/>
    </xf>
    <xf numFmtId="37" fontId="4" fillId="34" borderId="10" xfId="0" applyNumberFormat="1" applyFont="1" applyFill="1" applyBorder="1" applyAlignment="1" applyProtection="1">
      <alignment horizontal="fill"/>
      <protection/>
    </xf>
    <xf numFmtId="37" fontId="4" fillId="34" borderId="0" xfId="0" applyNumberFormat="1" applyFont="1" applyFill="1" applyAlignment="1" applyProtection="1">
      <alignment/>
      <protection/>
    </xf>
    <xf numFmtId="0" fontId="4" fillId="34" borderId="0" xfId="0" applyFont="1" applyFill="1" applyAlignment="1">
      <alignment/>
    </xf>
    <xf numFmtId="0" fontId="4" fillId="34" borderId="17" xfId="0" applyFont="1" applyFill="1" applyBorder="1" applyAlignment="1" applyProtection="1">
      <alignment horizontal="center"/>
      <protection/>
    </xf>
    <xf numFmtId="0" fontId="4" fillId="34" borderId="0" xfId="0" applyFont="1" applyFill="1" applyAlignment="1" applyProtection="1">
      <alignment horizontal="center"/>
      <protection/>
    </xf>
    <xf numFmtId="37" fontId="4" fillId="34" borderId="0" xfId="0" applyNumberFormat="1" applyFont="1" applyFill="1" applyAlignment="1" applyProtection="1" quotePrefix="1">
      <alignment horizontal="right"/>
      <protection/>
    </xf>
    <xf numFmtId="37" fontId="5" fillId="34" borderId="0" xfId="0" applyNumberFormat="1" applyFont="1" applyFill="1" applyAlignment="1" applyProtection="1">
      <alignment horizontal="centerContinuous"/>
      <protection/>
    </xf>
    <xf numFmtId="0" fontId="4" fillId="34" borderId="16" xfId="0" applyFont="1" applyFill="1" applyBorder="1" applyAlignment="1" applyProtection="1">
      <alignment horizontal="centerContinuous"/>
      <protection/>
    </xf>
    <xf numFmtId="1" fontId="4" fillId="34" borderId="13" xfId="0" applyNumberFormat="1" applyFont="1" applyFill="1" applyBorder="1" applyAlignment="1" applyProtection="1">
      <alignment horizontal="centerContinuous"/>
      <protection/>
    </xf>
    <xf numFmtId="164" fontId="4" fillId="34" borderId="11" xfId="0" applyNumberFormat="1" applyFont="1" applyFill="1" applyBorder="1" applyAlignment="1" applyProtection="1">
      <alignment/>
      <protection/>
    </xf>
    <xf numFmtId="0" fontId="13" fillId="0" borderId="0" xfId="0" applyFont="1" applyAlignment="1">
      <alignment horizontal="center" vertical="top"/>
    </xf>
    <xf numFmtId="0" fontId="0" fillId="0" borderId="0" xfId="0" applyAlignment="1">
      <alignment vertical="top"/>
    </xf>
    <xf numFmtId="0" fontId="13" fillId="0" borderId="0" xfId="0" applyFont="1" applyAlignment="1">
      <alignment vertical="top"/>
    </xf>
    <xf numFmtId="0" fontId="11" fillId="0" borderId="0" xfId="405" applyAlignment="1">
      <alignment vertical="top"/>
      <protection/>
    </xf>
    <xf numFmtId="0" fontId="11" fillId="0" borderId="0" xfId="405">
      <alignment/>
      <protection/>
    </xf>
    <xf numFmtId="0" fontId="14" fillId="0" borderId="0" xfId="0" applyFont="1" applyAlignment="1">
      <alignment vertical="top"/>
    </xf>
    <xf numFmtId="0" fontId="7" fillId="0" borderId="0" xfId="0" applyFont="1" applyAlignment="1">
      <alignment horizontal="center" vertical="top"/>
    </xf>
    <xf numFmtId="0" fontId="13"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vertical="top"/>
    </xf>
    <xf numFmtId="0" fontId="15" fillId="0" borderId="0" xfId="0" applyFont="1" applyAlignment="1">
      <alignment/>
    </xf>
    <xf numFmtId="0" fontId="15" fillId="0" borderId="0" xfId="0" applyNumberFormat="1" applyFont="1" applyAlignment="1">
      <alignment/>
    </xf>
    <xf numFmtId="0" fontId="7" fillId="0" borderId="0" xfId="0" applyFont="1" applyAlignment="1">
      <alignment/>
    </xf>
    <xf numFmtId="0" fontId="7" fillId="0" borderId="0" xfId="0" applyFont="1" applyAlignment="1">
      <alignment/>
    </xf>
    <xf numFmtId="0" fontId="16" fillId="0" borderId="0" xfId="0" applyFont="1" applyAlignment="1">
      <alignment/>
    </xf>
    <xf numFmtId="0" fontId="4" fillId="34" borderId="0" xfId="0" applyNumberFormat="1" applyFont="1" applyFill="1" applyAlignment="1" applyProtection="1">
      <alignment horizontal="right"/>
      <protection/>
    </xf>
    <xf numFmtId="37" fontId="4" fillId="34" borderId="0" xfId="0" applyNumberFormat="1" applyFont="1" applyFill="1" applyBorder="1" applyAlignment="1" applyProtection="1">
      <alignment horizontal="left"/>
      <protection/>
    </xf>
    <xf numFmtId="0" fontId="4" fillId="34" borderId="0" xfId="0" applyFont="1" applyFill="1" applyAlignment="1">
      <alignment horizontal="center"/>
    </xf>
    <xf numFmtId="0" fontId="4" fillId="0" borderId="0" xfId="0" applyFont="1" applyAlignment="1">
      <alignment vertical="top"/>
    </xf>
    <xf numFmtId="0" fontId="4" fillId="0" borderId="0" xfId="405" applyFont="1" applyAlignment="1">
      <alignment vertical="top"/>
      <protection/>
    </xf>
    <xf numFmtId="0" fontId="20" fillId="0" borderId="0" xfId="0" applyNumberFormat="1" applyFont="1" applyAlignment="1">
      <alignment vertical="top"/>
    </xf>
    <xf numFmtId="0" fontId="20" fillId="0" borderId="0" xfId="0" applyFont="1" applyAlignment="1">
      <alignment/>
    </xf>
    <xf numFmtId="0" fontId="4" fillId="0" borderId="0" xfId="405" applyFont="1">
      <alignment/>
      <protection/>
    </xf>
    <xf numFmtId="164" fontId="4" fillId="34" borderId="11" xfId="0" applyNumberFormat="1" applyFont="1" applyFill="1" applyBorder="1" applyAlignment="1" applyProtection="1">
      <alignment/>
      <protection locked="0"/>
    </xf>
    <xf numFmtId="0" fontId="4" fillId="0" borderId="0" xfId="0" applyFont="1" applyAlignment="1">
      <alignment horizontal="right"/>
    </xf>
    <xf numFmtId="166" fontId="4" fillId="34" borderId="0" xfId="0" applyNumberFormat="1" applyFont="1" applyFill="1" applyAlignment="1" applyProtection="1">
      <alignment horizontal="center"/>
      <protection/>
    </xf>
    <xf numFmtId="37" fontId="4" fillId="34" borderId="10" xfId="0" applyNumberFormat="1" applyFont="1" applyFill="1" applyBorder="1" applyAlignment="1" applyProtection="1">
      <alignment horizontal="center"/>
      <protection/>
    </xf>
    <xf numFmtId="37" fontId="4" fillId="34" borderId="0" xfId="0" applyNumberFormat="1" applyFont="1" applyFill="1" applyBorder="1" applyAlignment="1" applyProtection="1">
      <alignment horizontal="center"/>
      <protection/>
    </xf>
    <xf numFmtId="165" fontId="4" fillId="35" borderId="10" xfId="0" applyNumberFormat="1" applyFont="1" applyFill="1" applyBorder="1" applyAlignment="1" applyProtection="1">
      <alignment horizontal="center"/>
      <protection/>
    </xf>
    <xf numFmtId="165" fontId="4" fillId="34" borderId="0" xfId="0" applyNumberFormat="1" applyFont="1" applyFill="1" applyBorder="1" applyAlignment="1" applyProtection="1">
      <alignment horizontal="center"/>
      <protection/>
    </xf>
    <xf numFmtId="0" fontId="4" fillId="34" borderId="0" xfId="0" applyFont="1" applyFill="1" applyAlignment="1">
      <alignment horizontal="left"/>
    </xf>
    <xf numFmtId="37" fontId="5" fillId="34" borderId="0" xfId="0" applyNumberFormat="1" applyFont="1" applyFill="1" applyAlignment="1" applyProtection="1">
      <alignment horizontal="center"/>
      <protection/>
    </xf>
    <xf numFmtId="0" fontId="0" fillId="34" borderId="0" xfId="0" applyFill="1" applyAlignment="1">
      <alignment/>
    </xf>
    <xf numFmtId="0" fontId="0" fillId="34" borderId="0" xfId="0" applyFill="1" applyAlignment="1">
      <alignment/>
    </xf>
    <xf numFmtId="177" fontId="4" fillId="34" borderId="0" xfId="0" applyNumberFormat="1" applyFont="1" applyFill="1" applyBorder="1" applyAlignment="1" applyProtection="1">
      <alignment horizontal="center"/>
      <protection/>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27" fillId="0" borderId="0" xfId="0" applyFont="1" applyAlignment="1">
      <alignment vertical="center" wrapText="1"/>
    </xf>
    <xf numFmtId="0" fontId="4" fillId="33"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34" borderId="0" xfId="0" applyFont="1" applyFill="1" applyAlignment="1">
      <alignment vertical="center" wrapText="1"/>
    </xf>
    <xf numFmtId="0" fontId="4" fillId="36" borderId="0" xfId="0" applyFont="1" applyFill="1" applyAlignment="1">
      <alignment vertical="center" wrapText="1"/>
    </xf>
    <xf numFmtId="0" fontId="4" fillId="37" borderId="0" xfId="0" applyFont="1" applyFill="1" applyAlignment="1">
      <alignment vertical="center"/>
    </xf>
    <xf numFmtId="37" fontId="4" fillId="0" borderId="0" xfId="0" applyNumberFormat="1" applyFont="1" applyFill="1" applyAlignment="1" applyProtection="1">
      <alignment horizontal="left" vertical="center" wrapText="1"/>
      <protection/>
    </xf>
    <xf numFmtId="0" fontId="4" fillId="34" borderId="0" xfId="0" applyFont="1" applyFill="1" applyAlignment="1" applyProtection="1">
      <alignment vertical="center"/>
      <protection/>
    </xf>
    <xf numFmtId="0" fontId="4" fillId="36" borderId="0" xfId="0" applyFont="1" applyFill="1" applyAlignment="1" applyProtection="1">
      <alignment vertical="center"/>
      <protection/>
    </xf>
    <xf numFmtId="37" fontId="4" fillId="34" borderId="0" xfId="0" applyNumberFormat="1" applyFont="1" applyFill="1" applyAlignment="1" applyProtection="1">
      <alignment horizontal="center" vertical="center"/>
      <protection/>
    </xf>
    <xf numFmtId="37" fontId="4" fillId="34" borderId="11" xfId="0" applyNumberFormat="1" applyFont="1" applyFill="1" applyBorder="1" applyAlignment="1" applyProtection="1">
      <alignment horizontal="left" vertical="center"/>
      <protection/>
    </xf>
    <xf numFmtId="3" fontId="4" fillId="33" borderId="11" xfId="0" applyNumberFormat="1" applyFont="1" applyFill="1" applyBorder="1" applyAlignment="1" applyProtection="1">
      <alignment vertical="center"/>
      <protection locked="0"/>
    </xf>
    <xf numFmtId="0" fontId="4" fillId="34" borderId="11" xfId="0" applyFont="1" applyFill="1" applyBorder="1" applyAlignment="1" applyProtection="1">
      <alignment vertical="center"/>
      <protection/>
    </xf>
    <xf numFmtId="3" fontId="4" fillId="33" borderId="11" xfId="0" applyNumberFormat="1" applyFont="1" applyFill="1" applyBorder="1" applyAlignment="1" applyProtection="1">
      <alignment vertical="center"/>
      <protection locked="0"/>
    </xf>
    <xf numFmtId="37" fontId="4" fillId="34" borderId="10" xfId="0" applyNumberFormat="1"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0" fontId="4" fillId="34" borderId="15"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4" fillId="34" borderId="0" xfId="0" applyFont="1" applyFill="1" applyAlignment="1">
      <alignment vertical="center"/>
    </xf>
    <xf numFmtId="0" fontId="4" fillId="38" borderId="0" xfId="0" applyFont="1" applyFill="1" applyAlignment="1" applyProtection="1">
      <alignment vertical="center"/>
      <protection/>
    </xf>
    <xf numFmtId="0" fontId="4" fillId="34" borderId="14" xfId="0" applyFont="1" applyFill="1" applyBorder="1" applyAlignment="1" applyProtection="1">
      <alignment vertical="center"/>
      <protection/>
    </xf>
    <xf numFmtId="0" fontId="4" fillId="34" borderId="0" xfId="0" applyFont="1" applyFill="1" applyAlignment="1" applyProtection="1">
      <alignment vertical="center"/>
      <protection locked="0"/>
    </xf>
    <xf numFmtId="0" fontId="4" fillId="0" borderId="0" xfId="0" applyFont="1" applyAlignment="1" applyProtection="1">
      <alignment vertical="center"/>
      <protection locked="0"/>
    </xf>
    <xf numFmtId="37" fontId="4" fillId="34" borderId="0" xfId="0" applyNumberFormat="1" applyFont="1" applyFill="1" applyAlignment="1">
      <alignment vertical="center"/>
    </xf>
    <xf numFmtId="3" fontId="4" fillId="34" borderId="0" xfId="0" applyNumberFormat="1" applyFont="1" applyFill="1" applyAlignment="1" applyProtection="1">
      <alignment vertical="center"/>
      <protection/>
    </xf>
    <xf numFmtId="37" fontId="4" fillId="34" borderId="14" xfId="0" applyNumberFormat="1" applyFont="1" applyFill="1" applyBorder="1" applyAlignment="1" applyProtection="1">
      <alignment horizontal="left" vertical="center"/>
      <protection/>
    </xf>
    <xf numFmtId="37" fontId="4" fillId="33" borderId="11" xfId="0" applyNumberFormat="1" applyFont="1" applyFill="1" applyBorder="1" applyAlignment="1" applyProtection="1">
      <alignment vertical="center"/>
      <protection locked="0"/>
    </xf>
    <xf numFmtId="37" fontId="4" fillId="34" borderId="13" xfId="0" applyNumberFormat="1" applyFont="1" applyFill="1" applyBorder="1" applyAlignment="1" applyProtection="1">
      <alignment horizontal="left" vertical="center"/>
      <protection/>
    </xf>
    <xf numFmtId="3" fontId="4" fillId="34" borderId="18" xfId="0" applyNumberFormat="1" applyFont="1" applyFill="1" applyBorder="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4"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0" fontId="0" fillId="34" borderId="0" xfId="0" applyFill="1" applyAlignment="1">
      <alignment vertical="center"/>
    </xf>
    <xf numFmtId="0" fontId="4" fillId="36" borderId="16" xfId="0" applyFont="1" applyFill="1" applyBorder="1" applyAlignment="1">
      <alignment horizontal="center" vertical="center"/>
    </xf>
    <xf numFmtId="0" fontId="4" fillId="36" borderId="12" xfId="0" applyFont="1" applyFill="1" applyBorder="1" applyAlignment="1">
      <alignment horizontal="center" vertical="center"/>
    </xf>
    <xf numFmtId="0" fontId="23" fillId="34" borderId="0" xfId="0" applyFont="1" applyFill="1" applyAlignment="1">
      <alignment vertical="center"/>
    </xf>
    <xf numFmtId="0" fontId="28" fillId="34" borderId="0" xfId="0" applyFont="1" applyFill="1" applyAlignment="1">
      <alignment vertical="center"/>
    </xf>
    <xf numFmtId="0" fontId="4" fillId="36" borderId="17" xfId="0" applyFont="1" applyFill="1" applyBorder="1" applyAlignment="1">
      <alignment horizontal="center" vertical="center"/>
    </xf>
    <xf numFmtId="37" fontId="4" fillId="34" borderId="17" xfId="0" applyNumberFormat="1" applyFont="1" applyFill="1" applyBorder="1" applyAlignment="1">
      <alignment vertical="center"/>
    </xf>
    <xf numFmtId="3" fontId="4" fillId="33" borderId="17" xfId="0" applyNumberFormat="1" applyFont="1" applyFill="1" applyBorder="1" applyAlignment="1" applyProtection="1">
      <alignment vertical="center"/>
      <protection locked="0"/>
    </xf>
    <xf numFmtId="0" fontId="0" fillId="0" borderId="0" xfId="0" applyAlignment="1">
      <alignment vertical="center"/>
    </xf>
    <xf numFmtId="37" fontId="4" fillId="34" borderId="11" xfId="0" applyNumberFormat="1" applyFont="1" applyFill="1" applyBorder="1" applyAlignment="1" applyProtection="1">
      <alignment horizontal="center"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 fontId="4" fillId="34" borderId="11"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4" borderId="0" xfId="0" applyFont="1" applyFill="1" applyAlignment="1" applyProtection="1">
      <alignment horizontal="right" vertical="center"/>
      <protection/>
    </xf>
    <xf numFmtId="0" fontId="4" fillId="0" borderId="0" xfId="0" applyFont="1" applyBorder="1" applyAlignment="1">
      <alignment vertical="center"/>
    </xf>
    <xf numFmtId="0" fontId="4" fillId="37" borderId="0" xfId="403" applyFont="1" applyFill="1" applyAlignment="1" applyProtection="1">
      <alignment vertical="center"/>
      <protection/>
    </xf>
    <xf numFmtId="0" fontId="4" fillId="37" borderId="0" xfId="0" applyFont="1" applyFill="1" applyAlignment="1" applyProtection="1">
      <alignment vertical="center"/>
      <protection/>
    </xf>
    <xf numFmtId="0" fontId="23" fillId="0" borderId="0" xfId="0" applyFont="1" applyAlignment="1">
      <alignment vertical="center"/>
    </xf>
    <xf numFmtId="0" fontId="4" fillId="34" borderId="0" xfId="0" applyFont="1" applyFill="1" applyAlignment="1">
      <alignment horizontal="right" vertical="center"/>
    </xf>
    <xf numFmtId="0" fontId="4" fillId="34" borderId="0" xfId="0" applyNumberFormat="1" applyFont="1" applyFill="1" applyAlignment="1" applyProtection="1">
      <alignment vertical="center"/>
      <protection/>
    </xf>
    <xf numFmtId="0" fontId="4" fillId="33" borderId="0" xfId="0" applyFont="1" applyFill="1" applyAlignment="1" applyProtection="1">
      <alignment horizontal="left" vertical="center"/>
      <protection locked="0"/>
    </xf>
    <xf numFmtId="0" fontId="4" fillId="34" borderId="16" xfId="0" applyFont="1" applyFill="1" applyBorder="1" applyAlignment="1" applyProtection="1">
      <alignment horizontal="center" vertical="center" wrapText="1"/>
      <protection/>
    </xf>
    <xf numFmtId="0" fontId="4" fillId="34" borderId="19"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3" fontId="4" fillId="33" borderId="11" xfId="0" applyNumberFormat="1" applyFont="1" applyFill="1" applyBorder="1" applyAlignment="1" applyProtection="1">
      <alignment horizontal="center" vertical="center"/>
      <protection locked="0"/>
    </xf>
    <xf numFmtId="184" fontId="4" fillId="34" borderId="11" xfId="0" applyNumberFormat="1" applyFont="1" applyFill="1" applyBorder="1" applyAlignment="1" applyProtection="1">
      <alignment horizontal="center" vertical="center"/>
      <protection/>
    </xf>
    <xf numFmtId="3" fontId="4" fillId="33" borderId="16" xfId="0" applyNumberFormat="1" applyFont="1" applyFill="1" applyBorder="1" applyAlignment="1" applyProtection="1">
      <alignment horizontal="center" vertical="center"/>
      <protection locked="0"/>
    </xf>
    <xf numFmtId="3" fontId="4" fillId="34" borderId="20" xfId="0" applyNumberFormat="1" applyFont="1" applyFill="1" applyBorder="1" applyAlignment="1" applyProtection="1">
      <alignment horizontal="center" vertical="center"/>
      <protection/>
    </xf>
    <xf numFmtId="184" fontId="4" fillId="34" borderId="2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4" fontId="4" fillId="34" borderId="10" xfId="0" applyNumberFormat="1" applyFont="1" applyFill="1" applyBorder="1" applyAlignment="1" applyProtection="1">
      <alignment horizontal="center" vertical="center"/>
      <protection/>
    </xf>
    <xf numFmtId="184"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184" fontId="4" fillId="34" borderId="10" xfId="0" applyNumberFormat="1" applyFont="1" applyFill="1" applyBorder="1" applyAlignment="1">
      <alignment horizontal="center" vertical="center"/>
    </xf>
    <xf numFmtId="183" fontId="4" fillId="34" borderId="0" xfId="0" applyNumberFormat="1" applyFont="1" applyFill="1" applyBorder="1" applyAlignment="1" applyProtection="1">
      <alignment vertical="center"/>
      <protection/>
    </xf>
    <xf numFmtId="0" fontId="6" fillId="0" borderId="0" xfId="0" applyFont="1" applyAlignment="1">
      <alignment vertical="center"/>
    </xf>
    <xf numFmtId="0" fontId="30" fillId="0" borderId="0" xfId="0" applyFont="1" applyAlignment="1">
      <alignment horizontal="center" vertical="center"/>
    </xf>
    <xf numFmtId="0" fontId="5" fillId="0" borderId="0" xfId="0" applyFont="1" applyAlignment="1">
      <alignment vertical="center" wrapText="1"/>
    </xf>
    <xf numFmtId="0" fontId="4" fillId="0" borderId="0" xfId="359" applyNumberFormat="1" applyFont="1" applyAlignment="1">
      <alignment vertical="center" wrapText="1"/>
      <protection/>
    </xf>
    <xf numFmtId="0" fontId="4" fillId="0" borderId="0" xfId="368" applyNumberFormat="1" applyFont="1" applyAlignment="1">
      <alignment vertical="center" wrapText="1"/>
      <protection/>
    </xf>
    <xf numFmtId="0" fontId="4" fillId="0" borderId="0" xfId="375" applyFont="1" applyAlignment="1">
      <alignment vertical="center" wrapText="1"/>
      <protection/>
    </xf>
    <xf numFmtId="0" fontId="4" fillId="0" borderId="0" xfId="187" applyFont="1" applyAlignment="1">
      <alignment vertical="center" wrapText="1"/>
      <protection/>
    </xf>
    <xf numFmtId="0" fontId="0" fillId="0" borderId="0" xfId="0" applyAlignment="1">
      <alignment/>
    </xf>
    <xf numFmtId="0" fontId="4" fillId="0" borderId="0" xfId="395" applyFont="1" applyAlignment="1">
      <alignment vertical="center"/>
      <protection/>
    </xf>
    <xf numFmtId="0" fontId="11" fillId="0" borderId="0" xfId="383" applyFont="1">
      <alignment/>
      <protection/>
    </xf>
    <xf numFmtId="0" fontId="4" fillId="0" borderId="0" xfId="383" applyFont="1" applyAlignment="1">
      <alignment horizontal="left" vertical="center"/>
      <protection/>
    </xf>
    <xf numFmtId="49" fontId="4" fillId="33" borderId="0" xfId="383" applyNumberFormat="1" applyFont="1" applyFill="1" applyAlignment="1" applyProtection="1">
      <alignment horizontal="left" vertical="center"/>
      <protection locked="0"/>
    </xf>
    <xf numFmtId="185" fontId="21" fillId="0" borderId="0" xfId="383" applyNumberFormat="1" applyFont="1" applyAlignment="1">
      <alignment horizontal="left" vertical="center"/>
      <protection/>
    </xf>
    <xf numFmtId="49" fontId="4" fillId="0" borderId="0" xfId="383" applyNumberFormat="1" applyFont="1" applyAlignment="1">
      <alignment horizontal="left" vertical="center"/>
      <protection/>
    </xf>
    <xf numFmtId="0" fontId="21" fillId="0" borderId="0" xfId="383" applyFont="1" applyAlignment="1">
      <alignment horizontal="left" vertical="center"/>
      <protection/>
    </xf>
    <xf numFmtId="186" fontId="21" fillId="0" borderId="0" xfId="383" applyNumberFormat="1" applyFont="1" applyAlignment="1">
      <alignment horizontal="left" vertical="center"/>
      <protection/>
    </xf>
    <xf numFmtId="0" fontId="4" fillId="33" borderId="0" xfId="383" applyFont="1" applyFill="1" applyAlignment="1" applyProtection="1">
      <alignment horizontal="left" vertical="center"/>
      <protection locked="0"/>
    </xf>
    <xf numFmtId="0" fontId="11" fillId="33" borderId="0" xfId="383" applyFont="1" applyFill="1" applyAlignment="1" applyProtection="1">
      <alignment horizontal="left" vertical="center"/>
      <protection locked="0"/>
    </xf>
    <xf numFmtId="0" fontId="6" fillId="0" borderId="0" xfId="123" applyFont="1" applyAlignment="1">
      <alignment vertical="center"/>
      <protection/>
    </xf>
    <xf numFmtId="0" fontId="4" fillId="0" borderId="0" xfId="127" applyFont="1" applyAlignment="1">
      <alignment vertical="center"/>
      <protection/>
    </xf>
    <xf numFmtId="0" fontId="25"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04" applyFont="1">
      <alignment/>
      <protection/>
    </xf>
    <xf numFmtId="0" fontId="0" fillId="0" borderId="0" xfId="204" applyFont="1" applyFill="1">
      <alignment/>
      <protection/>
    </xf>
    <xf numFmtId="0" fontId="0" fillId="0" borderId="0" xfId="0" applyFont="1" applyAlignment="1">
      <alignment/>
    </xf>
    <xf numFmtId="0" fontId="1" fillId="0" borderId="0" xfId="0" applyFont="1" applyAlignment="1">
      <alignment horizontal="center"/>
    </xf>
    <xf numFmtId="0" fontId="4" fillId="0" borderId="0" xfId="400" applyFont="1" applyAlignment="1">
      <alignment vertical="center" wrapText="1"/>
      <protection/>
    </xf>
    <xf numFmtId="0" fontId="4" fillId="0" borderId="0" xfId="76" applyFont="1" applyAlignment="1">
      <alignment vertical="center" wrapText="1"/>
      <protection/>
    </xf>
    <xf numFmtId="0" fontId="6" fillId="0" borderId="0" xfId="122" applyFont="1" applyAlignment="1">
      <alignment vertical="center"/>
      <protection/>
    </xf>
    <xf numFmtId="0" fontId="32" fillId="0" borderId="0" xfId="0" applyFont="1" applyAlignment="1">
      <alignment/>
    </xf>
    <xf numFmtId="0" fontId="31" fillId="0" borderId="0" xfId="0" applyFont="1" applyAlignment="1">
      <alignment wrapText="1"/>
    </xf>
    <xf numFmtId="0" fontId="0" fillId="0" borderId="0" xfId="0" applyAlignment="1">
      <alignment vertical="center" wrapText="1"/>
    </xf>
    <xf numFmtId="0" fontId="5" fillId="0" borderId="0" xfId="0" applyFont="1" applyAlignment="1">
      <alignment wrapText="1"/>
    </xf>
    <xf numFmtId="0" fontId="14" fillId="0" borderId="0" xfId="0" applyFont="1" applyAlignment="1">
      <alignment wrapText="1"/>
    </xf>
    <xf numFmtId="0" fontId="35" fillId="0" borderId="0" xfId="0" applyFont="1" applyAlignment="1">
      <alignment vertical="center"/>
    </xf>
    <xf numFmtId="0" fontId="36" fillId="0" borderId="0" xfId="0" applyFont="1" applyAlignment="1">
      <alignment horizontal="center"/>
    </xf>
    <xf numFmtId="0" fontId="41" fillId="0" borderId="0" xfId="0" applyFont="1" applyAlignment="1">
      <alignment vertical="center"/>
    </xf>
    <xf numFmtId="37" fontId="4" fillId="34" borderId="16" xfId="78" applyNumberFormat="1" applyFont="1" applyFill="1" applyBorder="1" applyAlignment="1" applyProtection="1">
      <alignment horizontal="center"/>
      <protection/>
    </xf>
    <xf numFmtId="37" fontId="4" fillId="34" borderId="17" xfId="78" applyNumberFormat="1" applyFont="1" applyFill="1" applyBorder="1" applyAlignment="1" applyProtection="1">
      <alignment horizontal="center"/>
      <protection/>
    </xf>
    <xf numFmtId="0" fontId="32" fillId="0" borderId="0" xfId="0" applyFont="1" applyAlignment="1">
      <alignment vertical="center"/>
    </xf>
    <xf numFmtId="0" fontId="43" fillId="0" borderId="0" xfId="0" applyFont="1" applyBorder="1" applyAlignment="1">
      <alignment horizontal="centerContinuous"/>
    </xf>
    <xf numFmtId="0" fontId="43" fillId="0" borderId="0" xfId="0" applyFont="1" applyBorder="1" applyAlignment="1">
      <alignment/>
    </xf>
    <xf numFmtId="0" fontId="43" fillId="0" borderId="0" xfId="0" applyFont="1" applyAlignment="1">
      <alignment/>
    </xf>
    <xf numFmtId="0" fontId="4" fillId="0" borderId="0" xfId="78" applyFont="1" applyAlignment="1">
      <alignment vertical="center"/>
      <protection/>
    </xf>
    <xf numFmtId="0" fontId="4" fillId="0" borderId="0" xfId="90" applyFont="1" applyAlignment="1">
      <alignment vertical="center"/>
      <protection/>
    </xf>
    <xf numFmtId="0" fontId="4" fillId="0" borderId="0" xfId="78" applyFont="1">
      <alignment/>
      <protection/>
    </xf>
    <xf numFmtId="0" fontId="44" fillId="0" borderId="0" xfId="78" applyFont="1" applyAlignment="1">
      <alignment horizontal="center"/>
      <protection/>
    </xf>
    <xf numFmtId="0" fontId="4" fillId="0" borderId="0" xfId="78" applyFont="1" applyAlignment="1">
      <alignment wrapText="1"/>
      <protection/>
    </xf>
    <xf numFmtId="0" fontId="45" fillId="0" borderId="0" xfId="67" applyFont="1" applyAlignment="1" applyProtection="1">
      <alignment/>
      <protection/>
    </xf>
    <xf numFmtId="0" fontId="4" fillId="0" borderId="0" xfId="90" applyFont="1" applyAlignment="1">
      <alignment vertical="center" wrapText="1"/>
      <protection/>
    </xf>
    <xf numFmtId="0" fontId="108" fillId="39" borderId="0" xfId="0" applyFont="1" applyFill="1" applyAlignment="1">
      <alignment/>
    </xf>
    <xf numFmtId="0" fontId="108" fillId="39" borderId="21" xfId="0" applyFont="1" applyFill="1" applyBorder="1" applyAlignment="1">
      <alignment/>
    </xf>
    <xf numFmtId="0" fontId="109" fillId="0" borderId="0" xfId="0" applyFont="1" applyBorder="1" applyAlignment="1">
      <alignment/>
    </xf>
    <xf numFmtId="0" fontId="108" fillId="0" borderId="0" xfId="0" applyFont="1" applyBorder="1" applyAlignment="1">
      <alignment horizontal="centerContinuous"/>
    </xf>
    <xf numFmtId="0" fontId="108" fillId="39" borderId="21" xfId="0" applyFont="1" applyFill="1" applyBorder="1" applyAlignment="1">
      <alignment/>
    </xf>
    <xf numFmtId="0" fontId="108" fillId="39" borderId="22" xfId="0" applyFont="1" applyFill="1" applyBorder="1" applyAlignment="1">
      <alignment horizontal="centerContinuous" vertical="center"/>
    </xf>
    <xf numFmtId="190" fontId="108" fillId="39" borderId="0" xfId="0" applyNumberFormat="1" applyFont="1" applyFill="1" applyBorder="1" applyAlignment="1">
      <alignment horizontal="centerContinuous" vertical="center"/>
    </xf>
    <xf numFmtId="0" fontId="108" fillId="39" borderId="0" xfId="0" applyFont="1" applyFill="1" applyBorder="1" applyAlignment="1">
      <alignment horizontal="centerContinuous" vertical="center"/>
    </xf>
    <xf numFmtId="184" fontId="108" fillId="39" borderId="0" xfId="0" applyNumberFormat="1" applyFont="1" applyFill="1" applyBorder="1" applyAlignment="1" applyProtection="1">
      <alignment horizontal="centerContinuous" vertical="center"/>
      <protection locked="0"/>
    </xf>
    <xf numFmtId="191" fontId="108" fillId="39" borderId="0" xfId="0" applyNumberFormat="1" applyFont="1" applyFill="1" applyBorder="1" applyAlignment="1">
      <alignment horizontal="centerContinuous" vertical="center"/>
    </xf>
    <xf numFmtId="0" fontId="108" fillId="39" borderId="23" xfId="0" applyFont="1" applyFill="1" applyBorder="1" applyAlignment="1">
      <alignment horizontal="centerContinuous" vertical="center"/>
    </xf>
    <xf numFmtId="0" fontId="108" fillId="39" borderId="22" xfId="0" applyFont="1" applyFill="1" applyBorder="1" applyAlignment="1">
      <alignment horizontal="centerContinuous"/>
    </xf>
    <xf numFmtId="190" fontId="108" fillId="39" borderId="0" xfId="0" applyNumberFormat="1" applyFont="1" applyFill="1" applyBorder="1" applyAlignment="1">
      <alignment horizontal="centerContinuous"/>
    </xf>
    <xf numFmtId="0" fontId="108" fillId="39" borderId="0" xfId="0" applyFont="1" applyFill="1" applyBorder="1" applyAlignment="1">
      <alignment horizontal="centerContinuous"/>
    </xf>
    <xf numFmtId="184" fontId="108" fillId="39" borderId="0" xfId="0" applyNumberFormat="1" applyFont="1" applyFill="1" applyBorder="1" applyAlignment="1" applyProtection="1">
      <alignment horizontal="centerContinuous"/>
      <protection locked="0"/>
    </xf>
    <xf numFmtId="191" fontId="108" fillId="39" borderId="0" xfId="0" applyNumberFormat="1" applyFont="1" applyFill="1" applyBorder="1" applyAlignment="1">
      <alignment horizontal="centerContinuous"/>
    </xf>
    <xf numFmtId="0" fontId="108" fillId="39" borderId="23" xfId="0" applyFont="1" applyFill="1" applyBorder="1" applyAlignment="1">
      <alignment horizontal="centerContinuous"/>
    </xf>
    <xf numFmtId="0" fontId="43" fillId="40" borderId="0" xfId="0" applyFont="1" applyFill="1" applyAlignment="1">
      <alignment/>
    </xf>
    <xf numFmtId="0" fontId="43" fillId="39" borderId="0" xfId="0" applyFont="1" applyFill="1" applyAlignment="1">
      <alignment/>
    </xf>
    <xf numFmtId="0" fontId="108" fillId="40" borderId="0" xfId="0" applyFont="1" applyFill="1" applyAlignment="1">
      <alignment horizontal="center" wrapText="1"/>
    </xf>
    <xf numFmtId="0" fontId="43" fillId="39" borderId="0" xfId="0" applyFont="1" applyFill="1" applyAlignment="1">
      <alignment horizontal="center"/>
    </xf>
    <xf numFmtId="0" fontId="43" fillId="39" borderId="24" xfId="0" applyFont="1" applyFill="1" applyBorder="1" applyAlignment="1">
      <alignment/>
    </xf>
    <xf numFmtId="0" fontId="43" fillId="39" borderId="25" xfId="0" applyFont="1" applyFill="1" applyBorder="1" applyAlignment="1">
      <alignment/>
    </xf>
    <xf numFmtId="190" fontId="43" fillId="39" borderId="26" xfId="0" applyNumberFormat="1" applyFont="1" applyFill="1" applyBorder="1" applyAlignment="1">
      <alignment/>
    </xf>
    <xf numFmtId="0" fontId="43" fillId="39" borderId="0" xfId="0" applyFont="1" applyFill="1" applyBorder="1" applyAlignment="1">
      <alignment/>
    </xf>
    <xf numFmtId="190" fontId="43" fillId="39" borderId="10" xfId="0" applyNumberFormat="1" applyFont="1" applyFill="1" applyBorder="1" applyAlignment="1">
      <alignment horizontal="center"/>
    </xf>
    <xf numFmtId="0" fontId="43" fillId="39" borderId="23" xfId="0" applyFont="1" applyFill="1" applyBorder="1" applyAlignment="1">
      <alignment/>
    </xf>
    <xf numFmtId="0" fontId="43" fillId="39" borderId="27" xfId="0" applyFont="1" applyFill="1" applyBorder="1" applyAlignment="1">
      <alignment/>
    </xf>
    <xf numFmtId="0" fontId="43" fillId="39" borderId="28" xfId="0" applyFont="1" applyFill="1" applyBorder="1" applyAlignment="1">
      <alignment/>
    </xf>
    <xf numFmtId="0" fontId="43" fillId="39" borderId="29" xfId="0" applyFont="1" applyFill="1" applyBorder="1" applyAlignment="1">
      <alignment/>
    </xf>
    <xf numFmtId="190" fontId="43" fillId="39" borderId="0" xfId="0" applyNumberFormat="1" applyFont="1" applyFill="1" applyAlignment="1">
      <alignment/>
    </xf>
    <xf numFmtId="0" fontId="43" fillId="39" borderId="21" xfId="0" applyFont="1" applyFill="1" applyBorder="1" applyAlignment="1">
      <alignment/>
    </xf>
    <xf numFmtId="0" fontId="43" fillId="39" borderId="22" xfId="0" applyFont="1" applyFill="1" applyBorder="1" applyAlignment="1">
      <alignment/>
    </xf>
    <xf numFmtId="190" fontId="43" fillId="41" borderId="26" xfId="0" applyNumberFormat="1" applyFont="1" applyFill="1" applyBorder="1" applyAlignment="1" applyProtection="1">
      <alignment horizontal="center"/>
      <protection locked="0"/>
    </xf>
    <xf numFmtId="184" fontId="43" fillId="39" borderId="0" xfId="0" applyNumberFormat="1" applyFont="1" applyFill="1" applyBorder="1" applyAlignment="1">
      <alignment horizontal="center"/>
    </xf>
    <xf numFmtId="190" fontId="43" fillId="0" borderId="0" xfId="0" applyNumberFormat="1" applyFont="1" applyAlignment="1">
      <alignment/>
    </xf>
    <xf numFmtId="0" fontId="43" fillId="40" borderId="0" xfId="0" applyFont="1" applyFill="1" applyBorder="1" applyAlignment="1">
      <alignment/>
    </xf>
    <xf numFmtId="0" fontId="43" fillId="39" borderId="30" xfId="0" applyFont="1" applyFill="1" applyBorder="1" applyAlignment="1">
      <alignment/>
    </xf>
    <xf numFmtId="0" fontId="43" fillId="39" borderId="31" xfId="0" applyFont="1" applyFill="1" applyBorder="1" applyAlignment="1">
      <alignment/>
    </xf>
    <xf numFmtId="0" fontId="43" fillId="39" borderId="32" xfId="0" applyFont="1" applyFill="1" applyBorder="1" applyAlignment="1">
      <alignment/>
    </xf>
    <xf numFmtId="5" fontId="43" fillId="39" borderId="28" xfId="0" applyNumberFormat="1" applyFont="1" applyFill="1" applyBorder="1" applyAlignment="1">
      <alignment horizontal="center"/>
    </xf>
    <xf numFmtId="0" fontId="43" fillId="39" borderId="28" xfId="0" applyFont="1" applyFill="1" applyBorder="1" applyAlignment="1">
      <alignment horizontal="center"/>
    </xf>
    <xf numFmtId="184" fontId="43" fillId="39" borderId="28" xfId="0" applyNumberFormat="1" applyFont="1" applyFill="1" applyBorder="1" applyAlignment="1">
      <alignment horizontal="center"/>
    </xf>
    <xf numFmtId="191" fontId="43" fillId="39" borderId="28" xfId="0" applyNumberFormat="1" applyFont="1" applyFill="1" applyBorder="1" applyAlignment="1">
      <alignment horizontal="center"/>
    </xf>
    <xf numFmtId="0" fontId="43" fillId="39" borderId="0" xfId="0" applyFont="1" applyFill="1" applyAlignment="1">
      <alignment horizontal="center" wrapText="1"/>
    </xf>
    <xf numFmtId="0" fontId="43" fillId="39" borderId="24" xfId="0" applyFont="1" applyFill="1" applyBorder="1" applyAlignment="1">
      <alignment/>
    </xf>
    <xf numFmtId="0" fontId="43" fillId="39" borderId="25" xfId="0" applyFont="1" applyFill="1" applyBorder="1" applyAlignment="1">
      <alignment/>
    </xf>
    <xf numFmtId="0" fontId="43" fillId="39" borderId="22" xfId="0" applyFont="1" applyFill="1" applyBorder="1" applyAlignment="1">
      <alignment/>
    </xf>
    <xf numFmtId="0" fontId="43" fillId="39" borderId="23" xfId="0" applyFont="1" applyFill="1" applyBorder="1" applyAlignment="1">
      <alignment/>
    </xf>
    <xf numFmtId="0" fontId="43" fillId="39" borderId="30" xfId="0" applyFont="1" applyFill="1" applyBorder="1" applyAlignment="1">
      <alignment/>
    </xf>
    <xf numFmtId="0" fontId="43" fillId="39" borderId="31" xfId="0" applyFont="1" applyFill="1" applyBorder="1" applyAlignment="1">
      <alignment/>
    </xf>
    <xf numFmtId="0" fontId="43" fillId="39" borderId="32" xfId="0" applyFont="1" applyFill="1" applyBorder="1" applyAlignment="1">
      <alignment/>
    </xf>
    <xf numFmtId="183" fontId="43" fillId="39" borderId="0" xfId="0" applyNumberFormat="1" applyFont="1" applyFill="1" applyBorder="1" applyAlignment="1">
      <alignment horizontal="center"/>
    </xf>
    <xf numFmtId="0" fontId="43" fillId="39" borderId="27" xfId="0" applyFont="1" applyFill="1" applyBorder="1" applyAlignment="1">
      <alignment/>
    </xf>
    <xf numFmtId="5" fontId="43" fillId="39" borderId="0" xfId="0" applyNumberFormat="1" applyFont="1" applyFill="1" applyBorder="1" applyAlignment="1">
      <alignment horizontal="center"/>
    </xf>
    <xf numFmtId="0" fontId="43" fillId="40" borderId="0" xfId="0" applyFont="1" applyFill="1" applyAlignment="1">
      <alignment/>
    </xf>
    <xf numFmtId="184" fontId="43" fillId="41" borderId="10" xfId="0" applyNumberFormat="1" applyFont="1" applyFill="1" applyBorder="1" applyAlignment="1" applyProtection="1">
      <alignment horizontal="center"/>
      <protection locked="0"/>
    </xf>
    <xf numFmtId="191" fontId="43" fillId="39" borderId="0" xfId="0" applyNumberFormat="1" applyFont="1" applyFill="1" applyBorder="1" applyAlignment="1">
      <alignment/>
    </xf>
    <xf numFmtId="190" fontId="43" fillId="39" borderId="28" xfId="0" applyNumberFormat="1" applyFont="1" applyFill="1" applyBorder="1" applyAlignment="1">
      <alignment horizontal="center"/>
    </xf>
    <xf numFmtId="184" fontId="43" fillId="39" borderId="28" xfId="0" applyNumberFormat="1" applyFont="1" applyFill="1" applyBorder="1" applyAlignment="1" applyProtection="1">
      <alignment horizontal="center"/>
      <protection locked="0"/>
    </xf>
    <xf numFmtId="191" fontId="43" fillId="39" borderId="28" xfId="0" applyNumberFormat="1" applyFont="1" applyFill="1" applyBorder="1" applyAlignment="1">
      <alignment/>
    </xf>
    <xf numFmtId="184" fontId="43" fillId="39" borderId="0" xfId="0" applyNumberFormat="1" applyFont="1" applyFill="1" applyBorder="1" applyAlignment="1" applyProtection="1">
      <alignment horizontal="center"/>
      <protection locked="0"/>
    </xf>
    <xf numFmtId="190" fontId="43" fillId="39" borderId="24" xfId="0" applyNumberFormat="1" applyFont="1" applyFill="1" applyBorder="1" applyAlignment="1">
      <alignment horizontal="center"/>
    </xf>
    <xf numFmtId="0" fontId="43" fillId="39" borderId="24" xfId="0" applyFont="1" applyFill="1" applyBorder="1" applyAlignment="1">
      <alignment horizontal="center"/>
    </xf>
    <xf numFmtId="184" fontId="43" fillId="39" borderId="24" xfId="0" applyNumberFormat="1" applyFont="1" applyFill="1" applyBorder="1" applyAlignment="1" applyProtection="1">
      <alignment horizontal="center"/>
      <protection locked="0"/>
    </xf>
    <xf numFmtId="191" fontId="43" fillId="39" borderId="24" xfId="0" applyNumberFormat="1" applyFont="1" applyFill="1" applyBorder="1" applyAlignment="1">
      <alignment/>
    </xf>
    <xf numFmtId="190" fontId="43" fillId="39" borderId="0" xfId="0" applyNumberFormat="1" applyFont="1" applyFill="1" applyBorder="1" applyAlignment="1" applyProtection="1">
      <alignment horizontal="center"/>
      <protection locked="0"/>
    </xf>
    <xf numFmtId="0" fontId="43" fillId="42" borderId="0" xfId="0" applyFont="1" applyFill="1" applyAlignment="1">
      <alignment/>
    </xf>
    <xf numFmtId="190" fontId="43" fillId="39" borderId="0" xfId="0" applyNumberFormat="1" applyFont="1" applyFill="1" applyBorder="1" applyAlignment="1">
      <alignment horizontal="center"/>
    </xf>
    <xf numFmtId="0" fontId="43" fillId="39" borderId="31" xfId="0" applyFont="1" applyFill="1" applyBorder="1" applyAlignment="1">
      <alignment horizontal="center"/>
    </xf>
    <xf numFmtId="191" fontId="43" fillId="39" borderId="0" xfId="0" applyNumberFormat="1" applyFont="1" applyFill="1" applyBorder="1" applyAlignment="1">
      <alignment horizontal="center"/>
    </xf>
    <xf numFmtId="0" fontId="108" fillId="39" borderId="0" xfId="0" applyFont="1" applyFill="1" applyAlignment="1">
      <alignment horizontal="center" wrapText="1"/>
    </xf>
    <xf numFmtId="190" fontId="43" fillId="41" borderId="10" xfId="0" applyNumberFormat="1" applyFont="1" applyFill="1" applyBorder="1" applyAlignment="1" applyProtection="1">
      <alignment horizontal="center"/>
      <protection locked="0"/>
    </xf>
    <xf numFmtId="0" fontId="108" fillId="39" borderId="0" xfId="0" applyFont="1" applyFill="1" applyAlignment="1">
      <alignment horizontal="center"/>
    </xf>
    <xf numFmtId="190" fontId="43" fillId="39" borderId="0" xfId="0" applyNumberFormat="1" applyFont="1" applyFill="1" applyAlignment="1">
      <alignment horizontal="center"/>
    </xf>
    <xf numFmtId="0" fontId="43" fillId="39" borderId="0" xfId="0" applyFont="1" applyFill="1" applyBorder="1" applyAlignment="1">
      <alignment/>
    </xf>
    <xf numFmtId="0" fontId="43" fillId="39" borderId="29" xfId="0" applyFont="1" applyFill="1" applyBorder="1" applyAlignment="1">
      <alignment/>
    </xf>
    <xf numFmtId="0" fontId="43" fillId="39" borderId="0" xfId="0" applyFont="1" applyFill="1" applyBorder="1" applyAlignment="1">
      <alignment horizontal="center"/>
    </xf>
    <xf numFmtId="0" fontId="4" fillId="0" borderId="0" xfId="385" applyFont="1" applyAlignment="1">
      <alignment horizontal="left" vertical="center"/>
      <protection/>
    </xf>
    <xf numFmtId="0" fontId="110" fillId="0" borderId="0" xfId="0" applyFont="1" applyAlignment="1">
      <alignment/>
    </xf>
    <xf numFmtId="0" fontId="111" fillId="0" borderId="0" xfId="385" applyFont="1">
      <alignment/>
      <protection/>
    </xf>
    <xf numFmtId="185" fontId="112" fillId="0" borderId="0" xfId="385" applyNumberFormat="1" applyFont="1" applyAlignment="1">
      <alignment horizontal="left" vertical="center"/>
      <protection/>
    </xf>
    <xf numFmtId="0" fontId="112" fillId="0" borderId="0" xfId="385" applyNumberFormat="1" applyFont="1" applyAlignment="1">
      <alignment horizontal="left" vertical="center"/>
      <protection/>
    </xf>
    <xf numFmtId="1" fontId="112" fillId="0" borderId="0" xfId="385" applyNumberFormat="1" applyFont="1" applyAlignment="1">
      <alignment horizontal="left" vertical="center"/>
      <protection/>
    </xf>
    <xf numFmtId="0" fontId="113" fillId="0" borderId="0" xfId="385" applyFont="1" applyAlignment="1">
      <alignment horizontal="left" vertical="center"/>
      <protection/>
    </xf>
    <xf numFmtId="0" fontId="4" fillId="34" borderId="16" xfId="0" applyFont="1" applyFill="1" applyBorder="1" applyAlignment="1">
      <alignment horizontal="center" vertical="center"/>
    </xf>
    <xf numFmtId="37" fontId="4" fillId="35" borderId="20" xfId="0" applyNumberFormat="1" applyFont="1" applyFill="1" applyBorder="1" applyAlignment="1" applyProtection="1">
      <alignment horizontal="center" vertical="center"/>
      <protection/>
    </xf>
    <xf numFmtId="177" fontId="4" fillId="35" borderId="20" xfId="0" applyNumberFormat="1" applyFont="1" applyFill="1" applyBorder="1" applyAlignment="1" applyProtection="1">
      <alignment horizontal="center" vertical="center"/>
      <protection/>
    </xf>
    <xf numFmtId="177" fontId="4" fillId="34" borderId="11" xfId="0" applyNumberFormat="1" applyFont="1" applyFill="1" applyBorder="1" applyAlignment="1" applyProtection="1">
      <alignment horizontal="center" vertical="center"/>
      <protection/>
    </xf>
    <xf numFmtId="0" fontId="17" fillId="39" borderId="33" xfId="0" applyFont="1" applyFill="1" applyBorder="1" applyAlignment="1" applyProtection="1">
      <alignment vertical="center"/>
      <protection/>
    </xf>
    <xf numFmtId="0" fontId="4" fillId="39" borderId="0" xfId="0" applyFont="1" applyFill="1" applyBorder="1" applyAlignment="1" applyProtection="1">
      <alignment vertical="center"/>
      <protection/>
    </xf>
    <xf numFmtId="0" fontId="17" fillId="39" borderId="0" xfId="0" applyFont="1" applyFill="1" applyBorder="1" applyAlignment="1" applyProtection="1">
      <alignment vertical="center"/>
      <protection/>
    </xf>
    <xf numFmtId="190" fontId="17" fillId="39" borderId="34" xfId="0" applyNumberFormat="1" applyFont="1" applyFill="1" applyBorder="1" applyAlignment="1" applyProtection="1">
      <alignment horizontal="center" vertical="center"/>
      <protection/>
    </xf>
    <xf numFmtId="0" fontId="17" fillId="39" borderId="33" xfId="0" applyFont="1" applyFill="1" applyBorder="1" applyAlignment="1" applyProtection="1">
      <alignment horizontal="left" vertical="center"/>
      <protection/>
    </xf>
    <xf numFmtId="190" fontId="17" fillId="41" borderId="11" xfId="0" applyNumberFormat="1" applyFont="1" applyFill="1" applyBorder="1" applyAlignment="1" applyProtection="1">
      <alignment horizontal="center" vertical="center"/>
      <protection locked="0"/>
    </xf>
    <xf numFmtId="184" fontId="18" fillId="39" borderId="15" xfId="0" applyNumberFormat="1" applyFont="1" applyFill="1" applyBorder="1" applyAlignment="1" applyProtection="1">
      <alignment horizontal="center" vertical="center"/>
      <protection/>
    </xf>
    <xf numFmtId="0" fontId="18" fillId="43" borderId="33" xfId="0" applyFont="1" applyFill="1" applyBorder="1" applyAlignment="1" applyProtection="1">
      <alignment vertical="center"/>
      <protection/>
    </xf>
    <xf numFmtId="0" fontId="4" fillId="43" borderId="0" xfId="0" applyFont="1" applyFill="1" applyBorder="1" applyAlignment="1" applyProtection="1">
      <alignment vertical="center"/>
      <protection/>
    </xf>
    <xf numFmtId="0" fontId="17" fillId="43" borderId="0" xfId="0" applyFont="1" applyFill="1" applyBorder="1" applyAlignment="1" applyProtection="1">
      <alignment vertical="center"/>
      <protection/>
    </xf>
    <xf numFmtId="190" fontId="18" fillId="43" borderId="15" xfId="0" applyNumberFormat="1" applyFont="1" applyFill="1" applyBorder="1" applyAlignment="1" applyProtection="1">
      <alignment horizontal="center" vertical="center"/>
      <protection/>
    </xf>
    <xf numFmtId="37" fontId="17" fillId="34" borderId="35" xfId="0" applyNumberFormat="1" applyFont="1" applyFill="1" applyBorder="1" applyAlignment="1" applyProtection="1">
      <alignment horizontal="left" vertical="center"/>
      <protection/>
    </xf>
    <xf numFmtId="0" fontId="19" fillId="39" borderId="10" xfId="0" applyFont="1" applyFill="1" applyBorder="1" applyAlignment="1">
      <alignment horizontal="left" vertical="center"/>
    </xf>
    <xf numFmtId="190" fontId="18" fillId="43" borderId="18" xfId="0" applyNumberFormat="1" applyFont="1" applyFill="1" applyBorder="1" applyAlignment="1" applyProtection="1">
      <alignment horizontal="center" vertical="center"/>
      <protection locked="0"/>
    </xf>
    <xf numFmtId="0" fontId="114" fillId="0" borderId="0" xfId="0" applyFont="1" applyAlignment="1" applyProtection="1">
      <alignment/>
      <protection locked="0"/>
    </xf>
    <xf numFmtId="184" fontId="17" fillId="39" borderId="33" xfId="0" applyNumberFormat="1" applyFont="1" applyFill="1" applyBorder="1" applyAlignment="1" applyProtection="1">
      <alignment horizontal="center" vertical="center"/>
      <protection/>
    </xf>
    <xf numFmtId="0" fontId="17" fillId="39" borderId="0" xfId="0" applyFont="1" applyFill="1" applyBorder="1" applyAlignment="1" applyProtection="1">
      <alignment horizontal="left" vertical="center"/>
      <protection/>
    </xf>
    <xf numFmtId="0" fontId="26" fillId="39" borderId="0" xfId="0" applyFont="1" applyFill="1" applyBorder="1" applyAlignment="1" applyProtection="1">
      <alignment horizontal="center" vertical="center"/>
      <protection/>
    </xf>
    <xf numFmtId="0" fontId="0" fillId="39" borderId="34" xfId="0" applyFill="1" applyBorder="1" applyAlignment="1" applyProtection="1">
      <alignment vertical="center"/>
      <protection/>
    </xf>
    <xf numFmtId="184" fontId="17" fillId="43" borderId="35" xfId="0" applyNumberFormat="1" applyFont="1" applyFill="1" applyBorder="1" applyAlignment="1" applyProtection="1">
      <alignment horizontal="center" vertical="center"/>
      <protection/>
    </xf>
    <xf numFmtId="184" fontId="17" fillId="39" borderId="13" xfId="0" applyNumberFormat="1" applyFont="1" applyFill="1" applyBorder="1" applyAlignment="1" applyProtection="1">
      <alignment horizontal="center" vertical="center"/>
      <protection/>
    </xf>
    <xf numFmtId="184" fontId="17" fillId="43" borderId="13" xfId="0" applyNumberFormat="1" applyFont="1" applyFill="1" applyBorder="1" applyAlignment="1" applyProtection="1">
      <alignment horizontal="center" vertical="center"/>
      <protection/>
    </xf>
    <xf numFmtId="0" fontId="17" fillId="39" borderId="10" xfId="0" applyFont="1" applyFill="1" applyBorder="1" applyAlignment="1" applyProtection="1">
      <alignment horizontal="left" vertical="center"/>
      <protection/>
    </xf>
    <xf numFmtId="0" fontId="26" fillId="39" borderId="10" xfId="0" applyFont="1" applyFill="1" applyBorder="1" applyAlignment="1" applyProtection="1">
      <alignment horizontal="center" vertical="center"/>
      <protection/>
    </xf>
    <xf numFmtId="0" fontId="0" fillId="39" borderId="18" xfId="0" applyFill="1" applyBorder="1" applyAlignment="1" applyProtection="1">
      <alignment vertical="center"/>
      <protection/>
    </xf>
    <xf numFmtId="37" fontId="4" fillId="34" borderId="34" xfId="0" applyNumberFormat="1" applyFont="1" applyFill="1" applyBorder="1" applyAlignment="1" applyProtection="1">
      <alignment horizontal="right" vertical="center"/>
      <protection/>
    </xf>
    <xf numFmtId="190" fontId="17" fillId="39" borderId="33" xfId="0" applyNumberFormat="1" applyFont="1" applyFill="1" applyBorder="1" applyAlignment="1" applyProtection="1">
      <alignment horizontal="center" vertical="center"/>
      <protection/>
    </xf>
    <xf numFmtId="0" fontId="17" fillId="39" borderId="34" xfId="0" applyFont="1" applyFill="1" applyBorder="1" applyAlignment="1" applyProtection="1">
      <alignment vertical="center"/>
      <protection/>
    </xf>
    <xf numFmtId="190" fontId="17" fillId="39" borderId="35" xfId="0" applyNumberFormat="1" applyFont="1" applyFill="1" applyBorder="1" applyAlignment="1" applyProtection="1">
      <alignment horizontal="center" vertical="center"/>
      <protection/>
    </xf>
    <xf numFmtId="190" fontId="17" fillId="39" borderId="33" xfId="0" applyNumberFormat="1" applyFont="1" applyFill="1" applyBorder="1" applyAlignment="1" applyProtection="1">
      <alignment vertical="center"/>
      <protection/>
    </xf>
    <xf numFmtId="0" fontId="4" fillId="39" borderId="34" xfId="0" applyFont="1" applyFill="1" applyBorder="1" applyAlignment="1" applyProtection="1">
      <alignment/>
      <protection locked="0"/>
    </xf>
    <xf numFmtId="190" fontId="17" fillId="43" borderId="35" xfId="0" applyNumberFormat="1" applyFont="1" applyFill="1" applyBorder="1" applyAlignment="1" applyProtection="1">
      <alignment horizontal="center" vertical="center"/>
      <protection/>
    </xf>
    <xf numFmtId="0" fontId="17" fillId="43" borderId="10" xfId="0" applyFont="1" applyFill="1" applyBorder="1" applyAlignment="1" applyProtection="1">
      <alignment vertical="center"/>
      <protection/>
    </xf>
    <xf numFmtId="0" fontId="17" fillId="43" borderId="18" xfId="0" applyFont="1" applyFill="1" applyBorder="1" applyAlignment="1" applyProtection="1">
      <alignment vertical="center"/>
      <protection/>
    </xf>
    <xf numFmtId="37" fontId="4" fillId="43" borderId="18" xfId="0" applyNumberFormat="1" applyFont="1" applyFill="1" applyBorder="1" applyAlignment="1" applyProtection="1">
      <alignment horizontal="right" vertical="center"/>
      <protection/>
    </xf>
    <xf numFmtId="0" fontId="4" fillId="39" borderId="33" xfId="0" applyFont="1" applyFill="1" applyBorder="1" applyAlignment="1" applyProtection="1">
      <alignment vertical="center"/>
      <protection/>
    </xf>
    <xf numFmtId="190" fontId="21" fillId="39" borderId="33" xfId="0" applyNumberFormat="1" applyFont="1" applyFill="1" applyBorder="1" applyAlignment="1" applyProtection="1">
      <alignment horizontal="center" vertical="center"/>
      <protection/>
    </xf>
    <xf numFmtId="0" fontId="4" fillId="39" borderId="34" xfId="0" applyFont="1" applyFill="1" applyBorder="1" applyAlignment="1" applyProtection="1">
      <alignment vertical="center"/>
      <protection/>
    </xf>
    <xf numFmtId="190" fontId="21" fillId="39" borderId="33" xfId="0" applyNumberFormat="1" applyFont="1" applyFill="1" applyBorder="1" applyAlignment="1" applyProtection="1">
      <alignment vertical="center"/>
      <protection/>
    </xf>
    <xf numFmtId="0" fontId="21" fillId="39" borderId="0" xfId="0" applyFont="1" applyFill="1" applyBorder="1" applyAlignment="1" applyProtection="1">
      <alignment vertical="center"/>
      <protection/>
    </xf>
    <xf numFmtId="190" fontId="21" fillId="39" borderId="35" xfId="0" applyNumberFormat="1" applyFont="1" applyFill="1" applyBorder="1" applyAlignment="1" applyProtection="1">
      <alignment horizontal="center" vertical="center"/>
      <protection/>
    </xf>
    <xf numFmtId="190" fontId="21" fillId="43" borderId="35" xfId="0" applyNumberFormat="1" applyFont="1" applyFill="1" applyBorder="1" applyAlignment="1" applyProtection="1">
      <alignment horizontal="center" vertical="center"/>
      <protection/>
    </xf>
    <xf numFmtId="0" fontId="4" fillId="43" borderId="18" xfId="0" applyFont="1" applyFill="1" applyBorder="1" applyAlignment="1" applyProtection="1">
      <alignment vertical="center"/>
      <protection/>
    </xf>
    <xf numFmtId="0" fontId="4" fillId="43" borderId="18" xfId="0" applyFont="1" applyFill="1" applyBorder="1" applyAlignment="1" applyProtection="1">
      <alignment/>
      <protection locked="0"/>
    </xf>
    <xf numFmtId="193" fontId="4" fillId="33" borderId="11" xfId="0" applyNumberFormat="1" applyFont="1" applyFill="1" applyBorder="1" applyAlignment="1" applyProtection="1">
      <alignment vertical="center"/>
      <protection locked="0"/>
    </xf>
    <xf numFmtId="37" fontId="4" fillId="34" borderId="10" xfId="78" applyNumberFormat="1" applyFont="1" applyFill="1" applyBorder="1" applyAlignment="1" applyProtection="1">
      <alignment horizontal="left" vertical="center"/>
      <protection/>
    </xf>
    <xf numFmtId="193" fontId="4" fillId="33" borderId="11" xfId="0" applyNumberFormat="1" applyFont="1" applyFill="1" applyBorder="1" applyAlignment="1" applyProtection="1">
      <alignment vertical="center"/>
      <protection locked="0"/>
    </xf>
    <xf numFmtId="37" fontId="4" fillId="34" borderId="14" xfId="75" applyNumberFormat="1" applyFont="1" applyFill="1" applyBorder="1" applyAlignment="1" applyProtection="1">
      <alignment horizontal="left" vertical="center"/>
      <protection/>
    </xf>
    <xf numFmtId="0" fontId="4" fillId="41" borderId="0" xfId="0" applyFont="1" applyFill="1" applyAlignment="1" applyProtection="1">
      <alignment/>
      <protection locked="0"/>
    </xf>
    <xf numFmtId="0" fontId="4" fillId="0" borderId="0" xfId="73" applyFont="1" applyAlignment="1">
      <alignment vertical="center" wrapText="1"/>
      <protection/>
    </xf>
    <xf numFmtId="0" fontId="4" fillId="0" borderId="0" xfId="123" applyFont="1" applyAlignment="1">
      <alignment vertical="center"/>
      <protection/>
    </xf>
    <xf numFmtId="0" fontId="4" fillId="0" borderId="0" xfId="84" applyFont="1" applyAlignment="1">
      <alignment vertical="center" wrapText="1"/>
      <protection/>
    </xf>
    <xf numFmtId="0" fontId="4" fillId="0" borderId="0" xfId="113" applyFont="1" applyAlignment="1">
      <alignment vertical="center" wrapText="1"/>
      <protection/>
    </xf>
    <xf numFmtId="0" fontId="47" fillId="39" borderId="13" xfId="0" applyFont="1" applyFill="1" applyBorder="1" applyAlignment="1" applyProtection="1">
      <alignment horizontal="left"/>
      <protection/>
    </xf>
    <xf numFmtId="37" fontId="47" fillId="39" borderId="13" xfId="0" applyNumberFormat="1" applyFont="1" applyFill="1" applyBorder="1" applyAlignment="1" applyProtection="1">
      <alignment/>
      <protection/>
    </xf>
    <xf numFmtId="0" fontId="48" fillId="0" borderId="0" xfId="0" applyFont="1" applyAlignment="1">
      <alignment vertical="center"/>
    </xf>
    <xf numFmtId="37" fontId="47" fillId="39" borderId="13" xfId="0" applyNumberFormat="1" applyFont="1" applyFill="1" applyBorder="1" applyAlignment="1" applyProtection="1">
      <alignment horizontal="left"/>
      <protection/>
    </xf>
    <xf numFmtId="0" fontId="48" fillId="0" borderId="0" xfId="0" applyFont="1" applyAlignment="1" applyProtection="1">
      <alignment vertical="center"/>
      <protection locked="0"/>
    </xf>
    <xf numFmtId="37" fontId="48" fillId="34" borderId="11" xfId="0" applyNumberFormat="1" applyFont="1" applyFill="1" applyBorder="1" applyAlignment="1" applyProtection="1">
      <alignment horizontal="left" vertical="center"/>
      <protection/>
    </xf>
    <xf numFmtId="0" fontId="48" fillId="34" borderId="11" xfId="0" applyFont="1" applyFill="1" applyBorder="1" applyAlignment="1" applyProtection="1">
      <alignment vertical="center"/>
      <protection locked="0"/>
    </xf>
    <xf numFmtId="37" fontId="48" fillId="34" borderId="11" xfId="0" applyNumberFormat="1" applyFont="1" applyFill="1" applyBorder="1" applyAlignment="1" applyProtection="1">
      <alignment horizontal="left"/>
      <protection/>
    </xf>
    <xf numFmtId="0" fontId="48" fillId="33" borderId="11" xfId="0" applyFont="1" applyFill="1" applyBorder="1" applyAlignment="1" applyProtection="1">
      <alignment horizontal="left"/>
      <protection locked="0"/>
    </xf>
    <xf numFmtId="0" fontId="48" fillId="33" borderId="11" xfId="0" applyFont="1" applyFill="1" applyBorder="1" applyAlignment="1" applyProtection="1">
      <alignment/>
      <protection locked="0"/>
    </xf>
    <xf numFmtId="0" fontId="48" fillId="34" borderId="0" xfId="0" applyFont="1" applyFill="1" applyAlignment="1" applyProtection="1">
      <alignment vertical="center"/>
      <protection/>
    </xf>
    <xf numFmtId="37" fontId="48" fillId="34" borderId="0" xfId="0" applyNumberFormat="1" applyFont="1" applyFill="1" applyAlignment="1" applyProtection="1">
      <alignment horizontal="left" vertical="center"/>
      <protection/>
    </xf>
    <xf numFmtId="0" fontId="48" fillId="33" borderId="10" xfId="0" applyFont="1" applyFill="1" applyBorder="1" applyAlignment="1" applyProtection="1">
      <alignment vertical="center"/>
      <protection locked="0"/>
    </xf>
    <xf numFmtId="0" fontId="48" fillId="33" borderId="10" xfId="0" applyFont="1" applyFill="1" applyBorder="1" applyAlignment="1" applyProtection="1">
      <alignment vertical="center"/>
      <protection/>
    </xf>
    <xf numFmtId="37" fontId="48" fillId="33" borderId="10" xfId="0" applyNumberFormat="1" applyFont="1" applyFill="1" applyBorder="1" applyAlignment="1" applyProtection="1">
      <alignment horizontal="left" vertical="center"/>
      <protection locked="0"/>
    </xf>
    <xf numFmtId="0" fontId="48" fillId="34" borderId="0" xfId="0" applyFont="1" applyFill="1" applyBorder="1" applyAlignment="1" applyProtection="1">
      <alignment vertical="center"/>
      <protection/>
    </xf>
    <xf numFmtId="37" fontId="48" fillId="34" borderId="0" xfId="0" applyNumberFormat="1" applyFont="1" applyFill="1" applyBorder="1" applyAlignment="1" applyProtection="1">
      <alignment horizontal="left" vertical="center"/>
      <protection locked="0"/>
    </xf>
    <xf numFmtId="0" fontId="49" fillId="33" borderId="11" xfId="0" applyFont="1" applyFill="1" applyBorder="1" applyAlignment="1" applyProtection="1">
      <alignment horizontal="center" vertical="center"/>
      <protection locked="0"/>
    </xf>
    <xf numFmtId="0" fontId="49" fillId="34" borderId="0" xfId="0" applyFont="1" applyFill="1" applyBorder="1" applyAlignment="1" applyProtection="1">
      <alignment horizontal="center" vertical="center"/>
      <protection locked="0"/>
    </xf>
    <xf numFmtId="37" fontId="49" fillId="34" borderId="0" xfId="0" applyNumberFormat="1" applyFont="1" applyFill="1" applyAlignment="1" applyProtection="1">
      <alignment horizontal="centerContinuous" vertical="center"/>
      <protection/>
    </xf>
    <xf numFmtId="0" fontId="48" fillId="34" borderId="0" xfId="0" applyFont="1" applyFill="1" applyAlignment="1" applyProtection="1">
      <alignment horizontal="centerContinuous" vertical="center"/>
      <protection/>
    </xf>
    <xf numFmtId="0" fontId="49" fillId="36" borderId="0" xfId="0" applyFont="1" applyFill="1" applyAlignment="1" applyProtection="1">
      <alignment vertical="center"/>
      <protection/>
    </xf>
    <xf numFmtId="0" fontId="48" fillId="36" borderId="0" xfId="0" applyFont="1" applyFill="1" applyAlignment="1" applyProtection="1">
      <alignment vertical="center"/>
      <protection/>
    </xf>
    <xf numFmtId="37" fontId="49" fillId="36" borderId="0" xfId="0" applyNumberFormat="1" applyFont="1" applyFill="1" applyAlignment="1" applyProtection="1">
      <alignment horizontal="left" vertical="center"/>
      <protection/>
    </xf>
    <xf numFmtId="0" fontId="48" fillId="39" borderId="0" xfId="0" applyFont="1" applyFill="1" applyAlignment="1" applyProtection="1">
      <alignment vertical="center"/>
      <protection locked="0"/>
    </xf>
    <xf numFmtId="0" fontId="48" fillId="34" borderId="0" xfId="0" applyFont="1" applyFill="1" applyAlignment="1" applyProtection="1">
      <alignment horizontal="center" vertical="center"/>
      <protection/>
    </xf>
    <xf numFmtId="0" fontId="48" fillId="36" borderId="16" xfId="0" applyFont="1" applyFill="1" applyBorder="1" applyAlignment="1" applyProtection="1">
      <alignment horizontal="center" vertical="center"/>
      <protection/>
    </xf>
    <xf numFmtId="37" fontId="48" fillId="36" borderId="16" xfId="0" applyNumberFormat="1" applyFont="1" applyFill="1" applyBorder="1" applyAlignment="1" applyProtection="1">
      <alignment horizontal="center" vertical="center"/>
      <protection/>
    </xf>
    <xf numFmtId="0" fontId="48" fillId="36" borderId="16" xfId="0" applyNumberFormat="1" applyFont="1" applyFill="1" applyBorder="1" applyAlignment="1" applyProtection="1">
      <alignment horizontal="center" vertical="center"/>
      <protection/>
    </xf>
    <xf numFmtId="0" fontId="48" fillId="34" borderId="16" xfId="0" applyFont="1" applyFill="1" applyBorder="1" applyAlignment="1" applyProtection="1">
      <alignment horizontal="center" vertical="center"/>
      <protection/>
    </xf>
    <xf numFmtId="0" fontId="48" fillId="34" borderId="11" xfId="0" applyFont="1" applyFill="1" applyBorder="1" applyAlignment="1" applyProtection="1">
      <alignment horizontal="center" vertical="center"/>
      <protection/>
    </xf>
    <xf numFmtId="37" fontId="48" fillId="34" borderId="0" xfId="0" applyNumberFormat="1" applyFont="1" applyFill="1" applyAlignment="1" applyProtection="1">
      <alignment horizontal="center" vertical="center"/>
      <protection/>
    </xf>
    <xf numFmtId="37" fontId="48" fillId="36" borderId="17" xfId="0" applyNumberFormat="1" applyFont="1" applyFill="1" applyBorder="1" applyAlignment="1" applyProtection="1">
      <alignment horizontal="center" vertical="center"/>
      <protection/>
    </xf>
    <xf numFmtId="0" fontId="48" fillId="34" borderId="17" xfId="0" applyFont="1" applyFill="1" applyBorder="1" applyAlignment="1" applyProtection="1">
      <alignment horizontal="center" vertical="center"/>
      <protection/>
    </xf>
    <xf numFmtId="10" fontId="48" fillId="33" borderId="11" xfId="0" applyNumberFormat="1" applyFont="1" applyFill="1" applyBorder="1" applyAlignment="1" applyProtection="1">
      <alignment vertical="center"/>
      <protection locked="0"/>
    </xf>
    <xf numFmtId="3" fontId="48" fillId="33" borderId="11" xfId="0" applyNumberFormat="1" applyFont="1" applyFill="1" applyBorder="1" applyAlignment="1" applyProtection="1">
      <alignment vertical="center"/>
      <protection locked="0"/>
    </xf>
    <xf numFmtId="3" fontId="48" fillId="33" borderId="11" xfId="0" applyNumberFormat="1" applyFont="1" applyFill="1" applyBorder="1" applyAlignment="1" applyProtection="1">
      <alignment vertical="center" wrapText="1"/>
      <protection locked="0"/>
    </xf>
    <xf numFmtId="164" fontId="48" fillId="33" borderId="11" xfId="0" applyNumberFormat="1" applyFont="1" applyFill="1" applyBorder="1" applyAlignment="1" applyProtection="1">
      <alignment vertical="center"/>
      <protection locked="0"/>
    </xf>
    <xf numFmtId="3" fontId="48" fillId="34" borderId="11" xfId="0" applyNumberFormat="1" applyFont="1" applyFill="1" applyBorder="1" applyAlignment="1" applyProtection="1">
      <alignment vertical="center"/>
      <protection/>
    </xf>
    <xf numFmtId="164" fontId="48" fillId="33" borderId="11" xfId="0" applyNumberFormat="1" applyFont="1" applyFill="1" applyBorder="1" applyAlignment="1" applyProtection="1">
      <alignment vertical="center"/>
      <protection locked="0"/>
    </xf>
    <xf numFmtId="3" fontId="48" fillId="33" borderId="11" xfId="0" applyNumberFormat="1" applyFont="1" applyFill="1" applyBorder="1" applyAlignment="1" applyProtection="1">
      <alignment vertical="center"/>
      <protection locked="0"/>
    </xf>
    <xf numFmtId="37" fontId="48" fillId="34" borderId="10" xfId="0" applyNumberFormat="1" applyFont="1" applyFill="1" applyBorder="1" applyAlignment="1" applyProtection="1">
      <alignment horizontal="left" vertical="center"/>
      <protection/>
    </xf>
    <xf numFmtId="0" fontId="48" fillId="34" borderId="10" xfId="0" applyFont="1" applyFill="1" applyBorder="1" applyAlignment="1" applyProtection="1">
      <alignment vertical="center"/>
      <protection/>
    </xf>
    <xf numFmtId="0" fontId="48" fillId="34" borderId="15" xfId="0" applyFont="1" applyFill="1" applyBorder="1" applyAlignment="1" applyProtection="1">
      <alignment vertical="center"/>
      <protection/>
    </xf>
    <xf numFmtId="3" fontId="48" fillId="35" borderId="15" xfId="0" applyNumberFormat="1" applyFont="1" applyFill="1" applyBorder="1" applyAlignment="1" applyProtection="1">
      <alignment vertical="center"/>
      <protection/>
    </xf>
    <xf numFmtId="164" fontId="48" fillId="35" borderId="11" xfId="0" applyNumberFormat="1" applyFont="1" applyFill="1" applyBorder="1" applyAlignment="1" applyProtection="1">
      <alignment vertical="center"/>
      <protection/>
    </xf>
    <xf numFmtId="164" fontId="48" fillId="34" borderId="10" xfId="0" applyNumberFormat="1" applyFont="1" applyFill="1" applyBorder="1" applyAlignment="1" applyProtection="1">
      <alignment vertical="center"/>
      <protection locked="0"/>
    </xf>
    <xf numFmtId="0" fontId="48" fillId="34" borderId="18" xfId="0" applyFont="1" applyFill="1" applyBorder="1" applyAlignment="1" applyProtection="1">
      <alignment vertical="center"/>
      <protection/>
    </xf>
    <xf numFmtId="3" fontId="48" fillId="35" borderId="11" xfId="0" applyNumberFormat="1" applyFont="1" applyFill="1" applyBorder="1" applyAlignment="1" applyProtection="1">
      <alignment vertical="center"/>
      <protection/>
    </xf>
    <xf numFmtId="37" fontId="48" fillId="34" borderId="0" xfId="0" applyNumberFormat="1" applyFont="1" applyFill="1" applyBorder="1" applyAlignment="1" applyProtection="1">
      <alignment horizontal="left" vertical="center"/>
      <protection/>
    </xf>
    <xf numFmtId="164" fontId="48" fillId="34" borderId="0" xfId="0" applyNumberFormat="1" applyFont="1" applyFill="1" applyBorder="1" applyAlignment="1" applyProtection="1">
      <alignment vertical="center"/>
      <protection locked="0"/>
    </xf>
    <xf numFmtId="3" fontId="48" fillId="34" borderId="0" xfId="0" applyNumberFormat="1" applyFont="1" applyFill="1" applyBorder="1" applyAlignment="1" applyProtection="1">
      <alignment vertical="center"/>
      <protection/>
    </xf>
    <xf numFmtId="37" fontId="49" fillId="38" borderId="0" xfId="0" applyNumberFormat="1" applyFont="1" applyFill="1" applyAlignment="1" applyProtection="1">
      <alignment horizontal="left" vertical="center"/>
      <protection/>
    </xf>
    <xf numFmtId="0" fontId="48" fillId="34" borderId="0" xfId="0" applyFont="1" applyFill="1" applyAlignment="1">
      <alignment vertical="center"/>
    </xf>
    <xf numFmtId="0" fontId="48" fillId="38" borderId="0" xfId="0" applyFont="1" applyFill="1" applyAlignment="1" applyProtection="1">
      <alignment vertical="center"/>
      <protection/>
    </xf>
    <xf numFmtId="37" fontId="48" fillId="34" borderId="11" xfId="0" applyNumberFormat="1" applyFont="1" applyFill="1" applyBorder="1" applyAlignment="1" applyProtection="1">
      <alignment vertical="center"/>
      <protection/>
    </xf>
    <xf numFmtId="37" fontId="48" fillId="36" borderId="10" xfId="0" applyNumberFormat="1" applyFont="1" applyFill="1" applyBorder="1" applyAlignment="1" applyProtection="1">
      <alignment horizontal="left" vertical="center"/>
      <protection/>
    </xf>
    <xf numFmtId="0" fontId="48" fillId="36" borderId="10" xfId="0" applyFont="1" applyFill="1" applyBorder="1" applyAlignment="1" applyProtection="1">
      <alignment vertical="center"/>
      <protection/>
    </xf>
    <xf numFmtId="37" fontId="48" fillId="36" borderId="14" xfId="0" applyNumberFormat="1" applyFont="1" applyFill="1" applyBorder="1" applyAlignment="1" applyProtection="1">
      <alignment horizontal="left" vertical="center"/>
      <protection/>
    </xf>
    <xf numFmtId="0" fontId="48" fillId="36" borderId="14" xfId="0" applyFont="1" applyFill="1" applyBorder="1" applyAlignment="1" applyProtection="1">
      <alignment vertical="center"/>
      <protection/>
    </xf>
    <xf numFmtId="0" fontId="48" fillId="34" borderId="14" xfId="0" applyFont="1" applyFill="1" applyBorder="1" applyAlignment="1" applyProtection="1">
      <alignment vertical="center"/>
      <protection/>
    </xf>
    <xf numFmtId="3" fontId="48" fillId="34" borderId="0" xfId="0" applyNumberFormat="1" applyFont="1" applyFill="1" applyBorder="1" applyAlignment="1" applyProtection="1">
      <alignment vertical="center"/>
      <protection locked="0"/>
    </xf>
    <xf numFmtId="37" fontId="56" fillId="38" borderId="0" xfId="0" applyNumberFormat="1" applyFont="1" applyFill="1" applyAlignment="1" applyProtection="1">
      <alignment horizontal="left" vertical="center"/>
      <protection/>
    </xf>
    <xf numFmtId="0" fontId="57" fillId="36" borderId="0" xfId="0" applyFont="1" applyFill="1" applyAlignment="1">
      <alignment vertical="center"/>
    </xf>
    <xf numFmtId="0" fontId="48" fillId="38" borderId="0" xfId="0" applyFont="1" applyFill="1" applyAlignment="1" applyProtection="1">
      <alignment vertical="center"/>
      <protection locked="0"/>
    </xf>
    <xf numFmtId="0" fontId="48" fillId="34" borderId="10" xfId="0" applyFont="1" applyFill="1" applyBorder="1" applyAlignment="1" applyProtection="1">
      <alignment horizontal="center" vertical="center"/>
      <protection/>
    </xf>
    <xf numFmtId="0" fontId="48" fillId="34" borderId="10" xfId="0" applyFont="1" applyFill="1" applyBorder="1" applyAlignment="1" applyProtection="1">
      <alignment horizontal="center" vertical="center"/>
      <protection locked="0"/>
    </xf>
    <xf numFmtId="0" fontId="48" fillId="38" borderId="10" xfId="0" applyFont="1" applyFill="1" applyBorder="1" applyAlignment="1" applyProtection="1">
      <alignment vertical="center"/>
      <protection locked="0"/>
    </xf>
    <xf numFmtId="0" fontId="48" fillId="34" borderId="0" xfId="0" applyFont="1" applyFill="1" applyBorder="1" applyAlignment="1" applyProtection="1">
      <alignment vertical="center"/>
      <protection locked="0"/>
    </xf>
    <xf numFmtId="0" fontId="48" fillId="38" borderId="14" xfId="0" applyFont="1" applyFill="1" applyBorder="1" applyAlignment="1" applyProtection="1">
      <alignment vertical="center"/>
      <protection locked="0"/>
    </xf>
    <xf numFmtId="164" fontId="48" fillId="33" borderId="11" xfId="0" applyNumberFormat="1" applyFont="1" applyFill="1" applyBorder="1" applyAlignment="1" applyProtection="1">
      <alignment/>
      <protection locked="0"/>
    </xf>
    <xf numFmtId="37" fontId="47" fillId="34" borderId="11" xfId="0" applyNumberFormat="1" applyFont="1" applyFill="1" applyBorder="1" applyAlignment="1" applyProtection="1">
      <alignment horizontal="left"/>
      <protection/>
    </xf>
    <xf numFmtId="37" fontId="47" fillId="39" borderId="11" xfId="0" applyNumberFormat="1" applyFont="1" applyFill="1" applyBorder="1" applyAlignment="1" applyProtection="1">
      <alignment horizontal="left"/>
      <protection/>
    </xf>
    <xf numFmtId="0" fontId="47" fillId="34" borderId="13" xfId="0" applyFont="1" applyFill="1" applyBorder="1" applyAlignment="1" applyProtection="1">
      <alignment/>
      <protection/>
    </xf>
    <xf numFmtId="37" fontId="47" fillId="39" borderId="0" xfId="0" applyNumberFormat="1" applyFont="1" applyFill="1" applyAlignment="1" applyProtection="1">
      <alignment vertical="center"/>
      <protection/>
    </xf>
    <xf numFmtId="0" fontId="47" fillId="39" borderId="0" xfId="0" applyFont="1" applyFill="1" applyAlignment="1" applyProtection="1">
      <alignment vertical="center"/>
      <protection/>
    </xf>
    <xf numFmtId="0" fontId="47" fillId="39" borderId="0" xfId="0" applyNumberFormat="1" applyFont="1" applyFill="1" applyAlignment="1" applyProtection="1">
      <alignment horizontal="right" vertical="center"/>
      <protection/>
    </xf>
    <xf numFmtId="0" fontId="47" fillId="0" borderId="0" xfId="0" applyFont="1" applyAlignment="1">
      <alignment vertical="center"/>
    </xf>
    <xf numFmtId="37" fontId="47" fillId="39" borderId="0" xfId="0" applyNumberFormat="1" applyFont="1" applyFill="1" applyAlignment="1" applyProtection="1">
      <alignment horizontal="right" vertical="center"/>
      <protection/>
    </xf>
    <xf numFmtId="0" fontId="58" fillId="39" borderId="0" xfId="0" applyFont="1" applyFill="1" applyAlignment="1" applyProtection="1">
      <alignment vertical="center"/>
      <protection/>
    </xf>
    <xf numFmtId="0" fontId="47" fillId="39" borderId="0" xfId="0" applyFont="1" applyFill="1" applyAlignment="1" applyProtection="1" quotePrefix="1">
      <alignment horizontal="right" vertical="center"/>
      <protection/>
    </xf>
    <xf numFmtId="0" fontId="47" fillId="39" borderId="0" xfId="0" applyFont="1" applyFill="1" applyAlignment="1" applyProtection="1">
      <alignment horizontal="left" vertical="center"/>
      <protection/>
    </xf>
    <xf numFmtId="1" fontId="47" fillId="39" borderId="36" xfId="0" applyNumberFormat="1" applyFont="1" applyFill="1" applyBorder="1" applyAlignment="1" applyProtection="1">
      <alignment horizontal="center" vertical="center"/>
      <protection/>
    </xf>
    <xf numFmtId="37" fontId="47" fillId="39" borderId="36" xfId="0" applyNumberFormat="1" applyFont="1" applyFill="1" applyBorder="1" applyAlignment="1" applyProtection="1">
      <alignment horizontal="center" vertical="center"/>
      <protection/>
    </xf>
    <xf numFmtId="37" fontId="47" fillId="39" borderId="16" xfId="0" applyNumberFormat="1" applyFont="1" applyFill="1" applyBorder="1" applyAlignment="1" applyProtection="1">
      <alignment horizontal="center" vertical="center"/>
      <protection/>
    </xf>
    <xf numFmtId="37" fontId="58" fillId="39" borderId="0" xfId="0" applyNumberFormat="1" applyFont="1" applyFill="1" applyBorder="1" applyAlignment="1" applyProtection="1">
      <alignment vertical="center"/>
      <protection/>
    </xf>
    <xf numFmtId="0" fontId="47" fillId="39" borderId="35" xfId="0" applyNumberFormat="1" applyFont="1" applyFill="1" applyBorder="1" applyAlignment="1" applyProtection="1">
      <alignment horizontal="center" vertical="center"/>
      <protection/>
    </xf>
    <xf numFmtId="1" fontId="47" fillId="39" borderId="17" xfId="0" applyNumberFormat="1" applyFont="1" applyFill="1" applyBorder="1" applyAlignment="1" applyProtection="1">
      <alignment horizontal="center" vertical="center"/>
      <protection/>
    </xf>
    <xf numFmtId="0" fontId="47" fillId="39" borderId="13" xfId="0" applyFont="1" applyFill="1" applyBorder="1" applyAlignment="1" applyProtection="1">
      <alignment horizontal="left" vertical="center"/>
      <protection/>
    </xf>
    <xf numFmtId="3" fontId="47" fillId="39" borderId="13" xfId="0" applyNumberFormat="1" applyFont="1" applyFill="1" applyBorder="1" applyAlignment="1" applyProtection="1">
      <alignment vertical="center"/>
      <protection locked="0"/>
    </xf>
    <xf numFmtId="3" fontId="47" fillId="39" borderId="13" xfId="0" applyNumberFormat="1" applyFont="1" applyFill="1" applyBorder="1" applyAlignment="1" applyProtection="1">
      <alignment vertical="center"/>
      <protection/>
    </xf>
    <xf numFmtId="3" fontId="47" fillId="39" borderId="11" xfId="0" applyNumberFormat="1" applyFont="1" applyFill="1" applyBorder="1" applyAlignment="1" applyProtection="1">
      <alignment vertical="center"/>
      <protection/>
    </xf>
    <xf numFmtId="0" fontId="47" fillId="39" borderId="35" xfId="0" applyFont="1" applyFill="1" applyBorder="1" applyAlignment="1" applyProtection="1">
      <alignment horizontal="left" vertical="center"/>
      <protection/>
    </xf>
    <xf numFmtId="37" fontId="47" fillId="39" borderId="13" xfId="0" applyNumberFormat="1" applyFont="1" applyFill="1" applyBorder="1" applyAlignment="1" applyProtection="1">
      <alignment vertical="center"/>
      <protection/>
    </xf>
    <xf numFmtId="37" fontId="47" fillId="39" borderId="11" xfId="0" applyNumberFormat="1" applyFont="1" applyFill="1" applyBorder="1" applyAlignment="1" applyProtection="1">
      <alignment vertical="center"/>
      <protection/>
    </xf>
    <xf numFmtId="37" fontId="47" fillId="39" borderId="11" xfId="0" applyNumberFormat="1" applyFont="1" applyFill="1" applyBorder="1" applyAlignment="1" applyProtection="1">
      <alignment horizontal="fill" vertical="center"/>
      <protection/>
    </xf>
    <xf numFmtId="37" fontId="47" fillId="39" borderId="11" xfId="0" applyNumberFormat="1" applyFont="1" applyFill="1" applyBorder="1" applyAlignment="1" applyProtection="1">
      <alignment vertical="center"/>
      <protection locked="0"/>
    </xf>
    <xf numFmtId="0" fontId="47" fillId="39" borderId="13" xfId="0" applyFont="1" applyFill="1" applyBorder="1" applyAlignment="1" applyProtection="1">
      <alignment vertical="center"/>
      <protection/>
    </xf>
    <xf numFmtId="0" fontId="47" fillId="43" borderId="13" xfId="0" applyFont="1" applyFill="1" applyBorder="1" applyAlignment="1" applyProtection="1">
      <alignment vertical="center"/>
      <protection/>
    </xf>
    <xf numFmtId="3" fontId="59" fillId="43" borderId="13" xfId="0" applyNumberFormat="1" applyFont="1" applyFill="1" applyBorder="1" applyAlignment="1" applyProtection="1">
      <alignment horizontal="center" vertical="center"/>
      <protection/>
    </xf>
    <xf numFmtId="3" fontId="59" fillId="43" borderId="11" xfId="0" applyNumberFormat="1" applyFont="1" applyFill="1" applyBorder="1" applyAlignment="1" applyProtection="1">
      <alignment horizontal="center" vertical="center"/>
      <protection/>
    </xf>
    <xf numFmtId="37" fontId="58" fillId="39" borderId="13" xfId="0" applyNumberFormat="1" applyFont="1" applyFill="1" applyBorder="1" applyAlignment="1" applyProtection="1">
      <alignment horizontal="left" vertical="center"/>
      <protection/>
    </xf>
    <xf numFmtId="3" fontId="58" fillId="39" borderId="13" xfId="0" applyNumberFormat="1" applyFont="1" applyFill="1" applyBorder="1" applyAlignment="1" applyProtection="1">
      <alignment vertical="center"/>
      <protection/>
    </xf>
    <xf numFmtId="3" fontId="58" fillId="39" borderId="11" xfId="0" applyNumberFormat="1" applyFont="1" applyFill="1" applyBorder="1" applyAlignment="1" applyProtection="1">
      <alignment vertical="center"/>
      <protection/>
    </xf>
    <xf numFmtId="0" fontId="58" fillId="39" borderId="0" xfId="0" applyFont="1" applyFill="1" applyAlignment="1" applyProtection="1">
      <alignment horizontal="left" vertical="center"/>
      <protection/>
    </xf>
    <xf numFmtId="0" fontId="47" fillId="39" borderId="0" xfId="0" applyFont="1" applyFill="1" applyAlignment="1" applyProtection="1">
      <alignment horizontal="fill" vertical="center"/>
      <protection/>
    </xf>
    <xf numFmtId="0" fontId="47" fillId="39" borderId="10" xfId="0" applyFont="1" applyFill="1" applyBorder="1" applyAlignment="1" applyProtection="1">
      <alignment vertical="center"/>
      <protection/>
    </xf>
    <xf numFmtId="3" fontId="47" fillId="39" borderId="11" xfId="0" applyNumberFormat="1" applyFont="1" applyFill="1" applyBorder="1" applyAlignment="1" applyProtection="1">
      <alignment vertical="center"/>
      <protection locked="0"/>
    </xf>
    <xf numFmtId="3" fontId="58" fillId="44" borderId="13" xfId="0" applyNumberFormat="1" applyFont="1" applyFill="1" applyBorder="1" applyAlignment="1" applyProtection="1">
      <alignment vertical="center"/>
      <protection/>
    </xf>
    <xf numFmtId="0" fontId="47" fillId="34" borderId="33" xfId="78" applyFont="1" applyFill="1" applyBorder="1" applyAlignment="1" applyProtection="1">
      <alignment vertical="center"/>
      <protection/>
    </xf>
    <xf numFmtId="0" fontId="47" fillId="34" borderId="0" xfId="78" applyFont="1" applyFill="1" applyBorder="1" applyAlignment="1" applyProtection="1">
      <alignment vertical="center"/>
      <protection/>
    </xf>
    <xf numFmtId="0" fontId="47" fillId="34" borderId="34" xfId="78" applyFont="1" applyFill="1" applyBorder="1" applyAlignment="1" applyProtection="1">
      <alignment vertical="center"/>
      <protection/>
    </xf>
    <xf numFmtId="37" fontId="47" fillId="39" borderId="13" xfId="0" applyNumberFormat="1" applyFont="1" applyFill="1" applyBorder="1" applyAlignment="1" applyProtection="1">
      <alignment horizontal="left" vertical="center"/>
      <protection/>
    </xf>
    <xf numFmtId="190" fontId="47" fillId="34" borderId="33" xfId="78" applyNumberFormat="1" applyFont="1" applyFill="1" applyBorder="1" applyAlignment="1" applyProtection="1">
      <alignment horizontal="center" vertical="center"/>
      <protection/>
    </xf>
    <xf numFmtId="0" fontId="47" fillId="34" borderId="0" xfId="78" applyFont="1" applyFill="1" applyBorder="1" applyAlignment="1" applyProtection="1">
      <alignment horizontal="left" vertical="center"/>
      <protection/>
    </xf>
    <xf numFmtId="0" fontId="47" fillId="39" borderId="0" xfId="0" applyFont="1" applyFill="1" applyAlignment="1" applyProtection="1">
      <alignment horizontal="right" vertical="center"/>
      <protection/>
    </xf>
    <xf numFmtId="3" fontId="47" fillId="39" borderId="11" xfId="0" applyNumberFormat="1" applyFont="1" applyFill="1" applyBorder="1" applyAlignment="1" applyProtection="1">
      <alignment horizontal="center" vertical="center"/>
      <protection/>
    </xf>
    <xf numFmtId="0" fontId="59" fillId="0" borderId="0" xfId="0" applyFont="1" applyAlignment="1">
      <alignment vertical="center"/>
    </xf>
    <xf numFmtId="190" fontId="47" fillId="34" borderId="35" xfId="78" applyNumberFormat="1" applyFont="1" applyFill="1" applyBorder="1" applyAlignment="1" applyProtection="1">
      <alignment horizontal="center" vertical="center"/>
      <protection/>
    </xf>
    <xf numFmtId="0" fontId="115" fillId="0" borderId="0" xfId="0" applyFont="1" applyAlignment="1" applyProtection="1">
      <alignment/>
      <protection locked="0"/>
    </xf>
    <xf numFmtId="0" fontId="116" fillId="39" borderId="0" xfId="0" applyFont="1" applyFill="1" applyAlignment="1" applyProtection="1">
      <alignment horizontal="center" vertical="center"/>
      <protection/>
    </xf>
    <xf numFmtId="0" fontId="61" fillId="39" borderId="0" xfId="0" applyFont="1" applyFill="1" applyAlignment="1" applyProtection="1">
      <alignment horizontal="center" vertical="center"/>
      <protection/>
    </xf>
    <xf numFmtId="190" fontId="47" fillId="34" borderId="33" xfId="78" applyNumberFormat="1" applyFont="1" applyFill="1" applyBorder="1" applyAlignment="1" applyProtection="1">
      <alignment vertical="center"/>
      <protection/>
    </xf>
    <xf numFmtId="0" fontId="47" fillId="39" borderId="0" xfId="90" applyFont="1" applyFill="1" applyAlignment="1" applyProtection="1">
      <alignment horizontal="right" vertical="center"/>
      <protection/>
    </xf>
    <xf numFmtId="193" fontId="47" fillId="39" borderId="0" xfId="0" applyNumberFormat="1" applyFont="1" applyFill="1" applyAlignment="1">
      <alignment horizontal="center" vertical="center"/>
    </xf>
    <xf numFmtId="3" fontId="47" fillId="43" borderId="11" xfId="0" applyNumberFormat="1" applyFont="1" applyFill="1" applyBorder="1" applyAlignment="1" applyProtection="1">
      <alignment vertical="center"/>
      <protection/>
    </xf>
    <xf numFmtId="190" fontId="58" fillId="45" borderId="35" xfId="78" applyNumberFormat="1" applyFont="1" applyFill="1" applyBorder="1" applyAlignment="1" applyProtection="1">
      <alignment horizontal="center" vertical="center"/>
      <protection/>
    </xf>
    <xf numFmtId="0" fontId="58" fillId="45" borderId="10" xfId="78" applyFont="1" applyFill="1" applyBorder="1" applyAlignment="1" applyProtection="1">
      <alignment vertical="center"/>
      <protection/>
    </xf>
    <xf numFmtId="0" fontId="47" fillId="45" borderId="18" xfId="78" applyFont="1" applyFill="1" applyBorder="1" applyAlignment="1" applyProtection="1">
      <alignment vertical="center"/>
      <protection/>
    </xf>
    <xf numFmtId="0" fontId="47" fillId="0" borderId="0" xfId="78" applyFont="1">
      <alignment/>
      <protection/>
    </xf>
    <xf numFmtId="184" fontId="47" fillId="39" borderId="33" xfId="0" applyNumberFormat="1" applyFont="1" applyFill="1" applyBorder="1" applyAlignment="1" applyProtection="1">
      <alignment horizontal="center" vertical="center"/>
      <protection/>
    </xf>
    <xf numFmtId="0" fontId="47" fillId="39" borderId="0" xfId="0" applyFont="1" applyFill="1" applyBorder="1" applyAlignment="1" applyProtection="1">
      <alignment horizontal="left" vertical="center"/>
      <protection/>
    </xf>
    <xf numFmtId="0" fontId="60" fillId="39" borderId="0" xfId="0" applyFont="1" applyFill="1" applyBorder="1" applyAlignment="1" applyProtection="1">
      <alignment horizontal="center" vertical="center"/>
      <protection/>
    </xf>
    <xf numFmtId="0" fontId="47" fillId="39" borderId="34" xfId="0" applyFont="1" applyFill="1" applyBorder="1" applyAlignment="1" applyProtection="1">
      <alignment vertical="center"/>
      <protection/>
    </xf>
    <xf numFmtId="184" fontId="47" fillId="43" borderId="35" xfId="0" applyNumberFormat="1" applyFont="1" applyFill="1" applyBorder="1" applyAlignment="1" applyProtection="1">
      <alignment horizontal="center" vertical="center"/>
      <protection/>
    </xf>
    <xf numFmtId="184" fontId="47" fillId="39" borderId="13" xfId="0" applyNumberFormat="1" applyFont="1" applyFill="1" applyBorder="1" applyAlignment="1" applyProtection="1">
      <alignment horizontal="center" vertical="center"/>
      <protection/>
    </xf>
    <xf numFmtId="184" fontId="47" fillId="43" borderId="13" xfId="0" applyNumberFormat="1" applyFont="1" applyFill="1" applyBorder="1" applyAlignment="1" applyProtection="1">
      <alignment horizontal="center" vertical="center"/>
      <protection/>
    </xf>
    <xf numFmtId="0" fontId="47" fillId="39" borderId="10" xfId="0" applyFont="1" applyFill="1" applyBorder="1" applyAlignment="1" applyProtection="1">
      <alignment horizontal="left" vertical="center"/>
      <protection/>
    </xf>
    <xf numFmtId="0" fontId="60" fillId="39" borderId="10" xfId="0" applyFont="1" applyFill="1" applyBorder="1" applyAlignment="1" applyProtection="1">
      <alignment horizontal="center" vertical="center"/>
      <protection/>
    </xf>
    <xf numFmtId="0" fontId="47" fillId="39" borderId="18" xfId="0" applyFont="1" applyFill="1" applyBorder="1" applyAlignment="1" applyProtection="1">
      <alignment vertical="center"/>
      <protection/>
    </xf>
    <xf numFmtId="0" fontId="47" fillId="0" borderId="0" xfId="78" applyFont="1" applyFill="1" applyBorder="1" applyAlignment="1" applyProtection="1">
      <alignment vertical="center"/>
      <protection/>
    </xf>
    <xf numFmtId="190" fontId="58" fillId="0" borderId="0" xfId="78" applyNumberFormat="1" applyFont="1" applyFill="1" applyBorder="1" applyAlignment="1" applyProtection="1">
      <alignment horizontal="center" vertical="center"/>
      <protection/>
    </xf>
    <xf numFmtId="1" fontId="47" fillId="39" borderId="0" xfId="0" applyNumberFormat="1" applyFont="1" applyFill="1" applyBorder="1" applyAlignment="1" applyProtection="1">
      <alignment horizontal="right" vertical="center"/>
      <protection/>
    </xf>
    <xf numFmtId="0" fontId="47" fillId="0" borderId="0" xfId="0" applyFont="1" applyAlignment="1" applyProtection="1">
      <alignment vertical="center"/>
      <protection locked="0"/>
    </xf>
    <xf numFmtId="166" fontId="47" fillId="39" borderId="0" xfId="0" applyNumberFormat="1" applyFont="1" applyFill="1" applyAlignment="1" applyProtection="1">
      <alignment vertical="center"/>
      <protection/>
    </xf>
    <xf numFmtId="37" fontId="47" fillId="39" borderId="0" xfId="0" applyNumberFormat="1" applyFont="1" applyFill="1" applyAlignment="1" applyProtection="1" quotePrefix="1">
      <alignment horizontal="right" vertical="center"/>
      <protection/>
    </xf>
    <xf numFmtId="37" fontId="47" fillId="39" borderId="0" xfId="0" applyNumberFormat="1" applyFont="1" applyFill="1" applyAlignment="1" applyProtection="1">
      <alignment horizontal="fill" vertical="center"/>
      <protection/>
    </xf>
    <xf numFmtId="37" fontId="47" fillId="39" borderId="0" xfId="0" applyNumberFormat="1" applyFont="1" applyFill="1" applyAlignment="1" applyProtection="1">
      <alignment horizontal="left" vertical="center"/>
      <protection/>
    </xf>
    <xf numFmtId="3" fontId="47" fillId="39" borderId="13" xfId="0" applyNumberFormat="1" applyFont="1" applyFill="1" applyBorder="1" applyAlignment="1" applyProtection="1">
      <alignment horizontal="right" vertical="center"/>
      <protection locked="0"/>
    </xf>
    <xf numFmtId="3" fontId="47" fillId="39" borderId="13" xfId="42" applyNumberFormat="1" applyFont="1" applyFill="1" applyBorder="1" applyAlignment="1" applyProtection="1">
      <alignment horizontal="right" vertical="center"/>
      <protection/>
    </xf>
    <xf numFmtId="3" fontId="47" fillId="39" borderId="11" xfId="42" applyNumberFormat="1" applyFont="1" applyFill="1" applyBorder="1" applyAlignment="1" applyProtection="1">
      <alignment horizontal="right" vertical="center"/>
      <protection/>
    </xf>
    <xf numFmtId="37" fontId="47" fillId="39" borderId="35" xfId="0" applyNumberFormat="1" applyFont="1" applyFill="1" applyBorder="1" applyAlignment="1" applyProtection="1">
      <alignment horizontal="left" vertical="center"/>
      <protection/>
    </xf>
    <xf numFmtId="3" fontId="47" fillId="39" borderId="13" xfId="0" applyNumberFormat="1" applyFont="1" applyFill="1" applyBorder="1" applyAlignment="1" applyProtection="1">
      <alignment horizontal="right" vertical="center"/>
      <protection/>
    </xf>
    <xf numFmtId="3" fontId="47" fillId="39" borderId="11" xfId="0" applyNumberFormat="1" applyFont="1" applyFill="1" applyBorder="1" applyAlignment="1" applyProtection="1">
      <alignment horizontal="fill" vertical="center"/>
      <protection/>
    </xf>
    <xf numFmtId="3" fontId="47" fillId="39" borderId="11" xfId="0" applyNumberFormat="1" applyFont="1" applyFill="1" applyBorder="1" applyAlignment="1" applyProtection="1">
      <alignment horizontal="right" vertical="center"/>
      <protection locked="0"/>
    </xf>
    <xf numFmtId="3" fontId="58" fillId="39" borderId="35" xfId="0" applyNumberFormat="1" applyFont="1" applyFill="1" applyBorder="1" applyAlignment="1" applyProtection="1">
      <alignment horizontal="right" vertical="center"/>
      <protection/>
    </xf>
    <xf numFmtId="3" fontId="58" fillId="39" borderId="13" xfId="0" applyNumberFormat="1" applyFont="1" applyFill="1" applyBorder="1" applyAlignment="1" applyProtection="1">
      <alignment horizontal="right" vertical="center"/>
      <protection/>
    </xf>
    <xf numFmtId="3" fontId="58" fillId="39" borderId="17" xfId="0" applyNumberFormat="1" applyFont="1" applyFill="1" applyBorder="1" applyAlignment="1" applyProtection="1">
      <alignment horizontal="right" vertical="center"/>
      <protection/>
    </xf>
    <xf numFmtId="0" fontId="47" fillId="39" borderId="34" xfId="0" applyFont="1" applyFill="1" applyBorder="1" applyAlignment="1" applyProtection="1">
      <alignment vertical="center"/>
      <protection locked="0"/>
    </xf>
    <xf numFmtId="0" fontId="59" fillId="0" borderId="0" xfId="0" applyFont="1" applyAlignment="1" applyProtection="1">
      <alignment vertical="center"/>
      <protection/>
    </xf>
    <xf numFmtId="190" fontId="47" fillId="43" borderId="35" xfId="78" applyNumberFormat="1" applyFont="1" applyFill="1" applyBorder="1" applyAlignment="1" applyProtection="1">
      <alignment horizontal="center" vertical="center"/>
      <protection/>
    </xf>
    <xf numFmtId="0" fontId="47" fillId="45" borderId="10" xfId="78" applyFont="1" applyFill="1" applyBorder="1" applyAlignment="1" applyProtection="1">
      <alignment vertical="center"/>
      <protection/>
    </xf>
    <xf numFmtId="0" fontId="47" fillId="43" borderId="18" xfId="0" applyFont="1" applyFill="1" applyBorder="1" applyAlignment="1" applyProtection="1">
      <alignment vertical="center"/>
      <protection locked="0"/>
    </xf>
    <xf numFmtId="37" fontId="47" fillId="0" borderId="0" xfId="0" applyNumberFormat="1" applyFont="1" applyFill="1" applyAlignment="1" applyProtection="1">
      <alignment horizontal="right" vertical="center"/>
      <protection/>
    </xf>
    <xf numFmtId="0" fontId="47" fillId="0" borderId="0" xfId="0" applyFont="1" applyFill="1" applyAlignment="1" applyProtection="1">
      <alignment vertical="center"/>
      <protection/>
    </xf>
    <xf numFmtId="0" fontId="47" fillId="0" borderId="0" xfId="0" applyFont="1" applyFill="1" applyAlignment="1" applyProtection="1">
      <alignment horizontal="right" vertical="center"/>
      <protection/>
    </xf>
    <xf numFmtId="0" fontId="47" fillId="0" borderId="0" xfId="0" applyFont="1" applyFill="1" applyAlignment="1" applyProtection="1">
      <alignment horizontal="left" vertical="center"/>
      <protection locked="0"/>
    </xf>
    <xf numFmtId="0" fontId="7" fillId="0" borderId="0" xfId="0" applyFont="1" applyAlignment="1">
      <alignment vertical="center"/>
    </xf>
    <xf numFmtId="0" fontId="47" fillId="39" borderId="11" xfId="0" applyFont="1" applyFill="1" applyBorder="1" applyAlignment="1" applyProtection="1">
      <alignment vertical="center"/>
      <protection/>
    </xf>
    <xf numFmtId="0" fontId="7" fillId="39" borderId="33" xfId="0" applyFont="1" applyFill="1" applyBorder="1" applyAlignment="1" applyProtection="1">
      <alignment vertical="center"/>
      <protection/>
    </xf>
    <xf numFmtId="0" fontId="7" fillId="39" borderId="0" xfId="0" applyFont="1" applyFill="1" applyBorder="1" applyAlignment="1" applyProtection="1">
      <alignment vertical="center"/>
      <protection/>
    </xf>
    <xf numFmtId="190" fontId="7" fillId="39" borderId="34" xfId="0" applyNumberFormat="1" applyFont="1" applyFill="1" applyBorder="1" applyAlignment="1" applyProtection="1">
      <alignment horizontal="center" vertical="center"/>
      <protection/>
    </xf>
    <xf numFmtId="0" fontId="7" fillId="39" borderId="33" xfId="0" applyFont="1" applyFill="1" applyBorder="1" applyAlignment="1" applyProtection="1">
      <alignment horizontal="left" vertical="center"/>
      <protection/>
    </xf>
    <xf numFmtId="190" fontId="7" fillId="41" borderId="11" xfId="0" applyNumberFormat="1" applyFont="1" applyFill="1" applyBorder="1" applyAlignment="1" applyProtection="1">
      <alignment horizontal="center" vertical="center"/>
      <protection locked="0"/>
    </xf>
    <xf numFmtId="184" fontId="14" fillId="39" borderId="15" xfId="0" applyNumberFormat="1" applyFont="1" applyFill="1" applyBorder="1" applyAlignment="1" applyProtection="1">
      <alignment horizontal="center" vertical="center"/>
      <protection/>
    </xf>
    <xf numFmtId="0" fontId="14" fillId="43" borderId="33" xfId="0" applyFont="1" applyFill="1" applyBorder="1" applyAlignment="1" applyProtection="1">
      <alignment vertical="center"/>
      <protection/>
    </xf>
    <xf numFmtId="0" fontId="7" fillId="43" borderId="0" xfId="0" applyFont="1" applyFill="1" applyBorder="1" applyAlignment="1" applyProtection="1">
      <alignment vertical="center"/>
      <protection/>
    </xf>
    <xf numFmtId="190" fontId="14" fillId="43" borderId="15" xfId="0" applyNumberFormat="1" applyFont="1" applyFill="1" applyBorder="1" applyAlignment="1" applyProtection="1">
      <alignment horizontal="center" vertical="center"/>
      <protection/>
    </xf>
    <xf numFmtId="37" fontId="7" fillId="34" borderId="35" xfId="0" applyNumberFormat="1" applyFont="1" applyFill="1" applyBorder="1" applyAlignment="1" applyProtection="1">
      <alignment horizontal="left" vertical="center"/>
      <protection/>
    </xf>
    <xf numFmtId="0" fontId="63" fillId="39" borderId="10" xfId="0" applyFont="1" applyFill="1" applyBorder="1" applyAlignment="1">
      <alignment horizontal="left" vertical="center"/>
    </xf>
    <xf numFmtId="190" fontId="14" fillId="43" borderId="18" xfId="0" applyNumberFormat="1" applyFont="1" applyFill="1" applyBorder="1" applyAlignment="1" applyProtection="1">
      <alignment horizontal="center" vertical="center"/>
      <protection locked="0"/>
    </xf>
    <xf numFmtId="37" fontId="7" fillId="34" borderId="34" xfId="0" applyNumberFormat="1" applyFont="1" applyFill="1" applyBorder="1" applyAlignment="1" applyProtection="1">
      <alignment horizontal="right" vertical="center"/>
      <protection/>
    </xf>
    <xf numFmtId="190" fontId="7" fillId="39" borderId="33" xfId="0" applyNumberFormat="1" applyFont="1" applyFill="1" applyBorder="1" applyAlignment="1" applyProtection="1">
      <alignment horizontal="center" vertical="center"/>
      <protection/>
    </xf>
    <xf numFmtId="0" fontId="7" fillId="39" borderId="0" xfId="0" applyFont="1" applyFill="1" applyBorder="1" applyAlignment="1" applyProtection="1">
      <alignment horizontal="left" vertical="center"/>
      <protection/>
    </xf>
    <xf numFmtId="0" fontId="7" fillId="39" borderId="34" xfId="0" applyFont="1" applyFill="1" applyBorder="1" applyAlignment="1" applyProtection="1">
      <alignment vertical="center"/>
      <protection/>
    </xf>
    <xf numFmtId="0" fontId="64" fillId="0" borderId="0" xfId="0" applyFont="1" applyAlignment="1">
      <alignment vertical="center"/>
    </xf>
    <xf numFmtId="190" fontId="7" fillId="39" borderId="35" xfId="0" applyNumberFormat="1" applyFont="1" applyFill="1" applyBorder="1" applyAlignment="1" applyProtection="1">
      <alignment horizontal="center" vertical="center"/>
      <protection/>
    </xf>
    <xf numFmtId="0" fontId="117" fillId="0" borderId="0" xfId="0" applyFont="1" applyAlignment="1" applyProtection="1">
      <alignment/>
      <protection locked="0"/>
    </xf>
    <xf numFmtId="190" fontId="7" fillId="39" borderId="33" xfId="0" applyNumberFormat="1" applyFont="1" applyFill="1" applyBorder="1" applyAlignment="1" applyProtection="1">
      <alignment vertical="center"/>
      <protection/>
    </xf>
    <xf numFmtId="0" fontId="7" fillId="39" borderId="34" xfId="0" applyFont="1" applyFill="1" applyBorder="1" applyAlignment="1" applyProtection="1">
      <alignment/>
      <protection locked="0"/>
    </xf>
    <xf numFmtId="190" fontId="7" fillId="43" borderId="35" xfId="0" applyNumberFormat="1" applyFont="1" applyFill="1" applyBorder="1" applyAlignment="1" applyProtection="1">
      <alignment horizontal="center" vertical="center"/>
      <protection/>
    </xf>
    <xf numFmtId="0" fontId="7" fillId="43" borderId="10" xfId="0" applyFont="1" applyFill="1" applyBorder="1" applyAlignment="1" applyProtection="1">
      <alignment vertical="center"/>
      <protection/>
    </xf>
    <xf numFmtId="0" fontId="7" fillId="43" borderId="18" xfId="0" applyFont="1" applyFill="1" applyBorder="1" applyAlignment="1" applyProtection="1">
      <alignment vertical="center"/>
      <protection/>
    </xf>
    <xf numFmtId="37" fontId="7" fillId="43" borderId="18" xfId="0" applyNumberFormat="1" applyFont="1" applyFill="1" applyBorder="1" applyAlignment="1" applyProtection="1">
      <alignment horizontal="right" vertical="center"/>
      <protection/>
    </xf>
    <xf numFmtId="0" fontId="7" fillId="0" borderId="0" xfId="0" applyFont="1" applyAlignment="1" applyProtection="1">
      <alignment/>
      <protection locked="0"/>
    </xf>
    <xf numFmtId="0" fontId="47" fillId="0" borderId="0" xfId="0" applyFont="1" applyFill="1" applyAlignment="1">
      <alignment vertical="center"/>
    </xf>
    <xf numFmtId="0" fontId="47" fillId="0" borderId="33" xfId="0" applyFont="1" applyFill="1" applyBorder="1" applyAlignment="1" applyProtection="1">
      <alignment vertical="center"/>
      <protection/>
    </xf>
    <xf numFmtId="0" fontId="47" fillId="0" borderId="0" xfId="0" applyFont="1" applyFill="1" applyBorder="1" applyAlignment="1" applyProtection="1">
      <alignment vertical="center"/>
      <protection/>
    </xf>
    <xf numFmtId="190" fontId="47" fillId="0" borderId="34" xfId="0" applyNumberFormat="1" applyFont="1" applyFill="1" applyBorder="1" applyAlignment="1" applyProtection="1">
      <alignment horizontal="center" vertical="center"/>
      <protection/>
    </xf>
    <xf numFmtId="0" fontId="47" fillId="0" borderId="33" xfId="0" applyFont="1" applyFill="1" applyBorder="1" applyAlignment="1" applyProtection="1">
      <alignment horizontal="left" vertical="center"/>
      <protection/>
    </xf>
    <xf numFmtId="190" fontId="47" fillId="0" borderId="11" xfId="0" applyNumberFormat="1" applyFont="1" applyFill="1" applyBorder="1" applyAlignment="1" applyProtection="1">
      <alignment horizontal="center" vertical="center"/>
      <protection locked="0"/>
    </xf>
    <xf numFmtId="184" fontId="58" fillId="0" borderId="15" xfId="0" applyNumberFormat="1" applyFont="1" applyFill="1" applyBorder="1" applyAlignment="1" applyProtection="1">
      <alignment horizontal="center" vertical="center"/>
      <protection/>
    </xf>
    <xf numFmtId="0" fontId="58" fillId="0" borderId="33" xfId="0" applyFont="1" applyFill="1" applyBorder="1" applyAlignment="1" applyProtection="1">
      <alignment vertical="center"/>
      <protection/>
    </xf>
    <xf numFmtId="190" fontId="58" fillId="0" borderId="15" xfId="0" applyNumberFormat="1" applyFont="1" applyFill="1" applyBorder="1" applyAlignment="1" applyProtection="1">
      <alignment horizontal="center" vertical="center"/>
      <protection/>
    </xf>
    <xf numFmtId="37" fontId="47" fillId="0" borderId="35" xfId="0" applyNumberFormat="1" applyFont="1" applyFill="1" applyBorder="1" applyAlignment="1" applyProtection="1">
      <alignment horizontal="left" vertical="center"/>
      <protection/>
    </xf>
    <xf numFmtId="0" fontId="47" fillId="0" borderId="10" xfId="0" applyFont="1" applyFill="1" applyBorder="1" applyAlignment="1">
      <alignment horizontal="left" vertical="center"/>
    </xf>
    <xf numFmtId="190" fontId="58" fillId="0" borderId="18" xfId="0" applyNumberFormat="1" applyFont="1" applyFill="1" applyBorder="1" applyAlignment="1" applyProtection="1">
      <alignment horizontal="center" vertical="center"/>
      <protection locked="0"/>
    </xf>
    <xf numFmtId="0" fontId="47" fillId="0" borderId="0" xfId="0" applyFont="1" applyFill="1" applyAlignment="1" applyProtection="1">
      <alignment/>
      <protection locked="0"/>
    </xf>
    <xf numFmtId="37" fontId="47" fillId="0" borderId="34" xfId="0" applyNumberFormat="1" applyFont="1" applyFill="1" applyBorder="1" applyAlignment="1" applyProtection="1">
      <alignment horizontal="right" vertical="center"/>
      <protection/>
    </xf>
    <xf numFmtId="190" fontId="47" fillId="0" borderId="33" xfId="0" applyNumberFormat="1" applyFont="1" applyFill="1" applyBorder="1" applyAlignment="1" applyProtection="1">
      <alignment horizontal="center" vertical="center"/>
      <protection/>
    </xf>
    <xf numFmtId="0" fontId="47" fillId="0" borderId="0" xfId="0" applyFont="1" applyFill="1" applyBorder="1" applyAlignment="1" applyProtection="1">
      <alignment horizontal="left" vertical="center"/>
      <protection/>
    </xf>
    <xf numFmtId="0" fontId="47" fillId="0" borderId="34" xfId="0" applyFont="1" applyFill="1" applyBorder="1" applyAlignment="1" applyProtection="1">
      <alignment vertical="center"/>
      <protection/>
    </xf>
    <xf numFmtId="0" fontId="59" fillId="0" borderId="0" xfId="0" applyFont="1" applyFill="1" applyAlignment="1">
      <alignment vertical="center"/>
    </xf>
    <xf numFmtId="190" fontId="47" fillId="0" borderId="35" xfId="0" applyNumberFormat="1" applyFont="1" applyFill="1" applyBorder="1" applyAlignment="1" applyProtection="1">
      <alignment horizontal="center" vertical="center"/>
      <protection/>
    </xf>
    <xf numFmtId="190" fontId="47" fillId="0" borderId="33" xfId="0" applyNumberFormat="1" applyFont="1" applyFill="1" applyBorder="1" applyAlignment="1" applyProtection="1">
      <alignment vertical="center"/>
      <protection/>
    </xf>
    <xf numFmtId="0" fontId="47" fillId="0" borderId="34" xfId="0" applyFont="1" applyFill="1" applyBorder="1" applyAlignment="1" applyProtection="1">
      <alignment/>
      <protection locked="0"/>
    </xf>
    <xf numFmtId="0" fontId="47" fillId="0" borderId="10" xfId="0" applyFont="1" applyFill="1" applyBorder="1" applyAlignment="1" applyProtection="1">
      <alignment vertical="center"/>
      <protection/>
    </xf>
    <xf numFmtId="0" fontId="47" fillId="0" borderId="18" xfId="0" applyFont="1" applyFill="1" applyBorder="1" applyAlignment="1" applyProtection="1">
      <alignment vertical="center"/>
      <protection/>
    </xf>
    <xf numFmtId="37" fontId="47" fillId="0" borderId="18" xfId="0" applyNumberFormat="1" applyFont="1" applyFill="1" applyBorder="1" applyAlignment="1" applyProtection="1">
      <alignment horizontal="right" vertical="center"/>
      <protection/>
    </xf>
    <xf numFmtId="3" fontId="7" fillId="45" borderId="11" xfId="0" applyNumberFormat="1" applyFont="1" applyFill="1" applyBorder="1" applyAlignment="1" applyProtection="1">
      <alignment vertical="center"/>
      <protection/>
    </xf>
    <xf numFmtId="0" fontId="7" fillId="0" borderId="0" xfId="0" applyFont="1" applyFill="1" applyAlignment="1">
      <alignment vertical="center"/>
    </xf>
    <xf numFmtId="0" fontId="51" fillId="0" borderId="0" xfId="0" applyFont="1" applyAlignment="1">
      <alignment vertical="center"/>
    </xf>
    <xf numFmtId="0" fontId="51" fillId="0" borderId="0" xfId="0" applyFont="1" applyFill="1" applyAlignment="1" applyProtection="1">
      <alignment horizontal="left" vertical="center"/>
      <protection locked="0"/>
    </xf>
    <xf numFmtId="0" fontId="47" fillId="0" borderId="0" xfId="0" applyFont="1" applyFill="1" applyBorder="1" applyAlignment="1">
      <alignment vertical="center"/>
    </xf>
    <xf numFmtId="184" fontId="47" fillId="0" borderId="0" xfId="0" applyNumberFormat="1" applyFont="1" applyFill="1" applyBorder="1" applyAlignment="1" applyProtection="1">
      <alignment horizontal="center" vertical="center"/>
      <protection/>
    </xf>
    <xf numFmtId="0" fontId="60" fillId="0" borderId="0" xfId="0" applyFont="1" applyFill="1" applyBorder="1" applyAlignment="1" applyProtection="1">
      <alignment horizontal="center" vertical="center"/>
      <protection/>
    </xf>
    <xf numFmtId="37" fontId="58" fillId="39" borderId="10" xfId="0" applyNumberFormat="1" applyFont="1" applyFill="1" applyBorder="1" applyAlignment="1" applyProtection="1">
      <alignment vertical="center"/>
      <protection/>
    </xf>
    <xf numFmtId="0" fontId="47" fillId="0" borderId="0" xfId="0" applyFont="1" applyFill="1" applyBorder="1" applyAlignment="1" applyProtection="1">
      <alignment/>
      <protection locked="0"/>
    </xf>
    <xf numFmtId="0" fontId="47" fillId="0" borderId="0" xfId="0" applyFont="1" applyAlignment="1" applyProtection="1">
      <alignment/>
      <protection locked="0"/>
    </xf>
    <xf numFmtId="0" fontId="47" fillId="39" borderId="33" xfId="0" applyFont="1" applyFill="1" applyBorder="1" applyAlignment="1" applyProtection="1">
      <alignment vertical="center"/>
      <protection/>
    </xf>
    <xf numFmtId="0" fontId="47" fillId="39" borderId="0" xfId="0" applyFont="1" applyFill="1" applyBorder="1" applyAlignment="1" applyProtection="1">
      <alignment vertical="center"/>
      <protection/>
    </xf>
    <xf numFmtId="190" fontId="47" fillId="39" borderId="34" xfId="0" applyNumberFormat="1" applyFont="1" applyFill="1" applyBorder="1" applyAlignment="1" applyProtection="1">
      <alignment horizontal="center" vertical="center"/>
      <protection/>
    </xf>
    <xf numFmtId="0" fontId="47" fillId="39" borderId="33" xfId="0" applyFont="1" applyFill="1" applyBorder="1" applyAlignment="1" applyProtection="1">
      <alignment horizontal="left" vertical="center"/>
      <protection/>
    </xf>
    <xf numFmtId="190" fontId="47" fillId="41" borderId="11" xfId="0" applyNumberFormat="1" applyFont="1" applyFill="1" applyBorder="1" applyAlignment="1" applyProtection="1">
      <alignment horizontal="center" vertical="center"/>
      <protection locked="0"/>
    </xf>
    <xf numFmtId="184" fontId="58" fillId="39" borderId="15" xfId="0" applyNumberFormat="1" applyFont="1" applyFill="1" applyBorder="1" applyAlignment="1" applyProtection="1">
      <alignment horizontal="center" vertical="center"/>
      <protection/>
    </xf>
    <xf numFmtId="0" fontId="58" fillId="43" borderId="33" xfId="0" applyFont="1" applyFill="1" applyBorder="1" applyAlignment="1" applyProtection="1">
      <alignment vertical="center"/>
      <protection/>
    </xf>
    <xf numFmtId="0" fontId="47" fillId="43" borderId="0" xfId="0" applyFont="1" applyFill="1" applyBorder="1" applyAlignment="1" applyProtection="1">
      <alignment vertical="center"/>
      <protection/>
    </xf>
    <xf numFmtId="190" fontId="58" fillId="43" borderId="15" xfId="0" applyNumberFormat="1" applyFont="1" applyFill="1" applyBorder="1" applyAlignment="1" applyProtection="1">
      <alignment horizontal="center" vertical="center"/>
      <protection/>
    </xf>
    <xf numFmtId="0" fontId="47" fillId="39" borderId="10" xfId="0" applyFont="1" applyFill="1" applyBorder="1" applyAlignment="1">
      <alignment horizontal="left" vertical="center"/>
    </xf>
    <xf numFmtId="190" fontId="58" fillId="43" borderId="18" xfId="0" applyNumberFormat="1" applyFont="1" applyFill="1" applyBorder="1" applyAlignment="1" applyProtection="1">
      <alignment horizontal="center" vertical="center"/>
      <protection locked="0"/>
    </xf>
    <xf numFmtId="0" fontId="47" fillId="39" borderId="34" xfId="0" applyFont="1" applyFill="1" applyBorder="1" applyAlignment="1" applyProtection="1">
      <alignment/>
      <protection locked="0"/>
    </xf>
    <xf numFmtId="190" fontId="47" fillId="39" borderId="33" xfId="0" applyNumberFormat="1" applyFont="1" applyFill="1" applyBorder="1" applyAlignment="1" applyProtection="1">
      <alignment horizontal="center" vertical="center"/>
      <protection/>
    </xf>
    <xf numFmtId="190" fontId="47" fillId="39" borderId="35" xfId="0" applyNumberFormat="1" applyFont="1" applyFill="1" applyBorder="1" applyAlignment="1" applyProtection="1">
      <alignment horizontal="center" vertical="center"/>
      <protection/>
    </xf>
    <xf numFmtId="0" fontId="116" fillId="39" borderId="0" xfId="0" applyFont="1" applyFill="1" applyBorder="1" applyAlignment="1" applyProtection="1">
      <alignment horizontal="center" vertical="center"/>
      <protection/>
    </xf>
    <xf numFmtId="190" fontId="47" fillId="39" borderId="33" xfId="0" applyNumberFormat="1" applyFont="1" applyFill="1" applyBorder="1" applyAlignment="1" applyProtection="1">
      <alignment vertical="center"/>
      <protection/>
    </xf>
    <xf numFmtId="190" fontId="47" fillId="43" borderId="35" xfId="0" applyNumberFormat="1" applyFont="1" applyFill="1" applyBorder="1" applyAlignment="1" applyProtection="1">
      <alignment horizontal="center" vertical="center"/>
      <protection/>
    </xf>
    <xf numFmtId="0" fontId="47" fillId="43" borderId="10" xfId="0" applyFont="1" applyFill="1" applyBorder="1" applyAlignment="1" applyProtection="1">
      <alignment vertical="center"/>
      <protection/>
    </xf>
    <xf numFmtId="0" fontId="47" fillId="43" borderId="18" xfId="0" applyFont="1" applyFill="1" applyBorder="1" applyAlignment="1" applyProtection="1">
      <alignment vertical="center"/>
      <protection/>
    </xf>
    <xf numFmtId="0" fontId="47" fillId="43" borderId="18" xfId="0" applyFont="1" applyFill="1" applyBorder="1" applyAlignment="1" applyProtection="1">
      <alignment/>
      <protection locked="0"/>
    </xf>
    <xf numFmtId="37" fontId="47" fillId="34" borderId="34" xfId="0" applyNumberFormat="1" applyFont="1" applyFill="1" applyBorder="1" applyAlignment="1" applyProtection="1">
      <alignment horizontal="right" vertical="center"/>
      <protection/>
    </xf>
    <xf numFmtId="0" fontId="47" fillId="39" borderId="11" xfId="0" applyFont="1" applyFill="1" applyBorder="1" applyAlignment="1" applyProtection="1">
      <alignment vertical="center"/>
      <protection locked="0"/>
    </xf>
    <xf numFmtId="37" fontId="47" fillId="43" borderId="18" xfId="0" applyNumberFormat="1" applyFont="1" applyFill="1" applyBorder="1" applyAlignment="1" applyProtection="1">
      <alignment horizontal="right" vertical="center"/>
      <protection/>
    </xf>
    <xf numFmtId="0" fontId="47" fillId="39" borderId="13" xfId="0" applyFont="1" applyFill="1" applyBorder="1" applyAlignment="1" applyProtection="1">
      <alignment/>
      <protection/>
    </xf>
    <xf numFmtId="0" fontId="47" fillId="0" borderId="0" xfId="0" applyFont="1" applyFill="1" applyBorder="1" applyAlignment="1" applyProtection="1">
      <alignment horizontal="right" vertical="center"/>
      <protection/>
    </xf>
    <xf numFmtId="0" fontId="47" fillId="0" borderId="0" xfId="0" applyFont="1" applyFill="1" applyBorder="1" applyAlignment="1" applyProtection="1">
      <alignment horizontal="left" vertical="center"/>
      <protection locked="0"/>
    </xf>
    <xf numFmtId="3" fontId="47" fillId="43" borderId="16" xfId="0" applyNumberFormat="1" applyFont="1" applyFill="1" applyBorder="1" applyAlignment="1" applyProtection="1">
      <alignment vertical="center"/>
      <protection/>
    </xf>
    <xf numFmtId="184" fontId="17" fillId="39" borderId="0" xfId="0" applyNumberFormat="1" applyFont="1" applyFill="1" applyBorder="1" applyAlignment="1" applyProtection="1">
      <alignment horizontal="center" vertical="center"/>
      <protection/>
    </xf>
    <xf numFmtId="0" fontId="0" fillId="39" borderId="0" xfId="0" applyFill="1" applyBorder="1" applyAlignment="1" applyProtection="1">
      <alignment vertical="center"/>
      <protection/>
    </xf>
    <xf numFmtId="37" fontId="47" fillId="46" borderId="13" xfId="0" applyNumberFormat="1" applyFont="1" applyFill="1" applyBorder="1" applyAlignment="1" applyProtection="1">
      <alignment horizontal="left"/>
      <protection/>
    </xf>
    <xf numFmtId="3" fontId="47" fillId="46" borderId="13" xfId="0" applyNumberFormat="1" applyFont="1" applyFill="1" applyBorder="1" applyAlignment="1" applyProtection="1">
      <alignment vertical="center"/>
      <protection locked="0"/>
    </xf>
    <xf numFmtId="3" fontId="47" fillId="46" borderId="11" xfId="0" applyNumberFormat="1"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xf>
    <xf numFmtId="37" fontId="47" fillId="34" borderId="13" xfId="0" applyNumberFormat="1" applyFont="1" applyFill="1" applyBorder="1" applyAlignment="1" applyProtection="1">
      <alignment/>
      <protection locked="0"/>
    </xf>
    <xf numFmtId="37" fontId="47" fillId="39" borderId="13" xfId="0" applyNumberFormat="1" applyFont="1" applyFill="1" applyBorder="1" applyAlignment="1" applyProtection="1">
      <alignment/>
      <protection locked="0"/>
    </xf>
    <xf numFmtId="0" fontId="51" fillId="34" borderId="0" xfId="0" applyFont="1" applyFill="1" applyAlignment="1" applyProtection="1">
      <alignment vertical="center"/>
      <protection/>
    </xf>
    <xf numFmtId="3" fontId="47" fillId="39" borderId="15" xfId="0" applyNumberFormat="1" applyFont="1" applyFill="1" applyBorder="1" applyAlignment="1" applyProtection="1">
      <alignment vertical="center"/>
      <protection locked="0"/>
    </xf>
    <xf numFmtId="3" fontId="59" fillId="43" borderId="16" xfId="0" applyNumberFormat="1" applyFont="1" applyFill="1" applyBorder="1" applyAlignment="1" applyProtection="1">
      <alignment horizontal="center" vertical="center"/>
      <protection/>
    </xf>
    <xf numFmtId="3" fontId="59" fillId="43" borderId="19" xfId="0" applyNumberFormat="1" applyFont="1" applyFill="1" applyBorder="1" applyAlignment="1" applyProtection="1">
      <alignment horizontal="center" vertical="center"/>
      <protection/>
    </xf>
    <xf numFmtId="3" fontId="61" fillId="39" borderId="11" xfId="0" applyNumberFormat="1" applyFont="1" applyFill="1" applyBorder="1" applyAlignment="1" applyProtection="1">
      <alignment horizontal="center" vertical="center"/>
      <protection/>
    </xf>
    <xf numFmtId="3" fontId="47" fillId="39" borderId="0" xfId="0" applyNumberFormat="1" applyFont="1" applyFill="1" applyAlignment="1" applyProtection="1">
      <alignment vertical="center"/>
      <protection/>
    </xf>
    <xf numFmtId="37" fontId="47" fillId="34" borderId="13" xfId="0" applyNumberFormat="1" applyFont="1" applyFill="1" applyBorder="1" applyAlignment="1" applyProtection="1">
      <alignment horizontal="left"/>
      <protection locked="0"/>
    </xf>
    <xf numFmtId="3" fontId="47" fillId="39" borderId="16" xfId="0" applyNumberFormat="1" applyFont="1" applyFill="1" applyBorder="1" applyAlignment="1" applyProtection="1">
      <alignment horizontal="center" vertical="center"/>
      <protection/>
    </xf>
    <xf numFmtId="0" fontId="61" fillId="39" borderId="16" xfId="0" applyFont="1" applyFill="1" applyBorder="1" applyAlignment="1" applyProtection="1">
      <alignment horizontal="center" vertical="center"/>
      <protection/>
    </xf>
    <xf numFmtId="0" fontId="61" fillId="0" borderId="0" xfId="0" applyFont="1" applyFill="1" applyBorder="1" applyAlignment="1" applyProtection="1">
      <alignment horizontal="center" vertical="center"/>
      <protection/>
    </xf>
    <xf numFmtId="37" fontId="47" fillId="39" borderId="11" xfId="0" applyNumberFormat="1" applyFont="1" applyFill="1" applyBorder="1" applyAlignment="1" applyProtection="1">
      <alignment/>
      <protection locked="0"/>
    </xf>
    <xf numFmtId="0" fontId="51" fillId="39" borderId="35" xfId="0" applyFont="1" applyFill="1" applyBorder="1" applyAlignment="1" applyProtection="1">
      <alignment/>
      <protection locked="0"/>
    </xf>
    <xf numFmtId="0" fontId="51" fillId="39" borderId="11" xfId="0" applyFont="1" applyFill="1" applyBorder="1" applyAlignment="1" applyProtection="1">
      <alignment vertical="center"/>
      <protection locked="0"/>
    </xf>
    <xf numFmtId="37" fontId="51" fillId="34" borderId="0" xfId="0" applyNumberFormat="1" applyFont="1" applyFill="1" applyAlignment="1">
      <alignment vertical="center"/>
    </xf>
    <xf numFmtId="0" fontId="51" fillId="34" borderId="0" xfId="0" applyFont="1" applyFill="1" applyAlignment="1">
      <alignment horizontal="center" vertical="center"/>
    </xf>
    <xf numFmtId="0" fontId="51" fillId="34" borderId="0" xfId="0" applyFont="1" applyFill="1" applyAlignment="1">
      <alignment vertical="center"/>
    </xf>
    <xf numFmtId="0" fontId="55" fillId="34" borderId="0" xfId="0" applyFont="1" applyFill="1" applyAlignment="1">
      <alignment horizontal="center" vertical="center"/>
    </xf>
    <xf numFmtId="0" fontId="66" fillId="34" borderId="0" xfId="0" applyFont="1" applyFill="1" applyAlignment="1">
      <alignment horizontal="center" vertical="center"/>
    </xf>
    <xf numFmtId="0" fontId="51" fillId="34" borderId="15" xfId="0" applyFont="1" applyFill="1" applyBorder="1" applyAlignment="1">
      <alignment horizontal="center" vertical="center"/>
    </xf>
    <xf numFmtId="0" fontId="51" fillId="34" borderId="10" xfId="0" applyFont="1" applyFill="1" applyBorder="1" applyAlignment="1">
      <alignment vertical="center"/>
    </xf>
    <xf numFmtId="0" fontId="51" fillId="34" borderId="16" xfId="0" applyFont="1" applyFill="1" applyBorder="1" applyAlignment="1">
      <alignment vertical="center"/>
    </xf>
    <xf numFmtId="0" fontId="51" fillId="34" borderId="19" xfId="0" applyFont="1" applyFill="1" applyBorder="1" applyAlignment="1">
      <alignment vertical="center"/>
    </xf>
    <xf numFmtId="0" fontId="51" fillId="34" borderId="11" xfId="0" applyFont="1" applyFill="1" applyBorder="1" applyAlignment="1">
      <alignment horizontal="center" vertical="center"/>
    </xf>
    <xf numFmtId="0" fontId="51" fillId="34" borderId="15" xfId="0" applyFont="1" applyFill="1" applyBorder="1" applyAlignment="1">
      <alignment vertical="center"/>
    </xf>
    <xf numFmtId="0" fontId="51" fillId="34" borderId="35" xfId="0" applyFont="1" applyFill="1" applyBorder="1" applyAlignment="1">
      <alignment vertical="center"/>
    </xf>
    <xf numFmtId="3" fontId="51" fillId="33" borderId="11" xfId="0" applyNumberFormat="1" applyFont="1" applyFill="1" applyBorder="1" applyAlignment="1" applyProtection="1">
      <alignment horizontal="center" vertical="center"/>
      <protection locked="0"/>
    </xf>
    <xf numFmtId="3" fontId="51" fillId="35" borderId="11" xfId="0" applyNumberFormat="1" applyFont="1" applyFill="1" applyBorder="1" applyAlignment="1">
      <alignment horizontal="center" vertical="center"/>
    </xf>
    <xf numFmtId="3" fontId="51" fillId="35" borderId="17" xfId="0" applyNumberFormat="1" applyFont="1" applyFill="1" applyBorder="1" applyAlignment="1">
      <alignment horizontal="center" vertical="center"/>
    </xf>
    <xf numFmtId="3" fontId="55" fillId="45" borderId="11" xfId="0" applyNumberFormat="1" applyFont="1" applyFill="1" applyBorder="1" applyAlignment="1">
      <alignment horizontal="center" vertical="center"/>
    </xf>
    <xf numFmtId="3" fontId="65" fillId="45" borderId="0" xfId="0" applyNumberFormat="1" applyFont="1" applyFill="1" applyAlignment="1">
      <alignment horizontal="center" vertical="center"/>
    </xf>
    <xf numFmtId="0" fontId="51" fillId="37" borderId="0" xfId="0" applyFont="1" applyFill="1" applyAlignment="1">
      <alignment vertical="center"/>
    </xf>
    <xf numFmtId="0" fontId="51" fillId="34" borderId="0" xfId="0" applyFont="1" applyFill="1" applyAlignment="1">
      <alignment horizontal="right" vertical="center"/>
    </xf>
    <xf numFmtId="3" fontId="51" fillId="39" borderId="11" xfId="0" applyNumberFormat="1" applyFont="1" applyFill="1" applyBorder="1" applyAlignment="1" applyProtection="1">
      <alignment horizontal="center" vertical="center"/>
      <protection locked="0"/>
    </xf>
    <xf numFmtId="0" fontId="51" fillId="39" borderId="0" xfId="0" applyFont="1" applyFill="1" applyAlignment="1">
      <alignment horizontal="center" vertical="center"/>
    </xf>
    <xf numFmtId="0" fontId="51" fillId="39" borderId="19" xfId="0" applyFont="1" applyFill="1" applyBorder="1" applyAlignment="1" applyProtection="1">
      <alignment vertical="center"/>
      <protection locked="0"/>
    </xf>
    <xf numFmtId="0" fontId="51" fillId="39" borderId="0" xfId="0" applyFont="1" applyFill="1" applyAlignment="1" applyProtection="1">
      <alignment vertical="center"/>
      <protection locked="0"/>
    </xf>
    <xf numFmtId="0" fontId="51" fillId="39" borderId="15" xfId="0" applyFont="1" applyFill="1" applyBorder="1" applyAlignment="1" applyProtection="1">
      <alignment vertical="center"/>
      <protection locked="0"/>
    </xf>
    <xf numFmtId="0" fontId="51" fillId="39" borderId="34" xfId="0" applyFont="1" applyFill="1" applyBorder="1" applyAlignment="1" applyProtection="1">
      <alignment vertical="center"/>
      <protection locked="0"/>
    </xf>
    <xf numFmtId="0" fontId="51" fillId="39" borderId="10" xfId="0" applyFont="1" applyFill="1" applyBorder="1" applyAlignment="1" applyProtection="1">
      <alignment/>
      <protection locked="0"/>
    </xf>
    <xf numFmtId="0" fontId="51" fillId="0" borderId="0" xfId="0" applyFont="1" applyFill="1" applyAlignment="1">
      <alignment vertical="center"/>
    </xf>
    <xf numFmtId="0" fontId="51" fillId="0" borderId="0" xfId="0" applyFont="1" applyFill="1" applyAlignment="1">
      <alignment horizontal="right" vertical="center"/>
    </xf>
    <xf numFmtId="0" fontId="51" fillId="34" borderId="11" xfId="0" applyFont="1" applyFill="1" applyBorder="1" applyAlignment="1" applyProtection="1">
      <alignment horizontal="center" vertical="center"/>
      <protection/>
    </xf>
    <xf numFmtId="37" fontId="51" fillId="34" borderId="0" xfId="0" applyNumberFormat="1" applyFont="1" applyFill="1" applyAlignment="1" applyProtection="1">
      <alignment horizontal="right" vertical="center"/>
      <protection/>
    </xf>
    <xf numFmtId="0" fontId="51" fillId="0" borderId="0" xfId="0" applyFont="1" applyAlignment="1" applyProtection="1">
      <alignment vertical="center"/>
      <protection locked="0"/>
    </xf>
    <xf numFmtId="37" fontId="47" fillId="34" borderId="36" xfId="0" applyNumberFormat="1" applyFont="1" applyFill="1" applyBorder="1" applyAlignment="1" applyProtection="1">
      <alignment horizontal="left" vertical="center"/>
      <protection/>
    </xf>
    <xf numFmtId="37" fontId="47" fillId="34" borderId="31" xfId="0" applyNumberFormat="1" applyFont="1" applyFill="1" applyBorder="1" applyAlignment="1" applyProtection="1">
      <alignment horizontal="left" vertical="center"/>
      <protection/>
    </xf>
    <xf numFmtId="0" fontId="58" fillId="34" borderId="0" xfId="0" applyFont="1" applyFill="1" applyAlignment="1" applyProtection="1">
      <alignment horizontal="center" vertical="center"/>
      <protection/>
    </xf>
    <xf numFmtId="0" fontId="58" fillId="34" borderId="0" xfId="0" applyFont="1" applyFill="1" applyAlignment="1" applyProtection="1">
      <alignment horizontal="center" vertical="center" wrapText="1"/>
      <protection/>
    </xf>
    <xf numFmtId="0" fontId="47" fillId="34" borderId="0" xfId="0" applyFont="1" applyFill="1" applyAlignment="1" applyProtection="1" quotePrefix="1">
      <alignment vertical="center"/>
      <protection/>
    </xf>
    <xf numFmtId="3" fontId="47" fillId="34" borderId="0" xfId="0" applyNumberFormat="1" applyFont="1" applyFill="1" applyAlignment="1" applyProtection="1" quotePrefix="1">
      <alignment vertical="center"/>
      <protection/>
    </xf>
    <xf numFmtId="3" fontId="47" fillId="34" borderId="10" xfId="0" applyNumberFormat="1" applyFont="1" applyFill="1" applyBorder="1" applyAlignment="1" applyProtection="1">
      <alignment vertical="center"/>
      <protection/>
    </xf>
    <xf numFmtId="3" fontId="47" fillId="34" borderId="14" xfId="0" applyNumberFormat="1" applyFont="1" applyFill="1" applyBorder="1" applyAlignment="1" applyProtection="1">
      <alignment vertical="center"/>
      <protection/>
    </xf>
    <xf numFmtId="3" fontId="47" fillId="34" borderId="0" xfId="0" applyNumberFormat="1" applyFont="1" applyFill="1" applyBorder="1" applyAlignment="1" applyProtection="1">
      <alignment vertical="center"/>
      <protection/>
    </xf>
    <xf numFmtId="3" fontId="47" fillId="34" borderId="31" xfId="0" applyNumberFormat="1" applyFont="1" applyFill="1" applyBorder="1" applyAlignment="1" applyProtection="1">
      <alignment vertical="center"/>
      <protection/>
    </xf>
    <xf numFmtId="0" fontId="47" fillId="34" borderId="31" xfId="0" applyFont="1" applyFill="1" applyBorder="1" applyAlignment="1" applyProtection="1">
      <alignment vertical="center"/>
      <protection/>
    </xf>
    <xf numFmtId="171" fontId="47" fillId="34" borderId="10" xfId="0" applyNumberFormat="1" applyFont="1" applyFill="1" applyBorder="1" applyAlignment="1" applyProtection="1">
      <alignment vertical="center"/>
      <protection/>
    </xf>
    <xf numFmtId="0" fontId="47" fillId="34" borderId="0" xfId="0" applyFont="1" applyFill="1" applyBorder="1" applyAlignment="1" applyProtection="1" quotePrefix="1">
      <alignment vertical="center"/>
      <protection/>
    </xf>
    <xf numFmtId="3" fontId="47" fillId="34" borderId="37" xfId="0" applyNumberFormat="1" applyFont="1" applyFill="1" applyBorder="1" applyAlignment="1" applyProtection="1">
      <alignment vertical="center"/>
      <protection/>
    </xf>
    <xf numFmtId="3" fontId="47" fillId="43" borderId="10" xfId="0" applyNumberFormat="1" applyFont="1" applyFill="1" applyBorder="1" applyAlignment="1" applyProtection="1">
      <alignment vertical="center"/>
      <protection/>
    </xf>
    <xf numFmtId="37" fontId="51" fillId="34" borderId="0" xfId="0" applyNumberFormat="1" applyFont="1" applyFill="1" applyAlignment="1" applyProtection="1">
      <alignment vertical="center"/>
      <protection/>
    </xf>
    <xf numFmtId="0" fontId="55" fillId="34" borderId="0" xfId="0" applyFont="1" applyFill="1" applyAlignment="1" applyProtection="1">
      <alignment horizontal="center" vertical="center"/>
      <protection/>
    </xf>
    <xf numFmtId="0" fontId="55" fillId="34" borderId="10" xfId="0" applyFont="1" applyFill="1" applyBorder="1" applyAlignment="1" applyProtection="1">
      <alignment horizontal="center" vertical="center"/>
      <protection/>
    </xf>
    <xf numFmtId="0" fontId="55" fillId="34" borderId="16" xfId="0" applyFont="1" applyFill="1" applyBorder="1" applyAlignment="1" applyProtection="1">
      <alignment horizontal="center" vertical="center"/>
      <protection/>
    </xf>
    <xf numFmtId="0" fontId="55" fillId="34" borderId="19" xfId="0" applyFont="1" applyFill="1" applyBorder="1" applyAlignment="1" applyProtection="1">
      <alignment horizontal="center" vertical="center"/>
      <protection/>
    </xf>
    <xf numFmtId="0" fontId="55" fillId="34" borderId="12" xfId="0" applyFont="1" applyFill="1" applyBorder="1" applyAlignment="1" applyProtection="1">
      <alignment horizontal="center" vertical="center"/>
      <protection/>
    </xf>
    <xf numFmtId="0" fontId="55" fillId="34" borderId="34" xfId="0" applyFont="1" applyFill="1" applyBorder="1" applyAlignment="1" applyProtection="1">
      <alignment horizontal="center" vertical="center"/>
      <protection/>
    </xf>
    <xf numFmtId="0" fontId="55" fillId="34" borderId="38" xfId="0" applyFont="1" applyFill="1" applyBorder="1" applyAlignment="1" applyProtection="1">
      <alignment horizontal="center" vertical="center"/>
      <protection/>
    </xf>
    <xf numFmtId="0" fontId="55" fillId="34" borderId="39" xfId="0" applyFont="1" applyFill="1" applyBorder="1" applyAlignment="1" applyProtection="1">
      <alignment horizontal="center" vertical="center"/>
      <protection/>
    </xf>
    <xf numFmtId="0" fontId="51" fillId="34" borderId="39" xfId="0" applyFont="1" applyFill="1" applyBorder="1" applyAlignment="1" applyProtection="1">
      <alignment horizontal="center" vertical="center"/>
      <protection/>
    </xf>
    <xf numFmtId="0" fontId="51" fillId="0" borderId="0" xfId="0" applyFont="1" applyAlignment="1" applyProtection="1">
      <alignment horizontal="center" vertical="center"/>
      <protection locked="0"/>
    </xf>
    <xf numFmtId="3" fontId="51" fillId="35" borderId="11" xfId="0" applyNumberFormat="1" applyFont="1" applyFill="1" applyBorder="1" applyAlignment="1" applyProtection="1">
      <alignment vertical="center"/>
      <protection/>
    </xf>
    <xf numFmtId="0" fontId="51" fillId="34" borderId="11" xfId="0" applyFont="1" applyFill="1" applyBorder="1" applyAlignment="1" applyProtection="1">
      <alignment horizontal="center" vertical="center"/>
      <protection locked="0"/>
    </xf>
    <xf numFmtId="0" fontId="118" fillId="34" borderId="0" xfId="0" applyFont="1" applyFill="1" applyAlignment="1" applyProtection="1">
      <alignment horizontal="right" vertical="center"/>
      <protection locked="0"/>
    </xf>
    <xf numFmtId="0" fontId="51" fillId="34" borderId="0" xfId="0" applyFont="1" applyFill="1" applyAlignment="1" applyProtection="1">
      <alignment horizontal="left" vertical="center"/>
      <protection locked="0"/>
    </xf>
    <xf numFmtId="0" fontId="51" fillId="47" borderId="11" xfId="0" applyFont="1" applyFill="1" applyBorder="1" applyAlignment="1" applyProtection="1">
      <alignment vertical="center"/>
      <protection locked="0"/>
    </xf>
    <xf numFmtId="3" fontId="51" fillId="47" borderId="11" xfId="0" applyNumberFormat="1" applyFont="1" applyFill="1" applyBorder="1" applyAlignment="1" applyProtection="1">
      <alignment vertical="center"/>
      <protection locked="0"/>
    </xf>
    <xf numFmtId="175" fontId="51" fillId="39" borderId="11" xfId="42" applyNumberFormat="1" applyFont="1" applyFill="1" applyBorder="1" applyAlignment="1" applyProtection="1">
      <alignment vertical="center"/>
      <protection locked="0"/>
    </xf>
    <xf numFmtId="0" fontId="67" fillId="39" borderId="11" xfId="0" applyFont="1" applyFill="1" applyBorder="1" applyAlignment="1" applyProtection="1">
      <alignment vertical="center"/>
      <protection locked="0"/>
    </xf>
    <xf numFmtId="0" fontId="58" fillId="34" borderId="0" xfId="404" applyFont="1" applyFill="1" applyAlignment="1" applyProtection="1">
      <alignment horizontal="centerContinuous" vertical="center"/>
      <protection/>
    </xf>
    <xf numFmtId="0" fontId="47" fillId="34" borderId="0" xfId="0" applyFont="1" applyFill="1" applyAlignment="1" applyProtection="1">
      <alignment horizontal="centerContinuous" vertical="center"/>
      <protection/>
    </xf>
    <xf numFmtId="0" fontId="47" fillId="34" borderId="10" xfId="0" applyFont="1" applyFill="1" applyBorder="1" applyAlignment="1" applyProtection="1">
      <alignment horizontal="fill" vertical="center"/>
      <protection/>
    </xf>
    <xf numFmtId="0" fontId="47" fillId="34" borderId="16" xfId="0" applyFont="1" applyFill="1" applyBorder="1" applyAlignment="1" applyProtection="1">
      <alignment horizontal="center" vertical="center"/>
      <protection/>
    </xf>
    <xf numFmtId="0" fontId="47" fillId="34" borderId="36" xfId="0" applyFont="1" applyFill="1" applyBorder="1" applyAlignment="1" applyProtection="1">
      <alignment horizontal="centerContinuous" vertical="center"/>
      <protection/>
    </xf>
    <xf numFmtId="0" fontId="47" fillId="34" borderId="19" xfId="0" applyFont="1" applyFill="1" applyBorder="1" applyAlignment="1" applyProtection="1">
      <alignment horizontal="centerContinuous" vertical="center"/>
      <protection/>
    </xf>
    <xf numFmtId="0" fontId="47" fillId="34" borderId="12" xfId="0" applyFont="1" applyFill="1" applyBorder="1" applyAlignment="1" applyProtection="1">
      <alignment horizontal="center" vertical="center"/>
      <protection/>
    </xf>
    <xf numFmtId="1" fontId="47" fillId="34" borderId="35" xfId="0" applyNumberFormat="1" applyFont="1" applyFill="1" applyBorder="1" applyAlignment="1" applyProtection="1">
      <alignment horizontal="center" vertical="center"/>
      <protection/>
    </xf>
    <xf numFmtId="0" fontId="47" fillId="34" borderId="17" xfId="0" applyFont="1" applyFill="1" applyBorder="1" applyAlignment="1" applyProtection="1">
      <alignment horizontal="center" vertical="center"/>
      <protection/>
    </xf>
    <xf numFmtId="0" fontId="47" fillId="34" borderId="11" xfId="0" applyFont="1" applyFill="1" applyBorder="1" applyAlignment="1" applyProtection="1">
      <alignment horizontal="center" vertical="center"/>
      <protection/>
    </xf>
    <xf numFmtId="0" fontId="47" fillId="34" borderId="11" xfId="0" applyFont="1" applyFill="1" applyBorder="1" applyAlignment="1" applyProtection="1">
      <alignment horizontal="left" vertical="center"/>
      <protection/>
    </xf>
    <xf numFmtId="2" fontId="47" fillId="34" borderId="11" xfId="0" applyNumberFormat="1" applyFont="1" applyFill="1" applyBorder="1" applyAlignment="1" applyProtection="1">
      <alignment vertical="center"/>
      <protection/>
    </xf>
    <xf numFmtId="0" fontId="47" fillId="0" borderId="11" xfId="0" applyFont="1" applyFill="1" applyBorder="1" applyAlignment="1" applyProtection="1">
      <alignment horizontal="center" vertical="center"/>
      <protection locked="0"/>
    </xf>
    <xf numFmtId="14" fontId="47" fillId="0" borderId="11" xfId="0" applyNumberFormat="1" applyFont="1" applyFill="1" applyBorder="1" applyAlignment="1" applyProtection="1">
      <alignment horizontal="center" vertical="center"/>
      <protection locked="0"/>
    </xf>
    <xf numFmtId="2" fontId="47" fillId="0" borderId="11" xfId="0" applyNumberFormat="1" applyFont="1" applyFill="1" applyBorder="1" applyAlignment="1" applyProtection="1">
      <alignment horizontal="center" vertical="center"/>
      <protection locked="0"/>
    </xf>
    <xf numFmtId="3" fontId="47" fillId="0" borderId="11" xfId="0" applyNumberFormat="1" applyFont="1" applyFill="1" applyBorder="1" applyAlignment="1" applyProtection="1">
      <alignment horizontal="center" vertical="center"/>
      <protection locked="0"/>
    </xf>
    <xf numFmtId="37" fontId="47" fillId="0" borderId="11" xfId="0" applyNumberFormat="1" applyFont="1" applyFill="1" applyBorder="1" applyAlignment="1" applyProtection="1">
      <alignment horizontal="center" vertical="center"/>
      <protection locked="0"/>
    </xf>
    <xf numFmtId="173" fontId="47" fillId="0" borderId="11" xfId="0" applyNumberFormat="1" applyFont="1" applyFill="1" applyBorder="1" applyAlignment="1" applyProtection="1">
      <alignment horizontal="center" vertical="center"/>
      <protection locked="0"/>
    </xf>
    <xf numFmtId="0" fontId="58" fillId="34" borderId="11" xfId="0" applyFont="1" applyFill="1" applyBorder="1" applyAlignment="1" applyProtection="1">
      <alignment horizontal="center" vertical="center"/>
      <protection/>
    </xf>
    <xf numFmtId="172" fontId="58" fillId="34" borderId="11" xfId="0" applyNumberFormat="1" applyFont="1" applyFill="1" applyBorder="1" applyAlignment="1" applyProtection="1">
      <alignment horizontal="center" vertical="center"/>
      <protection/>
    </xf>
    <xf numFmtId="2" fontId="58" fillId="34" borderId="11" xfId="0" applyNumberFormat="1" applyFont="1" applyFill="1" applyBorder="1" applyAlignment="1" applyProtection="1">
      <alignment horizontal="center" vertical="center"/>
      <protection/>
    </xf>
    <xf numFmtId="3" fontId="58" fillId="34" borderId="11" xfId="0" applyNumberFormat="1" applyFont="1" applyFill="1" applyBorder="1" applyAlignment="1" applyProtection="1">
      <alignment horizontal="center" vertical="center"/>
      <protection/>
    </xf>
    <xf numFmtId="37" fontId="58" fillId="35" borderId="11" xfId="0" applyNumberFormat="1" applyFont="1" applyFill="1" applyBorder="1" applyAlignment="1" applyProtection="1">
      <alignment horizontal="center" vertical="center"/>
      <protection/>
    </xf>
    <xf numFmtId="173" fontId="58" fillId="34" borderId="11" xfId="0" applyNumberFormat="1" applyFont="1" applyFill="1" applyBorder="1" applyAlignment="1" applyProtection="1">
      <alignment horizontal="center" vertical="center"/>
      <protection/>
    </xf>
    <xf numFmtId="172" fontId="47" fillId="34" borderId="11" xfId="0" applyNumberFormat="1" applyFont="1" applyFill="1" applyBorder="1" applyAlignment="1" applyProtection="1">
      <alignment horizontal="center" vertical="center"/>
      <protection/>
    </xf>
    <xf numFmtId="2" fontId="47" fillId="34" borderId="11" xfId="0" applyNumberFormat="1" applyFont="1" applyFill="1" applyBorder="1" applyAlignment="1" applyProtection="1">
      <alignment horizontal="center" vertical="center"/>
      <protection/>
    </xf>
    <xf numFmtId="173" fontId="47" fillId="34" borderId="11" xfId="0" applyNumberFormat="1" applyFont="1" applyFill="1" applyBorder="1" applyAlignment="1" applyProtection="1">
      <alignment horizontal="center" vertical="center"/>
      <protection/>
    </xf>
    <xf numFmtId="1" fontId="58" fillId="34" borderId="11" xfId="0" applyNumberFormat="1" applyFont="1" applyFill="1" applyBorder="1" applyAlignment="1" applyProtection="1">
      <alignment horizontal="center" vertical="center"/>
      <protection/>
    </xf>
    <xf numFmtId="3" fontId="58" fillId="35" borderId="11" xfId="0" applyNumberFormat="1" applyFont="1" applyFill="1" applyBorder="1" applyAlignment="1" applyProtection="1">
      <alignment horizontal="center" vertical="center"/>
      <protection/>
    </xf>
    <xf numFmtId="1" fontId="47" fillId="34" borderId="11" xfId="0" applyNumberFormat="1" applyFont="1" applyFill="1" applyBorder="1" applyAlignment="1" applyProtection="1">
      <alignment horizontal="center" vertical="center"/>
      <protection/>
    </xf>
    <xf numFmtId="37" fontId="47" fillId="0" borderId="0" xfId="0" applyNumberFormat="1" applyFont="1" applyAlignment="1" applyProtection="1">
      <alignment vertical="center"/>
      <protection locked="0"/>
    </xf>
    <xf numFmtId="0" fontId="47" fillId="0" borderId="0" xfId="0" applyFont="1" applyAlignment="1" applyProtection="1">
      <alignment horizontal="left" vertical="center"/>
      <protection locked="0"/>
    </xf>
    <xf numFmtId="0" fontId="47" fillId="39" borderId="17" xfId="0" applyFont="1" applyFill="1" applyBorder="1" applyAlignment="1" applyProtection="1">
      <alignment horizontal="center" vertical="center"/>
      <protection/>
    </xf>
    <xf numFmtId="0" fontId="47" fillId="39" borderId="0" xfId="0" applyFont="1" applyFill="1" applyAlignment="1" applyProtection="1">
      <alignment horizontal="centerContinuous" vertical="center"/>
      <protection/>
    </xf>
    <xf numFmtId="0" fontId="58" fillId="39" borderId="0" xfId="404" applyFont="1" applyFill="1" applyAlignment="1" applyProtection="1">
      <alignment horizontal="centerContinuous" vertical="center"/>
      <protection/>
    </xf>
    <xf numFmtId="0" fontId="47" fillId="39" borderId="10" xfId="0" applyFont="1" applyFill="1" applyBorder="1" applyAlignment="1" applyProtection="1">
      <alignment horizontal="fill" vertical="center"/>
      <protection/>
    </xf>
    <xf numFmtId="0" fontId="47" fillId="39" borderId="16" xfId="0" applyFont="1" applyFill="1" applyBorder="1" applyAlignment="1" applyProtection="1">
      <alignment vertical="center"/>
      <protection/>
    </xf>
    <xf numFmtId="0" fontId="47" fillId="39" borderId="16" xfId="0" applyFont="1" applyFill="1" applyBorder="1" applyAlignment="1" applyProtection="1">
      <alignment horizontal="center" vertical="center"/>
      <protection/>
    </xf>
    <xf numFmtId="0" fontId="47" fillId="39" borderId="12" xfId="0" applyFont="1" applyFill="1" applyBorder="1" applyAlignment="1" applyProtection="1">
      <alignment horizontal="center" vertical="center"/>
      <protection/>
    </xf>
    <xf numFmtId="0" fontId="47" fillId="39" borderId="33" xfId="0" applyFont="1" applyFill="1" applyBorder="1" applyAlignment="1" applyProtection="1">
      <alignment horizontal="center" vertical="center"/>
      <protection/>
    </xf>
    <xf numFmtId="0" fontId="47" fillId="39" borderId="35" xfId="0" applyFont="1" applyFill="1" applyBorder="1" applyAlignment="1" applyProtection="1">
      <alignment horizontal="center" vertical="center"/>
      <protection/>
    </xf>
    <xf numFmtId="14" fontId="47" fillId="39" borderId="17" xfId="0" applyNumberFormat="1" applyFont="1" applyFill="1" applyBorder="1" applyAlignment="1" applyProtection="1" quotePrefix="1">
      <alignment horizontal="center" vertical="center"/>
      <protection/>
    </xf>
    <xf numFmtId="1" fontId="47" fillId="39" borderId="11" xfId="0" applyNumberFormat="1" applyFont="1" applyFill="1" applyBorder="1" applyAlignment="1" applyProtection="1">
      <alignment vertical="center"/>
      <protection locked="0"/>
    </xf>
    <xf numFmtId="2" fontId="47" fillId="39" borderId="11" xfId="0" applyNumberFormat="1" applyFont="1" applyFill="1" applyBorder="1" applyAlignment="1" applyProtection="1">
      <alignment vertical="center"/>
      <protection locked="0"/>
    </xf>
    <xf numFmtId="0" fontId="58" fillId="39" borderId="11" xfId="0" applyFont="1" applyFill="1" applyBorder="1" applyAlignment="1" applyProtection="1">
      <alignment horizontal="center" vertical="center"/>
      <protection/>
    </xf>
    <xf numFmtId="3" fontId="58" fillId="39" borderId="20" xfId="0" applyNumberFormat="1" applyFont="1" applyFill="1" applyBorder="1" applyAlignment="1" applyProtection="1">
      <alignment vertical="center"/>
      <protection/>
    </xf>
    <xf numFmtId="0" fontId="47" fillId="0" borderId="0" xfId="0" applyFont="1" applyAlignment="1">
      <alignment horizontal="centerContinuous" vertical="center"/>
    </xf>
    <xf numFmtId="37" fontId="58" fillId="34" borderId="0" xfId="0" applyNumberFormat="1" applyFont="1" applyFill="1" applyAlignment="1" applyProtection="1">
      <alignment horizontal="centerContinuous" vertical="center"/>
      <protection/>
    </xf>
    <xf numFmtId="37" fontId="47" fillId="34" borderId="0" xfId="0" applyNumberFormat="1" applyFont="1" applyFill="1" applyAlignment="1" applyProtection="1">
      <alignment horizontal="centerContinuous" vertical="center"/>
      <protection/>
    </xf>
    <xf numFmtId="0" fontId="47" fillId="34" borderId="16" xfId="0" applyFont="1" applyFill="1" applyBorder="1" applyAlignment="1" applyProtection="1">
      <alignment horizontal="centerContinuous" vertical="center"/>
      <protection/>
    </xf>
    <xf numFmtId="0" fontId="47" fillId="34" borderId="15" xfId="0" applyFont="1" applyFill="1" applyBorder="1" applyAlignment="1" applyProtection="1">
      <alignment horizontal="centerContinuous" vertical="center"/>
      <protection/>
    </xf>
    <xf numFmtId="1" fontId="47" fillId="34" borderId="13" xfId="0" applyNumberFormat="1" applyFont="1" applyFill="1" applyBorder="1" applyAlignment="1" applyProtection="1">
      <alignment horizontal="centerContinuous" vertical="center"/>
      <protection/>
    </xf>
    <xf numFmtId="37" fontId="47" fillId="34" borderId="13" xfId="0" applyNumberFormat="1" applyFont="1" applyFill="1" applyBorder="1" applyAlignment="1" applyProtection="1">
      <alignment horizontal="centerContinuous" vertical="center"/>
      <protection/>
    </xf>
    <xf numFmtId="0" fontId="47" fillId="34" borderId="14" xfId="0" applyFont="1" applyFill="1" applyBorder="1" applyAlignment="1" applyProtection="1">
      <alignment horizontal="centerContinuous" vertical="center"/>
      <protection/>
    </xf>
    <xf numFmtId="1" fontId="47" fillId="34" borderId="16" xfId="0" applyNumberFormat="1" applyFont="1" applyFill="1" applyBorder="1" applyAlignment="1" applyProtection="1">
      <alignment horizontal="center" vertical="center"/>
      <protection/>
    </xf>
    <xf numFmtId="37" fontId="47" fillId="34" borderId="16" xfId="78" applyNumberFormat="1" applyFont="1" applyFill="1" applyBorder="1" applyAlignment="1" applyProtection="1">
      <alignment horizontal="center"/>
      <protection/>
    </xf>
    <xf numFmtId="37" fontId="47" fillId="34" borderId="10" xfId="0" applyNumberFormat="1" applyFont="1" applyFill="1" applyBorder="1" applyAlignment="1" applyProtection="1">
      <alignment horizontal="left" vertical="center"/>
      <protection/>
    </xf>
    <xf numFmtId="37" fontId="47" fillId="34" borderId="17" xfId="78" applyNumberFormat="1" applyFont="1" applyFill="1" applyBorder="1" applyAlignment="1" applyProtection="1">
      <alignment horizontal="center"/>
      <protection/>
    </xf>
    <xf numFmtId="164" fontId="47" fillId="34" borderId="11" xfId="0" applyNumberFormat="1" applyFont="1" applyFill="1" applyBorder="1" applyAlignment="1" applyProtection="1">
      <alignment vertical="center"/>
      <protection/>
    </xf>
    <xf numFmtId="37" fontId="47" fillId="34" borderId="11" xfId="0" applyNumberFormat="1" applyFont="1" applyFill="1" applyBorder="1" applyAlignment="1" applyProtection="1">
      <alignment horizontal="left" vertical="center"/>
      <protection/>
    </xf>
    <xf numFmtId="37" fontId="47" fillId="34" borderId="17" xfId="0" applyNumberFormat="1" applyFont="1" applyFill="1" applyBorder="1" applyAlignment="1" applyProtection="1">
      <alignment vertical="center"/>
      <protection/>
    </xf>
    <xf numFmtId="164" fontId="47" fillId="34" borderId="17" xfId="0" applyNumberFormat="1" applyFont="1" applyFill="1" applyBorder="1" applyAlignment="1" applyProtection="1">
      <alignment vertical="center"/>
      <protection/>
    </xf>
    <xf numFmtId="1" fontId="47" fillId="34" borderId="0" xfId="0" applyNumberFormat="1" applyFont="1" applyFill="1" applyAlignment="1" applyProtection="1">
      <alignment vertical="center"/>
      <protection/>
    </xf>
    <xf numFmtId="0" fontId="47" fillId="34" borderId="0" xfId="0" applyFont="1" applyFill="1" applyAlignment="1">
      <alignment vertical="center"/>
    </xf>
    <xf numFmtId="37" fontId="47" fillId="34" borderId="20" xfId="0" applyNumberFormat="1" applyFont="1" applyFill="1" applyBorder="1" applyAlignment="1" applyProtection="1">
      <alignment vertical="center"/>
      <protection/>
    </xf>
    <xf numFmtId="37" fontId="47" fillId="34" borderId="17" xfId="0" applyNumberFormat="1" applyFont="1" applyFill="1" applyBorder="1" applyAlignment="1" applyProtection="1">
      <alignment horizontal="fill" vertical="center"/>
      <protection/>
    </xf>
    <xf numFmtId="0" fontId="47" fillId="34" borderId="0" xfId="0" applyFont="1" applyFill="1" applyAlignment="1" applyProtection="1">
      <alignment vertical="center"/>
      <protection locked="0"/>
    </xf>
    <xf numFmtId="1" fontId="68" fillId="34" borderId="0" xfId="0" applyNumberFormat="1" applyFont="1" applyFill="1" applyAlignment="1" applyProtection="1">
      <alignment horizontal="center" vertical="center"/>
      <protection/>
    </xf>
    <xf numFmtId="37" fontId="47" fillId="47" borderId="20" xfId="0" applyNumberFormat="1" applyFont="1" applyFill="1" applyBorder="1" applyAlignment="1" applyProtection="1">
      <alignment vertical="center"/>
      <protection/>
    </xf>
    <xf numFmtId="0" fontId="48" fillId="39" borderId="13" xfId="0" applyFont="1" applyFill="1" applyBorder="1" applyAlignment="1" applyProtection="1">
      <alignment vertical="center"/>
      <protection/>
    </xf>
    <xf numFmtId="0" fontId="47" fillId="0" borderId="0" xfId="0" applyFont="1" applyAlignment="1">
      <alignment horizontal="center" vertical="center"/>
    </xf>
    <xf numFmtId="0" fontId="47" fillId="34" borderId="33" xfId="78" applyFont="1" applyFill="1" applyBorder="1" applyAlignment="1" applyProtection="1">
      <alignment horizontal="center" vertical="center"/>
      <protection/>
    </xf>
    <xf numFmtId="0" fontId="47" fillId="0" borderId="0" xfId="78" applyFont="1" applyAlignment="1">
      <alignment horizontal="center"/>
      <protection/>
    </xf>
    <xf numFmtId="0" fontId="58" fillId="0" borderId="0" xfId="78" applyFont="1" applyFill="1" applyBorder="1" applyAlignment="1" applyProtection="1">
      <alignment horizontal="center" vertical="center"/>
      <protection/>
    </xf>
    <xf numFmtId="3" fontId="48" fillId="39" borderId="11" xfId="0" applyNumberFormat="1" applyFont="1" applyFill="1" applyBorder="1" applyAlignment="1" applyProtection="1">
      <alignment horizontal="right" vertical="center"/>
      <protection locked="0"/>
    </xf>
    <xf numFmtId="3" fontId="48" fillId="39" borderId="11" xfId="0" applyNumberFormat="1" applyFont="1" applyFill="1" applyBorder="1" applyAlignment="1" applyProtection="1">
      <alignment horizontal="right" vertical="center"/>
      <protection/>
    </xf>
    <xf numFmtId="3" fontId="48" fillId="39" borderId="13" xfId="0" applyNumberFormat="1" applyFont="1" applyFill="1" applyBorder="1" applyAlignment="1" applyProtection="1">
      <alignment vertical="center"/>
      <protection locked="0"/>
    </xf>
    <xf numFmtId="37" fontId="47" fillId="34" borderId="11" xfId="0" applyNumberFormat="1" applyFont="1" applyFill="1" applyBorder="1" applyAlignment="1" applyProtection="1">
      <alignment/>
      <protection/>
    </xf>
    <xf numFmtId="0" fontId="47" fillId="34" borderId="11" xfId="0" applyFont="1" applyFill="1" applyBorder="1" applyAlignment="1" applyProtection="1">
      <alignment/>
      <protection/>
    </xf>
    <xf numFmtId="37" fontId="47" fillId="39" borderId="0" xfId="0" applyNumberFormat="1" applyFont="1" applyFill="1" applyBorder="1" applyAlignment="1" applyProtection="1">
      <alignment horizontal="left"/>
      <protection/>
    </xf>
    <xf numFmtId="0" fontId="58" fillId="34" borderId="13" xfId="0" applyFont="1" applyFill="1" applyBorder="1" applyAlignment="1" applyProtection="1">
      <alignment/>
      <protection/>
    </xf>
    <xf numFmtId="3" fontId="47" fillId="34" borderId="11" xfId="0" applyNumberFormat="1" applyFont="1" applyFill="1" applyBorder="1" applyAlignment="1" applyProtection="1">
      <alignment/>
      <protection/>
    </xf>
    <xf numFmtId="0" fontId="47" fillId="34" borderId="11" xfId="0" applyFont="1" applyFill="1" applyBorder="1" applyAlignment="1" applyProtection="1">
      <alignment/>
      <protection locked="0"/>
    </xf>
    <xf numFmtId="3" fontId="47" fillId="48" borderId="11" xfId="0" applyNumberFormat="1" applyFont="1" applyFill="1" applyBorder="1" applyAlignment="1" applyProtection="1">
      <alignment horizontal="right" vertical="center"/>
      <protection locked="0"/>
    </xf>
    <xf numFmtId="3" fontId="47" fillId="48" borderId="11" xfId="0" applyNumberFormat="1" applyFont="1" applyFill="1" applyBorder="1" applyAlignment="1" applyProtection="1">
      <alignment vertical="center"/>
      <protection locked="0"/>
    </xf>
    <xf numFmtId="3" fontId="47" fillId="48" borderId="11" xfId="0" applyNumberFormat="1" applyFont="1" applyFill="1" applyBorder="1" applyAlignment="1" applyProtection="1">
      <alignment vertical="center"/>
      <protection/>
    </xf>
    <xf numFmtId="0" fontId="4" fillId="32" borderId="11" xfId="0" applyFont="1" applyFill="1" applyBorder="1" applyAlignment="1" applyProtection="1">
      <alignment vertical="center"/>
      <protection locked="0"/>
    </xf>
    <xf numFmtId="14" fontId="4" fillId="32" borderId="11" xfId="0" applyNumberFormat="1" applyFont="1" applyFill="1" applyBorder="1" applyAlignment="1" applyProtection="1">
      <alignment vertical="center"/>
      <protection locked="0"/>
    </xf>
    <xf numFmtId="1" fontId="4" fillId="32" borderId="11" xfId="0" applyNumberFormat="1" applyFont="1" applyFill="1" applyBorder="1" applyAlignment="1" applyProtection="1">
      <alignment vertical="center"/>
      <protection locked="0"/>
    </xf>
    <xf numFmtId="2" fontId="4" fillId="32" borderId="11" xfId="0" applyNumberFormat="1" applyFont="1" applyFill="1" applyBorder="1" applyAlignment="1" applyProtection="1">
      <alignment vertical="center"/>
      <protection locked="0"/>
    </xf>
    <xf numFmtId="3" fontId="4" fillId="32" borderId="11" xfId="0" applyNumberFormat="1" applyFont="1" applyFill="1" applyBorder="1" applyAlignment="1" applyProtection="1">
      <alignment vertical="center"/>
      <protection locked="0"/>
    </xf>
    <xf numFmtId="0" fontId="47" fillId="0" borderId="11" xfId="0" applyFont="1" applyFill="1" applyBorder="1" applyAlignment="1" applyProtection="1">
      <alignment horizontal="left" vertical="center"/>
      <protection locked="0"/>
    </xf>
    <xf numFmtId="0" fontId="51" fillId="39" borderId="13" xfId="0" applyFont="1" applyFill="1" applyBorder="1" applyAlignment="1" applyProtection="1">
      <alignment/>
      <protection locked="0"/>
    </xf>
    <xf numFmtId="175" fontId="51" fillId="34" borderId="0" xfId="42" applyNumberFormat="1" applyFont="1" applyFill="1" applyAlignment="1">
      <alignment horizontal="center" vertical="center"/>
    </xf>
    <xf numFmtId="175" fontId="51" fillId="34" borderId="0" xfId="42" applyNumberFormat="1" applyFont="1" applyFill="1" applyAlignment="1">
      <alignment vertical="center"/>
    </xf>
    <xf numFmtId="175" fontId="51" fillId="34" borderId="15" xfId="42" applyNumberFormat="1" applyFont="1" applyFill="1" applyBorder="1" applyAlignment="1">
      <alignment horizontal="center" vertical="center"/>
    </xf>
    <xf numFmtId="175" fontId="51" fillId="33" borderId="11" xfId="42" applyNumberFormat="1" applyFont="1" applyFill="1" applyBorder="1" applyAlignment="1" applyProtection="1">
      <alignment horizontal="center" vertical="center"/>
      <protection locked="0"/>
    </xf>
    <xf numFmtId="175" fontId="51" fillId="39" borderId="11" xfId="42" applyNumberFormat="1" applyFont="1" applyFill="1" applyBorder="1" applyAlignment="1" applyProtection="1">
      <alignment horizontal="center" vertical="center"/>
      <protection locked="0"/>
    </xf>
    <xf numFmtId="175" fontId="51" fillId="35" borderId="11" xfId="42" applyNumberFormat="1" applyFont="1" applyFill="1" applyBorder="1" applyAlignment="1">
      <alignment horizontal="center" vertical="center"/>
    </xf>
    <xf numFmtId="175" fontId="65" fillId="45" borderId="0" xfId="42" applyNumberFormat="1" applyFont="1" applyFill="1" applyAlignment="1">
      <alignment horizontal="center" vertical="center"/>
    </xf>
    <xf numFmtId="175" fontId="51" fillId="0" borderId="0" xfId="42" applyNumberFormat="1" applyFont="1" applyFill="1" applyAlignment="1">
      <alignment vertical="center"/>
    </xf>
    <xf numFmtId="175" fontId="51" fillId="0" borderId="0" xfId="42" applyNumberFormat="1" applyFont="1" applyAlignment="1">
      <alignment vertical="center"/>
    </xf>
    <xf numFmtId="175" fontId="55" fillId="34" borderId="0" xfId="42" applyNumberFormat="1" applyFont="1" applyFill="1" applyAlignment="1">
      <alignment horizontal="center" vertical="center"/>
    </xf>
    <xf numFmtId="175" fontId="66" fillId="34" borderId="0" xfId="42" applyNumberFormat="1" applyFont="1" applyFill="1" applyAlignment="1">
      <alignment horizontal="center" vertical="center"/>
    </xf>
    <xf numFmtId="175" fontId="51" fillId="35" borderId="17" xfId="42" applyNumberFormat="1" applyFont="1" applyFill="1" applyBorder="1" applyAlignment="1">
      <alignment horizontal="center" vertical="center"/>
    </xf>
    <xf numFmtId="175" fontId="51" fillId="37" borderId="0" xfId="42" applyNumberFormat="1" applyFont="1" applyFill="1" applyAlignment="1">
      <alignment vertical="center"/>
    </xf>
    <xf numFmtId="175" fontId="51" fillId="34" borderId="11" xfId="42" applyNumberFormat="1" applyFont="1" applyFill="1" applyBorder="1" applyAlignment="1">
      <alignment horizontal="center" vertical="center"/>
    </xf>
    <xf numFmtId="0" fontId="47" fillId="32" borderId="17" xfId="0" applyFont="1" applyFill="1" applyBorder="1" applyAlignment="1" applyProtection="1">
      <alignment vertical="center"/>
      <protection locked="0"/>
    </xf>
    <xf numFmtId="175" fontId="47" fillId="32" borderId="17" xfId="42" applyNumberFormat="1" applyFont="1" applyFill="1" applyBorder="1" applyAlignment="1" applyProtection="1">
      <alignment vertical="center"/>
      <protection locked="0"/>
    </xf>
    <xf numFmtId="0" fontId="47" fillId="32" borderId="17" xfId="0" applyFont="1" applyFill="1" applyBorder="1" applyAlignment="1" applyProtection="1">
      <alignment horizontal="center" vertical="center"/>
      <protection locked="0"/>
    </xf>
    <xf numFmtId="0" fontId="47" fillId="32" borderId="11" xfId="0" applyFont="1" applyFill="1" applyBorder="1" applyAlignment="1" applyProtection="1">
      <alignment vertical="center"/>
      <protection locked="0"/>
    </xf>
    <xf numFmtId="175" fontId="47" fillId="32" borderId="11" xfId="42" applyNumberFormat="1" applyFont="1" applyFill="1" applyBorder="1" applyAlignment="1" applyProtection="1">
      <alignment vertical="center"/>
      <protection locked="0"/>
    </xf>
    <xf numFmtId="0" fontId="47" fillId="32" borderId="11" xfId="0" applyFont="1" applyFill="1" applyBorder="1" applyAlignment="1" applyProtection="1" quotePrefix="1">
      <alignment horizontal="center" vertical="center"/>
      <protection locked="0"/>
    </xf>
    <xf numFmtId="0" fontId="47" fillId="32" borderId="11" xfId="0" applyFont="1" applyFill="1" applyBorder="1" applyAlignment="1" applyProtection="1">
      <alignment horizontal="center" vertical="center"/>
      <protection locked="0"/>
    </xf>
    <xf numFmtId="0" fontId="47" fillId="39" borderId="0" xfId="0" applyFont="1" applyFill="1" applyAlignment="1" applyProtection="1">
      <alignment horizontal="center" vertical="center"/>
      <protection/>
    </xf>
    <xf numFmtId="37" fontId="47" fillId="34" borderId="12" xfId="87" applyNumberFormat="1" applyFont="1" applyFill="1" applyBorder="1" applyAlignment="1" applyProtection="1">
      <alignment horizontal="center" vertical="center"/>
      <protection/>
    </xf>
    <xf numFmtId="37" fontId="58" fillId="34" borderId="10" xfId="0" applyNumberFormat="1" applyFont="1" applyFill="1" applyBorder="1" applyAlignment="1" applyProtection="1">
      <alignment horizontal="left" vertical="center"/>
      <protection/>
    </xf>
    <xf numFmtId="37" fontId="47" fillId="34" borderId="17" xfId="0" applyNumberFormat="1" applyFont="1" applyFill="1" applyBorder="1" applyAlignment="1" applyProtection="1">
      <alignment horizontal="center" vertical="center"/>
      <protection/>
    </xf>
    <xf numFmtId="37" fontId="47" fillId="34" borderId="17" xfId="87" applyNumberFormat="1" applyFont="1" applyFill="1" applyBorder="1" applyAlignment="1" applyProtection="1">
      <alignment horizontal="center" vertical="center"/>
      <protection/>
    </xf>
    <xf numFmtId="0" fontId="47" fillId="34" borderId="15" xfId="0" applyFont="1" applyFill="1" applyBorder="1" applyAlignment="1" applyProtection="1">
      <alignment vertical="center"/>
      <protection/>
    </xf>
    <xf numFmtId="37" fontId="47" fillId="34" borderId="12" xfId="0" applyNumberFormat="1" applyFont="1" applyFill="1" applyBorder="1" applyAlignment="1" applyProtection="1">
      <alignment horizontal="center" vertical="center"/>
      <protection/>
    </xf>
    <xf numFmtId="37" fontId="47" fillId="34" borderId="18" xfId="0" applyNumberFormat="1" applyFont="1" applyFill="1" applyBorder="1" applyAlignment="1" applyProtection="1">
      <alignment horizontal="center" vertical="center"/>
      <protection/>
    </xf>
    <xf numFmtId="37" fontId="47" fillId="34" borderId="11" xfId="0" applyNumberFormat="1" applyFont="1" applyFill="1" applyBorder="1" applyAlignment="1" applyProtection="1">
      <alignment horizontal="center" vertical="center"/>
      <protection/>
    </xf>
    <xf numFmtId="0" fontId="47" fillId="34" borderId="12" xfId="0" applyFont="1" applyFill="1" applyBorder="1" applyAlignment="1" applyProtection="1">
      <alignment vertical="center"/>
      <protection/>
    </xf>
    <xf numFmtId="37" fontId="47" fillId="34" borderId="15" xfId="0" applyNumberFormat="1" applyFont="1" applyFill="1" applyBorder="1" applyAlignment="1" applyProtection="1">
      <alignment horizontal="center" vertical="center"/>
      <protection/>
    </xf>
    <xf numFmtId="37" fontId="60" fillId="34" borderId="17" xfId="0" applyNumberFormat="1" applyFont="1" applyFill="1" applyBorder="1" applyAlignment="1" applyProtection="1">
      <alignment horizontal="left" vertical="center"/>
      <protection/>
    </xf>
    <xf numFmtId="37" fontId="60" fillId="34" borderId="17" xfId="0" applyNumberFormat="1" applyFont="1" applyFill="1" applyBorder="1" applyAlignment="1" applyProtection="1">
      <alignment horizontal="center" vertical="center"/>
      <protection/>
    </xf>
    <xf numFmtId="0" fontId="47" fillId="34" borderId="17" xfId="0" applyFont="1" applyFill="1" applyBorder="1" applyAlignment="1" applyProtection="1">
      <alignment vertical="center"/>
      <protection/>
    </xf>
    <xf numFmtId="37" fontId="47" fillId="34" borderId="13" xfId="0" applyNumberFormat="1" applyFont="1" applyFill="1" applyBorder="1" applyAlignment="1" applyProtection="1">
      <alignment horizontal="center" vertical="center"/>
      <protection/>
    </xf>
    <xf numFmtId="37" fontId="47" fillId="34" borderId="11" xfId="0" applyNumberFormat="1" applyFont="1" applyFill="1" applyBorder="1" applyAlignment="1" applyProtection="1">
      <alignment horizontal="right" vertical="center"/>
      <protection/>
    </xf>
    <xf numFmtId="183" fontId="47" fillId="34" borderId="11" xfId="0" applyNumberFormat="1" applyFont="1" applyFill="1" applyBorder="1" applyAlignment="1" applyProtection="1">
      <alignment horizontal="right" vertical="center"/>
      <protection/>
    </xf>
    <xf numFmtId="0" fontId="47" fillId="34" borderId="11" xfId="0" applyFont="1" applyFill="1" applyBorder="1" applyAlignment="1" applyProtection="1">
      <alignment horizontal="right" vertical="center"/>
      <protection/>
    </xf>
    <xf numFmtId="0" fontId="47" fillId="34" borderId="16" xfId="0" applyFont="1" applyFill="1" applyBorder="1" applyAlignment="1" applyProtection="1">
      <alignment horizontal="right" vertical="center"/>
      <protection/>
    </xf>
    <xf numFmtId="37" fontId="58" fillId="34" borderId="16" xfId="0" applyNumberFormat="1" applyFont="1" applyFill="1" applyBorder="1" applyAlignment="1" applyProtection="1">
      <alignment horizontal="left" vertical="center"/>
      <protection/>
    </xf>
    <xf numFmtId="37" fontId="47" fillId="34" borderId="20" xfId="0" applyNumberFormat="1" applyFont="1" applyFill="1" applyBorder="1" applyAlignment="1" applyProtection="1">
      <alignment horizontal="right" vertical="center"/>
      <protection/>
    </xf>
    <xf numFmtId="183" fontId="47" fillId="34" borderId="20" xfId="0" applyNumberFormat="1" applyFont="1" applyFill="1" applyBorder="1" applyAlignment="1" applyProtection="1">
      <alignment horizontal="right" vertical="center"/>
      <protection/>
    </xf>
    <xf numFmtId="37" fontId="47" fillId="34" borderId="0" xfId="0" applyNumberFormat="1" applyFont="1" applyFill="1" applyBorder="1" applyAlignment="1" applyProtection="1">
      <alignment vertical="center"/>
      <protection/>
    </xf>
    <xf numFmtId="0" fontId="47" fillId="36" borderId="11" xfId="0" applyFont="1" applyFill="1" applyBorder="1" applyAlignment="1" applyProtection="1">
      <alignment horizontal="center" vertical="center"/>
      <protection/>
    </xf>
    <xf numFmtId="0" fontId="47" fillId="45" borderId="11" xfId="0" applyFont="1" applyFill="1" applyBorder="1" applyAlignment="1">
      <alignment horizontal="center" vertical="center" shrinkToFit="1"/>
    </xf>
    <xf numFmtId="0" fontId="59" fillId="45" borderId="15" xfId="0" applyFont="1" applyFill="1" applyBorder="1" applyAlignment="1" applyProtection="1">
      <alignment horizontal="center" vertical="center"/>
      <protection/>
    </xf>
    <xf numFmtId="3" fontId="47" fillId="33" borderId="11" xfId="0" applyNumberFormat="1" applyFont="1" applyFill="1" applyBorder="1" applyAlignment="1" applyProtection="1">
      <alignment vertical="center"/>
      <protection locked="0"/>
    </xf>
    <xf numFmtId="37" fontId="47" fillId="34" borderId="15" xfId="0" applyNumberFormat="1" applyFont="1" applyFill="1" applyBorder="1" applyAlignment="1" applyProtection="1">
      <alignment horizontal="fill" vertical="center"/>
      <protection/>
    </xf>
    <xf numFmtId="0" fontId="47" fillId="33" borderId="10" xfId="0" applyFont="1" applyFill="1" applyBorder="1" applyAlignment="1" applyProtection="1">
      <alignment vertical="center"/>
      <protection locked="0"/>
    </xf>
    <xf numFmtId="37" fontId="47" fillId="34" borderId="0" xfId="0" applyNumberFormat="1" applyFont="1" applyFill="1" applyBorder="1" applyAlignment="1" applyProtection="1">
      <alignment horizontal="fill" vertical="center"/>
      <protection/>
    </xf>
    <xf numFmtId="0" fontId="47" fillId="33" borderId="14" xfId="0" applyFont="1" applyFill="1" applyBorder="1" applyAlignment="1" applyProtection="1">
      <alignment vertical="center"/>
      <protection locked="0"/>
    </xf>
    <xf numFmtId="0" fontId="47" fillId="34" borderId="0" xfId="0" applyFont="1" applyFill="1" applyBorder="1" applyAlignment="1" applyProtection="1">
      <alignment vertical="center"/>
      <protection locked="0"/>
    </xf>
    <xf numFmtId="37" fontId="47" fillId="34" borderId="0" xfId="0" applyNumberFormat="1" applyFont="1" applyFill="1" applyBorder="1" applyAlignment="1" applyProtection="1">
      <alignment horizontal="left" vertical="center"/>
      <protection/>
    </xf>
    <xf numFmtId="37" fontId="47" fillId="34" borderId="0" xfId="0" applyNumberFormat="1" applyFont="1" applyFill="1" applyBorder="1" applyAlignment="1" applyProtection="1">
      <alignment horizontal="fill" vertical="center"/>
      <protection locked="0"/>
    </xf>
    <xf numFmtId="0" fontId="47" fillId="34" borderId="0" xfId="0" applyFont="1" applyFill="1" applyBorder="1" applyAlignment="1" applyProtection="1">
      <alignment horizontal="centerContinuous" vertical="center"/>
      <protection locked="0"/>
    </xf>
    <xf numFmtId="37" fontId="47" fillId="34" borderId="0" xfId="0" applyNumberFormat="1" applyFont="1" applyFill="1" applyAlignment="1" applyProtection="1">
      <alignment horizontal="left" vertical="center"/>
      <protection locked="0"/>
    </xf>
    <xf numFmtId="37" fontId="47" fillId="34" borderId="0" xfId="0" applyNumberFormat="1" applyFont="1" applyFill="1" applyBorder="1" applyAlignment="1" applyProtection="1">
      <alignment horizontal="centerContinuous" vertical="center"/>
      <protection/>
    </xf>
    <xf numFmtId="37" fontId="47" fillId="34" borderId="0" xfId="0" applyNumberFormat="1" applyFont="1" applyFill="1" applyAlignment="1" applyProtection="1">
      <alignment horizontal="center" vertical="center"/>
      <protection locked="0"/>
    </xf>
    <xf numFmtId="37" fontId="47" fillId="34" borderId="31" xfId="0" applyNumberFormat="1" applyFont="1" applyFill="1" applyBorder="1" applyAlignment="1" applyProtection="1">
      <alignment horizontal="center" vertical="center"/>
      <protection/>
    </xf>
    <xf numFmtId="37" fontId="47" fillId="0" borderId="0" xfId="0" applyNumberFormat="1" applyFont="1" applyAlignment="1" applyProtection="1">
      <alignment horizontal="center" vertical="center"/>
      <protection locked="0"/>
    </xf>
    <xf numFmtId="37" fontId="58" fillId="34" borderId="0" xfId="0" applyNumberFormat="1" applyFont="1" applyFill="1" applyAlignment="1" applyProtection="1">
      <alignment horizontal="center" vertical="center"/>
      <protection/>
    </xf>
    <xf numFmtId="37" fontId="47" fillId="34" borderId="16" xfId="0" applyNumberFormat="1" applyFont="1" applyFill="1" applyBorder="1" applyAlignment="1" applyProtection="1">
      <alignment horizontal="center" vertical="center" wrapText="1"/>
      <protection/>
    </xf>
    <xf numFmtId="0" fontId="47" fillId="0" borderId="17" xfId="0" applyFont="1" applyBorder="1" applyAlignment="1">
      <alignment horizontal="center" vertical="center" wrapText="1"/>
    </xf>
    <xf numFmtId="37" fontId="60" fillId="34" borderId="0" xfId="0" applyNumberFormat="1" applyFont="1" applyFill="1" applyAlignment="1" applyProtection="1">
      <alignment horizontal="center" vertical="center"/>
      <protection/>
    </xf>
    <xf numFmtId="0" fontId="58" fillId="0" borderId="0" xfId="0" applyFont="1" applyAlignment="1">
      <alignment horizontal="center" vertical="center"/>
    </xf>
    <xf numFmtId="37" fontId="47" fillId="34" borderId="0" xfId="0" applyNumberFormat="1" applyFont="1" applyFill="1" applyAlignment="1" applyProtection="1">
      <alignment horizontal="center" vertical="center"/>
      <protection/>
    </xf>
    <xf numFmtId="0" fontId="47" fillId="0" borderId="0" xfId="0" applyFont="1" applyAlignment="1">
      <alignment horizontal="center" vertical="center"/>
    </xf>
    <xf numFmtId="0" fontId="47" fillId="0" borderId="0" xfId="0" applyFont="1" applyAlignment="1">
      <alignment vertical="center"/>
    </xf>
    <xf numFmtId="0" fontId="47" fillId="39" borderId="0" xfId="0" applyFont="1" applyFill="1" applyAlignment="1" applyProtection="1">
      <alignment horizontal="center" vertical="center"/>
      <protection/>
    </xf>
    <xf numFmtId="0" fontId="47" fillId="36" borderId="16" xfId="0" applyFont="1" applyFill="1" applyBorder="1" applyAlignment="1" applyProtection="1">
      <alignment horizontal="center" vertical="center" wrapText="1"/>
      <protection/>
    </xf>
    <xf numFmtId="0" fontId="47" fillId="0" borderId="17" xfId="0" applyFont="1" applyBorder="1" applyAlignment="1">
      <alignment vertical="center" wrapText="1"/>
    </xf>
    <xf numFmtId="0" fontId="58" fillId="34" borderId="0" xfId="0" applyFont="1" applyFill="1" applyAlignment="1" applyProtection="1">
      <alignment horizontal="center" vertical="center"/>
      <protection/>
    </xf>
    <xf numFmtId="37" fontId="4" fillId="34" borderId="16"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37" fontId="4" fillId="34" borderId="16" xfId="0" applyNumberFormat="1" applyFont="1" applyFill="1" applyBorder="1" applyAlignment="1" applyProtection="1">
      <alignment horizontal="center" wrapText="1"/>
      <protection/>
    </xf>
    <xf numFmtId="0" fontId="0" fillId="0" borderId="17" xfId="0" applyBorder="1" applyAlignment="1">
      <alignment horizontal="center" wrapText="1"/>
    </xf>
    <xf numFmtId="37" fontId="4" fillId="34" borderId="13" xfId="0"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5" xfId="0" applyBorder="1" applyAlignment="1">
      <alignment horizontal="center" vertical="center"/>
    </xf>
    <xf numFmtId="37" fontId="5" fillId="34" borderId="0" xfId="0" applyNumberFormat="1" applyFont="1" applyFill="1" applyAlignment="1" applyProtection="1">
      <alignment horizontal="center"/>
      <protection/>
    </xf>
    <xf numFmtId="0" fontId="55" fillId="34" borderId="0" xfId="0" applyFont="1" applyFill="1" applyAlignment="1" applyProtection="1">
      <alignment horizontal="center" vertical="center"/>
      <protection/>
    </xf>
    <xf numFmtId="0" fontId="47" fillId="39" borderId="35" xfId="0" applyFont="1" applyFill="1" applyBorder="1" applyAlignment="1" applyProtection="1">
      <alignment horizontal="center" vertical="center"/>
      <protection/>
    </xf>
    <xf numFmtId="0" fontId="47" fillId="0" borderId="18" xfId="0" applyFont="1" applyBorder="1" applyAlignment="1" applyProtection="1">
      <alignment vertical="center"/>
      <protection/>
    </xf>
    <xf numFmtId="1" fontId="47" fillId="34" borderId="35" xfId="0" applyNumberFormat="1" applyFont="1" applyFill="1" applyBorder="1" applyAlignment="1" applyProtection="1">
      <alignment horizontal="center" vertical="center"/>
      <protection/>
    </xf>
    <xf numFmtId="0" fontId="47" fillId="0" borderId="18" xfId="0" applyFont="1" applyBorder="1" applyAlignment="1" applyProtection="1">
      <alignment horizontal="center" vertical="center"/>
      <protection/>
    </xf>
    <xf numFmtId="3" fontId="47" fillId="39" borderId="31" xfId="90" applyNumberFormat="1" applyFont="1" applyFill="1" applyBorder="1" applyAlignment="1" applyProtection="1">
      <alignment horizontal="right" vertical="center"/>
      <protection/>
    </xf>
    <xf numFmtId="0" fontId="47" fillId="39" borderId="19" xfId="90" applyFont="1" applyFill="1" applyBorder="1" applyAlignment="1">
      <alignment horizontal="right" vertical="center"/>
      <protection/>
    </xf>
    <xf numFmtId="0" fontId="47" fillId="39" borderId="0" xfId="90" applyFont="1" applyFill="1" applyAlignment="1" applyProtection="1">
      <alignment horizontal="right" vertical="center"/>
      <protection/>
    </xf>
    <xf numFmtId="0" fontId="47" fillId="39" borderId="34" xfId="90" applyFont="1" applyFill="1" applyBorder="1" applyAlignment="1">
      <alignment horizontal="right" vertical="center"/>
      <protection/>
    </xf>
    <xf numFmtId="0" fontId="60" fillId="34" borderId="36" xfId="78" applyFont="1" applyFill="1" applyBorder="1" applyAlignment="1" applyProtection="1">
      <alignment horizontal="center" vertical="center"/>
      <protection/>
    </xf>
    <xf numFmtId="0" fontId="60" fillId="0" borderId="31" xfId="78" applyFont="1" applyBorder="1" applyAlignment="1" applyProtection="1">
      <alignment horizontal="center" vertical="center"/>
      <protection/>
    </xf>
    <xf numFmtId="0" fontId="47" fillId="0" borderId="19" xfId="78" applyFont="1" applyBorder="1" applyAlignment="1" applyProtection="1">
      <alignment vertical="center"/>
      <protection/>
    </xf>
    <xf numFmtId="0" fontId="47" fillId="39" borderId="0" xfId="0" applyNumberFormat="1" applyFont="1" applyFill="1" applyBorder="1" applyAlignment="1" applyProtection="1">
      <alignment horizontal="right" vertical="center"/>
      <protection/>
    </xf>
    <xf numFmtId="0" fontId="47" fillId="39" borderId="0" xfId="0" applyFont="1" applyFill="1" applyAlignment="1">
      <alignment horizontal="right" vertical="center"/>
    </xf>
    <xf numFmtId="184" fontId="60" fillId="39" borderId="36" xfId="0" applyNumberFormat="1" applyFont="1" applyFill="1" applyBorder="1" applyAlignment="1" applyProtection="1">
      <alignment horizontal="center"/>
      <protection/>
    </xf>
    <xf numFmtId="0" fontId="60" fillId="0" borderId="31" xfId="0" applyFont="1" applyBorder="1" applyAlignment="1">
      <alignment/>
    </xf>
    <xf numFmtId="0" fontId="60" fillId="0" borderId="19" xfId="0" applyFont="1" applyBorder="1" applyAlignment="1">
      <alignment/>
    </xf>
    <xf numFmtId="0" fontId="47" fillId="0" borderId="31" xfId="0" applyFont="1" applyBorder="1" applyAlignment="1">
      <alignment vertical="center"/>
    </xf>
    <xf numFmtId="0" fontId="47" fillId="0" borderId="19" xfId="0" applyFont="1" applyBorder="1" applyAlignment="1">
      <alignment vertical="center"/>
    </xf>
    <xf numFmtId="0" fontId="62" fillId="39" borderId="36" xfId="0" applyFont="1" applyFill="1" applyBorder="1" applyAlignment="1" applyProtection="1">
      <alignment horizontal="center" vertical="center"/>
      <protection/>
    </xf>
    <xf numFmtId="0" fontId="63" fillId="0" borderId="31" xfId="0" applyFont="1" applyBorder="1" applyAlignment="1">
      <alignment vertical="center"/>
    </xf>
    <xf numFmtId="0" fontId="63" fillId="0" borderId="19" xfId="0" applyFont="1" applyBorder="1" applyAlignment="1">
      <alignment vertical="center"/>
    </xf>
    <xf numFmtId="0" fontId="63" fillId="0" borderId="31" xfId="0" applyFont="1" applyBorder="1" applyAlignment="1">
      <alignment horizontal="center" vertical="center"/>
    </xf>
    <xf numFmtId="0" fontId="63" fillId="0" borderId="19" xfId="0" applyFont="1" applyBorder="1" applyAlignment="1">
      <alignment/>
    </xf>
    <xf numFmtId="0" fontId="7" fillId="34" borderId="0" xfId="0" applyNumberFormat="1" applyFont="1" applyFill="1" applyBorder="1" applyAlignment="1" applyProtection="1">
      <alignment horizontal="right" vertical="center"/>
      <protection/>
    </xf>
    <xf numFmtId="0" fontId="63" fillId="0" borderId="0" xfId="0" applyFont="1" applyAlignment="1">
      <alignment horizontal="right" vertical="center"/>
    </xf>
    <xf numFmtId="0" fontId="60" fillId="0" borderId="36" xfId="0" applyFont="1" applyFill="1" applyBorder="1" applyAlignment="1" applyProtection="1">
      <alignment horizontal="center" vertical="center"/>
      <protection/>
    </xf>
    <xf numFmtId="0" fontId="47" fillId="0" borderId="31" xfId="0" applyFont="1" applyFill="1" applyBorder="1" applyAlignment="1">
      <alignment vertical="center"/>
    </xf>
    <xf numFmtId="0" fontId="47" fillId="0" borderId="19" xfId="0" applyFont="1" applyFill="1" applyBorder="1" applyAlignment="1">
      <alignment vertical="center"/>
    </xf>
    <xf numFmtId="0" fontId="47" fillId="0" borderId="31" xfId="0" applyFont="1" applyFill="1" applyBorder="1" applyAlignment="1">
      <alignment horizontal="center" vertical="center"/>
    </xf>
    <xf numFmtId="0" fontId="47" fillId="0" borderId="19" xfId="0" applyFont="1" applyFill="1" applyBorder="1" applyAlignment="1">
      <alignment/>
    </xf>
    <xf numFmtId="0" fontId="60" fillId="39" borderId="36" xfId="0" applyFont="1" applyFill="1" applyBorder="1" applyAlignment="1" applyProtection="1">
      <alignment horizontal="center" vertical="center"/>
      <protection/>
    </xf>
    <xf numFmtId="0" fontId="47" fillId="0" borderId="31" xfId="0" applyFont="1" applyBorder="1" applyAlignment="1">
      <alignment horizontal="center" vertical="center"/>
    </xf>
    <xf numFmtId="0" fontId="47" fillId="0" borderId="19" xfId="0" applyFont="1" applyBorder="1" applyAlignment="1">
      <alignment/>
    </xf>
    <xf numFmtId="0" fontId="26" fillId="39" borderId="36" xfId="0" applyFont="1" applyFill="1" applyBorder="1" applyAlignment="1" applyProtection="1">
      <alignment horizontal="center" vertical="center"/>
      <protection/>
    </xf>
    <xf numFmtId="0" fontId="0" fillId="0" borderId="31" xfId="0" applyBorder="1" applyAlignment="1">
      <alignment vertical="center"/>
    </xf>
    <xf numFmtId="0" fontId="0" fillId="0" borderId="19" xfId="0" applyBorder="1" applyAlignment="1">
      <alignment vertical="center"/>
    </xf>
    <xf numFmtId="0" fontId="0" fillId="0" borderId="31" xfId="0" applyBorder="1" applyAlignment="1">
      <alignment horizontal="center" vertical="center"/>
    </xf>
    <xf numFmtId="0" fontId="0" fillId="0" borderId="19" xfId="0" applyBorder="1" applyAlignment="1">
      <alignment/>
    </xf>
    <xf numFmtId="184" fontId="26" fillId="39" borderId="36" xfId="0" applyNumberFormat="1" applyFont="1" applyFill="1" applyBorder="1" applyAlignment="1" applyProtection="1">
      <alignment horizontal="center"/>
      <protection/>
    </xf>
    <xf numFmtId="0" fontId="25" fillId="0" borderId="31" xfId="0" applyFont="1" applyBorder="1" applyAlignment="1">
      <alignment/>
    </xf>
    <xf numFmtId="0" fontId="25" fillId="0" borderId="19" xfId="0" applyFont="1" applyBorder="1" applyAlignment="1">
      <alignment/>
    </xf>
    <xf numFmtId="0" fontId="19" fillId="0" borderId="31" xfId="0" applyFont="1" applyBorder="1" applyAlignment="1">
      <alignment horizontal="center" vertical="center"/>
    </xf>
    <xf numFmtId="0" fontId="51" fillId="34" borderId="13" xfId="0" applyFont="1" applyFill="1" applyBorder="1" applyAlignment="1">
      <alignment horizontal="center" vertical="center"/>
    </xf>
    <xf numFmtId="0" fontId="51" fillId="34" borderId="15" xfId="0" applyFont="1" applyFill="1" applyBorder="1" applyAlignment="1">
      <alignment horizontal="center" vertical="center"/>
    </xf>
    <xf numFmtId="0" fontId="51" fillId="32" borderId="13" xfId="0" applyFont="1" applyFill="1" applyBorder="1" applyAlignment="1">
      <alignment horizontal="center" vertical="center"/>
    </xf>
    <xf numFmtId="0" fontId="51" fillId="32" borderId="15" xfId="0" applyFont="1" applyFill="1" applyBorder="1" applyAlignment="1">
      <alignment horizontal="center" vertical="center"/>
    </xf>
    <xf numFmtId="37" fontId="47" fillId="34" borderId="10" xfId="0" applyNumberFormat="1" applyFont="1" applyFill="1" applyBorder="1" applyAlignment="1" applyProtection="1">
      <alignment horizontal="center" vertical="center"/>
      <protection locked="0"/>
    </xf>
    <xf numFmtId="37" fontId="47" fillId="39" borderId="0" xfId="0" applyNumberFormat="1" applyFont="1" applyFill="1" applyAlignment="1" applyProtection="1">
      <alignment horizontal="center" vertical="center"/>
      <protection/>
    </xf>
    <xf numFmtId="37" fontId="48" fillId="36" borderId="0" xfId="0" applyNumberFormat="1" applyFont="1" applyFill="1" applyAlignment="1" applyProtection="1">
      <alignment horizontal="center" vertical="center" wrapText="1"/>
      <protection/>
    </xf>
    <xf numFmtId="0" fontId="48" fillId="36" borderId="10" xfId="0" applyFont="1" applyFill="1" applyBorder="1" applyAlignment="1">
      <alignment horizontal="center" vertical="center" wrapText="1"/>
    </xf>
    <xf numFmtId="37" fontId="54" fillId="34" borderId="0" xfId="0" applyNumberFormat="1" applyFont="1" applyFill="1" applyAlignment="1" applyProtection="1">
      <alignment horizontal="center" vertical="center"/>
      <protection/>
    </xf>
    <xf numFmtId="0" fontId="56" fillId="0" borderId="0" xfId="0" applyFont="1" applyAlignment="1">
      <alignment horizontal="center" vertical="center"/>
    </xf>
    <xf numFmtId="37" fontId="49" fillId="34" borderId="0" xfId="0" applyNumberFormat="1" applyFont="1" applyFill="1" applyAlignment="1" applyProtection="1">
      <alignment horizontal="center" vertical="center"/>
      <protection/>
    </xf>
    <xf numFmtId="0" fontId="49" fillId="0" borderId="0" xfId="0" applyFont="1" applyAlignment="1">
      <alignment horizontal="center" vertical="center"/>
    </xf>
    <xf numFmtId="0" fontId="48" fillId="34" borderId="0" xfId="0" applyFont="1" applyFill="1" applyBorder="1" applyAlignment="1" applyProtection="1">
      <alignment vertical="center" wrapText="1"/>
      <protection/>
    </xf>
    <xf numFmtId="37" fontId="24" fillId="34" borderId="0" xfId="0" applyNumberFormat="1" applyFont="1" applyFill="1" applyAlignment="1" applyProtection="1">
      <alignment horizontal="center" vertical="center"/>
      <protection/>
    </xf>
    <xf numFmtId="0" fontId="25" fillId="0" borderId="0" xfId="0" applyFont="1" applyAlignment="1">
      <alignment horizontal="center" vertical="center"/>
    </xf>
    <xf numFmtId="0" fontId="5" fillId="36" borderId="0" xfId="0" applyFont="1" applyFill="1" applyBorder="1" applyAlignment="1">
      <alignment horizontal="center" vertical="center"/>
    </xf>
    <xf numFmtId="0" fontId="1" fillId="36" borderId="0" xfId="0" applyFont="1" applyFill="1" applyBorder="1" applyAlignment="1">
      <alignment horizontal="center" vertical="center"/>
    </xf>
    <xf numFmtId="0" fontId="4" fillId="36" borderId="16" xfId="0" applyFont="1" applyFill="1" applyBorder="1" applyAlignment="1">
      <alignment horizontal="center" vertical="center" wrapText="1"/>
    </xf>
    <xf numFmtId="0" fontId="0" fillId="0" borderId="12" xfId="0" applyBorder="1" applyAlignment="1">
      <alignment horizontal="center" vertical="center" wrapText="1"/>
    </xf>
    <xf numFmtId="0" fontId="23" fillId="34" borderId="0" xfId="0" applyFont="1" applyFill="1" applyBorder="1" applyAlignment="1">
      <alignment vertical="center"/>
    </xf>
    <xf numFmtId="0" fontId="28" fillId="0" borderId="0" xfId="0" applyFont="1" applyAlignment="1">
      <alignment vertical="center"/>
    </xf>
    <xf numFmtId="0" fontId="4" fillId="0" borderId="0" xfId="383" applyFont="1" applyAlignment="1">
      <alignment horizontal="left" vertical="center" wrapText="1"/>
      <protection/>
    </xf>
    <xf numFmtId="0" fontId="11" fillId="0" borderId="0" xfId="383" applyFont="1" applyAlignment="1">
      <alignment horizontal="left" vertical="center" wrapText="1"/>
      <protection/>
    </xf>
    <xf numFmtId="0" fontId="22" fillId="0" borderId="0" xfId="383" applyFont="1" applyAlignment="1">
      <alignment horizontal="left"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5" fillId="34" borderId="0" xfId="0" applyFont="1" applyFill="1" applyAlignment="1" applyProtection="1">
      <alignment horizontal="center" vertical="center"/>
      <protection/>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0" fillId="0" borderId="0" xfId="0" applyAlignment="1">
      <alignment vertical="center"/>
    </xf>
    <xf numFmtId="0" fontId="13" fillId="0" borderId="0" xfId="0" applyFont="1" applyAlignment="1">
      <alignment horizontal="center" vertical="top"/>
    </xf>
    <xf numFmtId="0" fontId="14"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vertical="top" wrapText="1"/>
    </xf>
    <xf numFmtId="0" fontId="7" fillId="0" borderId="0" xfId="0" applyFont="1" applyAlignment="1">
      <alignment horizontal="center"/>
    </xf>
    <xf numFmtId="183" fontId="43" fillId="41" borderId="10" xfId="0" applyNumberFormat="1" applyFont="1" applyFill="1" applyBorder="1" applyAlignment="1" applyProtection="1">
      <alignment horizontal="center"/>
      <protection locked="0"/>
    </xf>
    <xf numFmtId="191" fontId="43" fillId="39" borderId="0" xfId="0" applyNumberFormat="1" applyFont="1" applyFill="1" applyBorder="1" applyAlignment="1">
      <alignment horizontal="center"/>
    </xf>
    <xf numFmtId="191" fontId="43" fillId="0" borderId="23" xfId="0" applyNumberFormat="1" applyFont="1" applyBorder="1" applyAlignment="1">
      <alignment horizontal="center"/>
    </xf>
    <xf numFmtId="5" fontId="43" fillId="39" borderId="10" xfId="0" applyNumberFormat="1" applyFont="1" applyFill="1" applyBorder="1" applyAlignment="1">
      <alignment horizontal="center"/>
    </xf>
    <xf numFmtId="190" fontId="43" fillId="39" borderId="0" xfId="0" applyNumberFormat="1" applyFont="1" applyFill="1" applyBorder="1" applyAlignment="1">
      <alignment horizontal="center"/>
    </xf>
    <xf numFmtId="0" fontId="43" fillId="39" borderId="31" xfId="0" applyFont="1" applyFill="1" applyBorder="1" applyAlignment="1">
      <alignment horizontal="center"/>
    </xf>
    <xf numFmtId="0" fontId="43" fillId="39" borderId="22" xfId="0" applyFont="1" applyFill="1" applyBorder="1" applyAlignment="1">
      <alignment vertical="top" wrapText="1"/>
    </xf>
    <xf numFmtId="0" fontId="43" fillId="0" borderId="0" xfId="0" applyFont="1" applyAlignment="1">
      <alignment vertical="top" wrapText="1"/>
    </xf>
    <xf numFmtId="0" fontId="43" fillId="0" borderId="23" xfId="0" applyFont="1" applyBorder="1" applyAlignment="1">
      <alignment vertical="top" wrapText="1"/>
    </xf>
    <xf numFmtId="0" fontId="43" fillId="0" borderId="23" xfId="0" applyFont="1" applyBorder="1" applyAlignment="1">
      <alignment horizontal="center"/>
    </xf>
    <xf numFmtId="0" fontId="108" fillId="39" borderId="0" xfId="0" applyFont="1" applyFill="1" applyBorder="1" applyAlignment="1">
      <alignment horizontal="center" wrapText="1"/>
    </xf>
    <xf numFmtId="0" fontId="108" fillId="0" borderId="0" xfId="0" applyFont="1" applyAlignment="1">
      <alignment horizontal="center" wrapText="1"/>
    </xf>
    <xf numFmtId="0" fontId="108" fillId="39" borderId="0" xfId="0" applyFont="1" applyFill="1" applyAlignment="1">
      <alignment horizontal="center" wrapText="1"/>
    </xf>
    <xf numFmtId="0" fontId="43" fillId="39" borderId="0" xfId="0" applyFont="1" applyFill="1" applyAlignment="1">
      <alignment wrapText="1"/>
    </xf>
    <xf numFmtId="190" fontId="43" fillId="41" borderId="10" xfId="0" applyNumberFormat="1" applyFont="1" applyFill="1" applyBorder="1" applyAlignment="1" applyProtection="1">
      <alignment horizontal="center"/>
      <protection locked="0"/>
    </xf>
    <xf numFmtId="0" fontId="108" fillId="39" borderId="24" xfId="0" applyFont="1" applyFill="1" applyBorder="1" applyAlignment="1">
      <alignment horizontal="center" vertical="center"/>
    </xf>
    <xf numFmtId="0" fontId="43" fillId="0" borderId="24" xfId="0" applyFont="1" applyBorder="1" applyAlignment="1">
      <alignment horizontal="center" vertical="center"/>
    </xf>
    <xf numFmtId="0" fontId="43" fillId="0" borderId="0" xfId="0" applyFont="1" applyAlignment="1">
      <alignment horizontal="center" wrapText="1"/>
    </xf>
    <xf numFmtId="0" fontId="108" fillId="39" borderId="0" xfId="0" applyFont="1" applyFill="1" applyAlignment="1">
      <alignment horizontal="center"/>
    </xf>
    <xf numFmtId="0" fontId="43" fillId="0" borderId="0" xfId="0" applyFont="1" applyAlignment="1">
      <alignment wrapText="1"/>
    </xf>
    <xf numFmtId="190" fontId="43" fillId="39" borderId="0" xfId="0" applyNumberFormat="1" applyFont="1" applyFill="1" applyAlignment="1">
      <alignment horizontal="center"/>
    </xf>
    <xf numFmtId="190" fontId="43" fillId="41" borderId="26" xfId="0" applyNumberFormat="1" applyFont="1" applyFill="1" applyBorder="1" applyAlignment="1" applyProtection="1">
      <alignment horizontal="center"/>
      <protection locked="0"/>
    </xf>
    <xf numFmtId="0" fontId="43" fillId="39" borderId="0" xfId="0" applyFont="1" applyFill="1" applyBorder="1" applyAlignment="1">
      <alignment/>
    </xf>
    <xf numFmtId="0" fontId="43" fillId="0" borderId="0" xfId="0" applyFont="1" applyBorder="1" applyAlignment="1">
      <alignment/>
    </xf>
    <xf numFmtId="0" fontId="43" fillId="39" borderId="28" xfId="0" applyFont="1" applyFill="1" applyBorder="1" applyAlignment="1">
      <alignment/>
    </xf>
    <xf numFmtId="0" fontId="43" fillId="39" borderId="29" xfId="0" applyFont="1" applyFill="1" applyBorder="1" applyAlignment="1">
      <alignment/>
    </xf>
    <xf numFmtId="0" fontId="108" fillId="39" borderId="0" xfId="0" applyFont="1" applyFill="1" applyAlignment="1">
      <alignment horizontal="center" vertical="center"/>
    </xf>
    <xf numFmtId="0" fontId="108" fillId="0" borderId="0" xfId="0" applyFont="1" applyAlignment="1">
      <alignment horizontal="center" vertical="center"/>
    </xf>
    <xf numFmtId="190" fontId="43" fillId="39" borderId="0" xfId="0" applyNumberFormat="1" applyFont="1" applyFill="1" applyAlignment="1">
      <alignment/>
    </xf>
    <xf numFmtId="0" fontId="43" fillId="39" borderId="0" xfId="0" applyFont="1" applyFill="1" applyBorder="1" applyAlignment="1">
      <alignment wrapText="1"/>
    </xf>
    <xf numFmtId="0" fontId="43" fillId="39" borderId="0" xfId="0" applyFont="1" applyFill="1" applyBorder="1" applyAlignment="1">
      <alignment horizontal="center"/>
    </xf>
  </cellXfs>
  <cellStyles count="39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5" xfId="52"/>
    <cellStyle name="Comma 6"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3 2" xfId="66"/>
    <cellStyle name="Hyperlink 7" xfId="67"/>
    <cellStyle name="Hyperlink 7 2" xfId="68"/>
    <cellStyle name="Input" xfId="69"/>
    <cellStyle name="Linked Cell" xfId="70"/>
    <cellStyle name="Neutral" xfId="71"/>
    <cellStyle name="Normal 10" xfId="72"/>
    <cellStyle name="Normal 10 2" xfId="73"/>
    <cellStyle name="Normal 10 2 2" xfId="74"/>
    <cellStyle name="Normal 10 2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9" xfId="139"/>
    <cellStyle name="Normal 19 2" xfId="140"/>
    <cellStyle name="Normal 19 2 2" xfId="141"/>
    <cellStyle name="Normal 19 2 3" xfId="142"/>
    <cellStyle name="Normal 19 3" xfId="143"/>
    <cellStyle name="Normal 19 4" xfId="144"/>
    <cellStyle name="Normal 19 5" xfId="145"/>
    <cellStyle name="Normal 19 6" xfId="146"/>
    <cellStyle name="Normal 2" xfId="147"/>
    <cellStyle name="Normal 2 10" xfId="148"/>
    <cellStyle name="Normal 2 10 10" xfId="149"/>
    <cellStyle name="Normal 2 10 2" xfId="150"/>
    <cellStyle name="Normal 2 10 2 2" xfId="151"/>
    <cellStyle name="Normal 2 10 3" xfId="152"/>
    <cellStyle name="Normal 2 10 3 2" xfId="153"/>
    <cellStyle name="Normal 2 10 4" xfId="154"/>
    <cellStyle name="Normal 2 10 4 2" xfId="155"/>
    <cellStyle name="Normal 2 10 5" xfId="156"/>
    <cellStyle name="Normal 2 10 5 2" xfId="157"/>
    <cellStyle name="Normal 2 10 6" xfId="158"/>
    <cellStyle name="Normal 2 10 6 2" xfId="159"/>
    <cellStyle name="Normal 2 10 7" xfId="160"/>
    <cellStyle name="Normal 2 10 7 2" xfId="161"/>
    <cellStyle name="Normal 2 10 8" xfId="162"/>
    <cellStyle name="Normal 2 10 8 2" xfId="163"/>
    <cellStyle name="Normal 2 10 9" xfId="164"/>
    <cellStyle name="Normal 2 11" xfId="165"/>
    <cellStyle name="Normal 2 11 10" xfId="166"/>
    <cellStyle name="Normal 2 11 2" xfId="167"/>
    <cellStyle name="Normal 2 11 2 2" xfId="168"/>
    <cellStyle name="Normal 2 11 3" xfId="169"/>
    <cellStyle name="Normal 2 11 3 2" xfId="170"/>
    <cellStyle name="Normal 2 11 4" xfId="171"/>
    <cellStyle name="Normal 2 11 4 2" xfId="172"/>
    <cellStyle name="Normal 2 11 5" xfId="173"/>
    <cellStyle name="Normal 2 11 5 2" xfId="174"/>
    <cellStyle name="Normal 2 11 6" xfId="175"/>
    <cellStyle name="Normal 2 11 6 2" xfId="176"/>
    <cellStyle name="Normal 2 11 7" xfId="177"/>
    <cellStyle name="Normal 2 11 7 2" xfId="178"/>
    <cellStyle name="Normal 2 11 8" xfId="179"/>
    <cellStyle name="Normal 2 11 8 2" xfId="180"/>
    <cellStyle name="Normal 2 11 9" xfId="181"/>
    <cellStyle name="Normal 2 12" xfId="182"/>
    <cellStyle name="Normal 2 13" xfId="183"/>
    <cellStyle name="Normal 2 14" xfId="184"/>
    <cellStyle name="Normal 2 15" xfId="185"/>
    <cellStyle name="Normal 2 16" xfId="186"/>
    <cellStyle name="Normal 2 2" xfId="187"/>
    <cellStyle name="Normal 2 2 10" xfId="188"/>
    <cellStyle name="Normal 2 2 10 2" xfId="189"/>
    <cellStyle name="Normal 2 2 11" xfId="190"/>
    <cellStyle name="Normal 2 2 11 2" xfId="191"/>
    <cellStyle name="Normal 2 2 12" xfId="192"/>
    <cellStyle name="Normal 2 2 12 2" xfId="193"/>
    <cellStyle name="Normal 2 2 13" xfId="194"/>
    <cellStyle name="Normal 2 2 13 2" xfId="195"/>
    <cellStyle name="Normal 2 2 14" xfId="196"/>
    <cellStyle name="Normal 2 2 14 2" xfId="197"/>
    <cellStyle name="Normal 2 2 15" xfId="198"/>
    <cellStyle name="Normal 2 2 15 2" xfId="199"/>
    <cellStyle name="Normal 2 2 16" xfId="200"/>
    <cellStyle name="Normal 2 2 17" xfId="201"/>
    <cellStyle name="Normal 2 2 18" xfId="202"/>
    <cellStyle name="Normal 2 2 19" xfId="203"/>
    <cellStyle name="Normal 2 2 2" xfId="204"/>
    <cellStyle name="Normal 2 2 2 2" xfId="205"/>
    <cellStyle name="Normal 2 2 2 2 2" xfId="206"/>
    <cellStyle name="Normal 2 2 2 3" xfId="207"/>
    <cellStyle name="Normal 2 2 2 3 2" xfId="208"/>
    <cellStyle name="Normal 2 2 2 4" xfId="209"/>
    <cellStyle name="Normal 2 2 2 4 2" xfId="210"/>
    <cellStyle name="Normal 2 2 2 5" xfId="211"/>
    <cellStyle name="Normal 2 2 2 5 2" xfId="212"/>
    <cellStyle name="Normal 2 2 2 6" xfId="213"/>
    <cellStyle name="Normal 2 2 2 6 2" xfId="214"/>
    <cellStyle name="Normal 2 2 2 7" xfId="215"/>
    <cellStyle name="Normal 2 2 2 8" xfId="216"/>
    <cellStyle name="Normal 2 2 20" xfId="217"/>
    <cellStyle name="Normal 2 2 21" xfId="218"/>
    <cellStyle name="Normal 2 2 3" xfId="219"/>
    <cellStyle name="Normal 2 2 3 2" xfId="220"/>
    <cellStyle name="Normal 2 2 4" xfId="221"/>
    <cellStyle name="Normal 2 2 4 2" xfId="222"/>
    <cellStyle name="Normal 2 2 5" xfId="223"/>
    <cellStyle name="Normal 2 2 5 2" xfId="224"/>
    <cellStyle name="Normal 2 2 6" xfId="225"/>
    <cellStyle name="Normal 2 2 6 2" xfId="226"/>
    <cellStyle name="Normal 2 2 7" xfId="227"/>
    <cellStyle name="Normal 2 2 7 2" xfId="228"/>
    <cellStyle name="Normal 2 2 8" xfId="229"/>
    <cellStyle name="Normal 2 2 8 2" xfId="230"/>
    <cellStyle name="Normal 2 2 9" xfId="231"/>
    <cellStyle name="Normal 2 2 9 2" xfId="232"/>
    <cellStyle name="Normal 2 3" xfId="233"/>
    <cellStyle name="Normal 2 3 10" xfId="234"/>
    <cellStyle name="Normal 2 3 11" xfId="235"/>
    <cellStyle name="Normal 2 3 12" xfId="236"/>
    <cellStyle name="Normal 2 3 13" xfId="237"/>
    <cellStyle name="Normal 2 3 14" xfId="238"/>
    <cellStyle name="Normal 2 3 2" xfId="239"/>
    <cellStyle name="Normal 2 3 2 2" xfId="240"/>
    <cellStyle name="Normal 2 3 3" xfId="241"/>
    <cellStyle name="Normal 2 3 3 2" xfId="242"/>
    <cellStyle name="Normal 2 3 3 3" xfId="243"/>
    <cellStyle name="Normal 2 3 4" xfId="244"/>
    <cellStyle name="Normal 2 3 5" xfId="245"/>
    <cellStyle name="Normal 2 3 6" xfId="246"/>
    <cellStyle name="Normal 2 3 7" xfId="247"/>
    <cellStyle name="Normal 2 3 8" xfId="248"/>
    <cellStyle name="Normal 2 3 9" xfId="249"/>
    <cellStyle name="Normal 2 4" xfId="250"/>
    <cellStyle name="Normal 2 4 10" xfId="251"/>
    <cellStyle name="Normal 2 4 11" xfId="252"/>
    <cellStyle name="Normal 2 4 2" xfId="253"/>
    <cellStyle name="Normal 2 4 2 2" xfId="254"/>
    <cellStyle name="Normal 2 4 3" xfId="255"/>
    <cellStyle name="Normal 2 4 3 2" xfId="256"/>
    <cellStyle name="Normal 2 4 3 3" xfId="257"/>
    <cellStyle name="Normal 2 4 4" xfId="258"/>
    <cellStyle name="Normal 2 4 5" xfId="259"/>
    <cellStyle name="Normal 2 4 6" xfId="260"/>
    <cellStyle name="Normal 2 4 7" xfId="261"/>
    <cellStyle name="Normal 2 4 8" xfId="262"/>
    <cellStyle name="Normal 2 4 9" xfId="263"/>
    <cellStyle name="Normal 2 5" xfId="264"/>
    <cellStyle name="Normal 2 5 10" xfId="265"/>
    <cellStyle name="Normal 2 5 11" xfId="266"/>
    <cellStyle name="Normal 2 5 12" xfId="267"/>
    <cellStyle name="Normal 2 5 2" xfId="268"/>
    <cellStyle name="Normal 2 5 2 2" xfId="269"/>
    <cellStyle name="Normal 2 5 3" xfId="270"/>
    <cellStyle name="Normal 2 5 3 2" xfId="271"/>
    <cellStyle name="Normal 2 5 4" xfId="272"/>
    <cellStyle name="Normal 2 5 5" xfId="273"/>
    <cellStyle name="Normal 2 5 6" xfId="274"/>
    <cellStyle name="Normal 2 5 7" xfId="275"/>
    <cellStyle name="Normal 2 5 8" xfId="276"/>
    <cellStyle name="Normal 2 5 9" xfId="277"/>
    <cellStyle name="Normal 2 6" xfId="278"/>
    <cellStyle name="Normal 2 6 10" xfId="279"/>
    <cellStyle name="Normal 2 6 11" xfId="280"/>
    <cellStyle name="Normal 2 6 12" xfId="281"/>
    <cellStyle name="Normal 2 6 2" xfId="282"/>
    <cellStyle name="Normal 2 6 2 2" xfId="283"/>
    <cellStyle name="Normal 2 6 3" xfId="284"/>
    <cellStyle name="Normal 2 6 3 2" xfId="285"/>
    <cellStyle name="Normal 2 6 4" xfId="286"/>
    <cellStyle name="Normal 2 6 5" xfId="287"/>
    <cellStyle name="Normal 2 6 6" xfId="288"/>
    <cellStyle name="Normal 2 6 7" xfId="289"/>
    <cellStyle name="Normal 2 6 8" xfId="290"/>
    <cellStyle name="Normal 2 6 9" xfId="291"/>
    <cellStyle name="Normal 2 7" xfId="292"/>
    <cellStyle name="Normal 2 7 10" xfId="293"/>
    <cellStyle name="Normal 2 7 2" xfId="294"/>
    <cellStyle name="Normal 2 7 2 2" xfId="295"/>
    <cellStyle name="Normal 2 7 2 3" xfId="296"/>
    <cellStyle name="Normal 2 7 3" xfId="297"/>
    <cellStyle name="Normal 2 7 3 2" xfId="298"/>
    <cellStyle name="Normal 2 7 4" xfId="299"/>
    <cellStyle name="Normal 2 7 4 2" xfId="300"/>
    <cellStyle name="Normal 2 7 5" xfId="301"/>
    <cellStyle name="Normal 2 7 5 2" xfId="302"/>
    <cellStyle name="Normal 2 7 6" xfId="303"/>
    <cellStyle name="Normal 2 7 6 2" xfId="304"/>
    <cellStyle name="Normal 2 7 7" xfId="305"/>
    <cellStyle name="Normal 2 7 7 2" xfId="306"/>
    <cellStyle name="Normal 2 7 8" xfId="307"/>
    <cellStyle name="Normal 2 7 8 2" xfId="308"/>
    <cellStyle name="Normal 2 7 9" xfId="309"/>
    <cellStyle name="Normal 2 8" xfId="310"/>
    <cellStyle name="Normal 2 8 10" xfId="311"/>
    <cellStyle name="Normal 2 8 2" xfId="312"/>
    <cellStyle name="Normal 2 8 2 2" xfId="313"/>
    <cellStyle name="Normal 2 8 3" xfId="314"/>
    <cellStyle name="Normal 2 8 3 2" xfId="315"/>
    <cellStyle name="Normal 2 8 4" xfId="316"/>
    <cellStyle name="Normal 2 8 4 2" xfId="317"/>
    <cellStyle name="Normal 2 8 5" xfId="318"/>
    <cellStyle name="Normal 2 8 5 2" xfId="319"/>
    <cellStyle name="Normal 2 8 6" xfId="320"/>
    <cellStyle name="Normal 2 8 6 2" xfId="321"/>
    <cellStyle name="Normal 2 8 7" xfId="322"/>
    <cellStyle name="Normal 2 8 7 2" xfId="323"/>
    <cellStyle name="Normal 2 8 8" xfId="324"/>
    <cellStyle name="Normal 2 8 8 2" xfId="325"/>
    <cellStyle name="Normal 2 8 9" xfId="326"/>
    <cellStyle name="Normal 2 9" xfId="327"/>
    <cellStyle name="Normal 2 9 10" xfId="328"/>
    <cellStyle name="Normal 2 9 2" xfId="329"/>
    <cellStyle name="Normal 2 9 2 2" xfId="330"/>
    <cellStyle name="Normal 2 9 3" xfId="331"/>
    <cellStyle name="Normal 2 9 3 2" xfId="332"/>
    <cellStyle name="Normal 2 9 4" xfId="333"/>
    <cellStyle name="Normal 2 9 4 2" xfId="334"/>
    <cellStyle name="Normal 2 9 5" xfId="335"/>
    <cellStyle name="Normal 2 9 5 2" xfId="336"/>
    <cellStyle name="Normal 2 9 6" xfId="337"/>
    <cellStyle name="Normal 2 9 6 2" xfId="338"/>
    <cellStyle name="Normal 2 9 7" xfId="339"/>
    <cellStyle name="Normal 2 9 7 2" xfId="340"/>
    <cellStyle name="Normal 2 9 8" xfId="341"/>
    <cellStyle name="Normal 2 9 8 2" xfId="342"/>
    <cellStyle name="Normal 2 9 9" xfId="343"/>
    <cellStyle name="Normal 20" xfId="344"/>
    <cellStyle name="Normal 20 2" xfId="345"/>
    <cellStyle name="Normal 20 3" xfId="346"/>
    <cellStyle name="Normal 22" xfId="347"/>
    <cellStyle name="Normal 22 2" xfId="348"/>
    <cellStyle name="Normal 22 3" xfId="349"/>
    <cellStyle name="Normal 23" xfId="350"/>
    <cellStyle name="Normal 23 2" xfId="351"/>
    <cellStyle name="Normal 23 3" xfId="352"/>
    <cellStyle name="Normal 24" xfId="353"/>
    <cellStyle name="Normal 24 2" xfId="354"/>
    <cellStyle name="Normal 24 3" xfId="355"/>
    <cellStyle name="Normal 25" xfId="356"/>
    <cellStyle name="Normal 25 2" xfId="357"/>
    <cellStyle name="Normal 25 3" xfId="358"/>
    <cellStyle name="Normal 3" xfId="359"/>
    <cellStyle name="Normal 3 2" xfId="360"/>
    <cellStyle name="Normal 3 3" xfId="361"/>
    <cellStyle name="Normal 3 3 2" xfId="362"/>
    <cellStyle name="Normal 3 3 3" xfId="363"/>
    <cellStyle name="Normal 3 4" xfId="364"/>
    <cellStyle name="Normal 3 5" xfId="365"/>
    <cellStyle name="Normal 3 6" xfId="366"/>
    <cellStyle name="Normal 3 7" xfId="367"/>
    <cellStyle name="Normal 4" xfId="368"/>
    <cellStyle name="Normal 4 2" xfId="369"/>
    <cellStyle name="Normal 4 3" xfId="370"/>
    <cellStyle name="Normal 4 3 2" xfId="371"/>
    <cellStyle name="Normal 4 3 3" xfId="372"/>
    <cellStyle name="Normal 4 4" xfId="373"/>
    <cellStyle name="Normal 4 5" xfId="374"/>
    <cellStyle name="Normal 5" xfId="375"/>
    <cellStyle name="Normal 5 2" xfId="376"/>
    <cellStyle name="Normal 5 3" xfId="377"/>
    <cellStyle name="Normal 6" xfId="378"/>
    <cellStyle name="Normal 6 2" xfId="379"/>
    <cellStyle name="Normal 6 3" xfId="380"/>
    <cellStyle name="Normal 6 4" xfId="381"/>
    <cellStyle name="Normal 6 5" xfId="382"/>
    <cellStyle name="Normal 7" xfId="383"/>
    <cellStyle name="Normal 7 2" xfId="384"/>
    <cellStyle name="Normal 7 2 2" xfId="385"/>
    <cellStyle name="Normal 7 2 2 2" xfId="386"/>
    <cellStyle name="Normal 7 2 3" xfId="387"/>
    <cellStyle name="Normal 7 2 4" xfId="388"/>
    <cellStyle name="Normal 7 3" xfId="389"/>
    <cellStyle name="Normal 7 4" xfId="390"/>
    <cellStyle name="Normal 7 5" xfId="391"/>
    <cellStyle name="Normal 7 5 2" xfId="392"/>
    <cellStyle name="Normal 7 5 3" xfId="393"/>
    <cellStyle name="Normal 7 6" xfId="394"/>
    <cellStyle name="Normal 8" xfId="395"/>
    <cellStyle name="Normal 8 2" xfId="396"/>
    <cellStyle name="Normal 9" xfId="397"/>
    <cellStyle name="Normal 9 2" xfId="398"/>
    <cellStyle name="Normal 9 2 2" xfId="399"/>
    <cellStyle name="Normal 9 3" xfId="400"/>
    <cellStyle name="Normal 9 4" xfId="401"/>
    <cellStyle name="Normal 9 5" xfId="402"/>
    <cellStyle name="Normal_debt" xfId="403"/>
    <cellStyle name="Normal_lpform" xfId="404"/>
    <cellStyle name="Normal_Township 07" xfId="405"/>
    <cellStyle name="Note" xfId="406"/>
    <cellStyle name="Output" xfId="407"/>
    <cellStyle name="Percent" xfId="408"/>
    <cellStyle name="Title" xfId="409"/>
    <cellStyle name="Total" xfId="410"/>
    <cellStyle name="Warning Text" xfId="411"/>
  </cellStyles>
  <dxfs count="43">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F54"/>
  <sheetViews>
    <sheetView tabSelected="1" zoomScale="90" zoomScaleNormal="90" zoomScalePageLayoutView="0" workbookViewId="0" topLeftCell="A1">
      <selection activeCell="B33" sqref="B33"/>
    </sheetView>
  </sheetViews>
  <sheetFormatPr defaultColWidth="8.796875" defaultRowHeight="15"/>
  <cols>
    <col min="1" max="1" width="24.19921875" style="420" customWidth="1"/>
    <col min="2" max="2" width="9.796875" style="420" customWidth="1"/>
    <col min="3" max="3" width="5.796875" style="420" customWidth="1"/>
    <col min="4" max="6" width="15.796875" style="420" customWidth="1"/>
    <col min="7" max="16384" width="8.8984375" style="420" customWidth="1"/>
  </cols>
  <sheetData>
    <row r="1" spans="1:6" ht="14.25">
      <c r="A1" s="750"/>
      <c r="B1" s="750"/>
      <c r="C1" s="750"/>
      <c r="D1" s="750"/>
      <c r="E1" s="750"/>
      <c r="F1" s="750"/>
    </row>
    <row r="2" spans="1:6" ht="15">
      <c r="A2" s="841" t="s">
        <v>201</v>
      </c>
      <c r="B2" s="841"/>
      <c r="C2" s="841"/>
      <c r="D2" s="841"/>
      <c r="E2" s="841"/>
      <c r="F2" s="841"/>
    </row>
    <row r="3" spans="1:6" ht="15" customHeight="1">
      <c r="A3" s="418"/>
      <c r="B3" s="418"/>
      <c r="C3" s="418"/>
      <c r="D3" s="418"/>
      <c r="E3" s="418"/>
      <c r="F3" s="750">
        <f>inputPrYr!C4</f>
        <v>2013</v>
      </c>
    </row>
    <row r="4" spans="1:6" ht="14.25">
      <c r="A4" s="846" t="str">
        <f>CONCATENATE("To the Clerk of ",inputPrYr!C2,", State of Kansas")</f>
        <v>To the Clerk of Wyandotte County, State of Kansas</v>
      </c>
      <c r="B4" s="847"/>
      <c r="C4" s="847"/>
      <c r="D4" s="847"/>
      <c r="E4" s="847"/>
      <c r="F4" s="847"/>
    </row>
    <row r="5" spans="1:6" ht="14.25">
      <c r="A5" s="846" t="s">
        <v>5</v>
      </c>
      <c r="B5" s="848"/>
      <c r="C5" s="848"/>
      <c r="D5" s="848"/>
      <c r="E5" s="848"/>
      <c r="F5" s="848"/>
    </row>
    <row r="6" spans="1:6" ht="15">
      <c r="A6" s="844" t="str">
        <f>(inputPrYr!C2)</f>
        <v>Wyandotte County</v>
      </c>
      <c r="B6" s="845"/>
      <c r="C6" s="845"/>
      <c r="D6" s="845"/>
      <c r="E6" s="845"/>
      <c r="F6" s="845"/>
    </row>
    <row r="7" spans="1:6" ht="14.25">
      <c r="A7" s="735" t="s">
        <v>120</v>
      </c>
      <c r="B7" s="688"/>
      <c r="C7" s="688"/>
      <c r="D7" s="688"/>
      <c r="E7" s="688"/>
      <c r="F7" s="688"/>
    </row>
    <row r="8" spans="1:6" ht="14.25">
      <c r="A8" s="735" t="s">
        <v>121</v>
      </c>
      <c r="B8" s="688"/>
      <c r="C8" s="688"/>
      <c r="D8" s="688"/>
      <c r="E8" s="688"/>
      <c r="F8" s="688"/>
    </row>
    <row r="9" spans="1:6" ht="14.25">
      <c r="A9" s="735" t="str">
        <f>CONCATENATE("maximum expenditure for the various funds for the year ",F3,"; and")</f>
        <v>maximum expenditure for the various funds for the year 2013; and</v>
      </c>
      <c r="B9" s="688"/>
      <c r="C9" s="688"/>
      <c r="D9" s="688"/>
      <c r="E9" s="688"/>
      <c r="F9" s="688"/>
    </row>
    <row r="10" spans="1:6" ht="14.25">
      <c r="A10" s="735" t="str">
        <f>CONCATENATE("(3) the Amount(s) of ",F3-1," Ad Valorem Tax are within statutory limitations.")</f>
        <v>(3) the Amount(s) of 2012 Ad Valorem Tax are within statutory limitations.</v>
      </c>
      <c r="B10" s="688"/>
      <c r="C10" s="688"/>
      <c r="D10" s="688"/>
      <c r="E10" s="688"/>
      <c r="F10" s="688"/>
    </row>
    <row r="11" spans="1:6" ht="8.25" customHeight="1">
      <c r="A11" s="490"/>
      <c r="B11" s="418"/>
      <c r="C11" s="418"/>
      <c r="D11" s="489"/>
      <c r="E11" s="489"/>
      <c r="F11" s="489"/>
    </row>
    <row r="12" spans="1:6" ht="14.25">
      <c r="A12" s="418"/>
      <c r="B12" s="418"/>
      <c r="C12" s="418"/>
      <c r="D12" s="739" t="str">
        <f>CONCATENATE("",F3," Adopted Budget")</f>
        <v>2013 Adopted Budget</v>
      </c>
      <c r="E12" s="740"/>
      <c r="F12" s="737"/>
    </row>
    <row r="13" spans="1:6" ht="13.5" customHeight="1">
      <c r="A13" s="418"/>
      <c r="B13" s="418"/>
      <c r="C13" s="427" t="s">
        <v>122</v>
      </c>
      <c r="D13" s="802" t="s">
        <v>622</v>
      </c>
      <c r="E13" s="842" t="str">
        <f>CONCATENATE("Amount of ",F3-1,"               Ad Valorem Tax")</f>
        <v>Amount of 2012               Ad Valorem Tax</v>
      </c>
      <c r="F13" s="427" t="s">
        <v>123</v>
      </c>
    </row>
    <row r="14" spans="1:6" ht="12.75" customHeight="1">
      <c r="A14" s="803" t="s">
        <v>124</v>
      </c>
      <c r="B14" s="449"/>
      <c r="C14" s="804" t="s">
        <v>125</v>
      </c>
      <c r="D14" s="805" t="s">
        <v>623</v>
      </c>
      <c r="E14" s="843"/>
      <c r="F14" s="804" t="s">
        <v>127</v>
      </c>
    </row>
    <row r="15" spans="1:6" ht="14.25">
      <c r="A15" s="746" t="str">
        <f>CONCATENATE("Computation to Determine Limit for ",F3,"")</f>
        <v>Computation to Determine Limit for 2013</v>
      </c>
      <c r="B15" s="806"/>
      <c r="C15" s="804" t="s">
        <v>1027</v>
      </c>
      <c r="D15" s="807"/>
      <c r="E15" s="807"/>
      <c r="F15" s="807"/>
    </row>
    <row r="16" spans="1:6" ht="14.25">
      <c r="A16" s="455" t="s">
        <v>786</v>
      </c>
      <c r="B16" s="806"/>
      <c r="C16" s="808" t="s">
        <v>1028</v>
      </c>
      <c r="D16" s="807"/>
      <c r="E16" s="807"/>
      <c r="F16" s="807"/>
    </row>
    <row r="17" spans="1:6" ht="14.25">
      <c r="A17" s="494" t="s">
        <v>251</v>
      </c>
      <c r="B17" s="482"/>
      <c r="C17" s="808" t="s">
        <v>1029</v>
      </c>
      <c r="D17" s="807"/>
      <c r="E17" s="807"/>
      <c r="F17" s="807"/>
    </row>
    <row r="18" spans="1:6" ht="14.25">
      <c r="A18" s="455" t="s">
        <v>128</v>
      </c>
      <c r="B18" s="806"/>
      <c r="C18" s="809" t="s">
        <v>1030</v>
      </c>
      <c r="D18" s="810"/>
      <c r="E18" s="810"/>
      <c r="F18" s="810"/>
    </row>
    <row r="19" spans="1:6" ht="14.25">
      <c r="A19" s="455" t="s">
        <v>129</v>
      </c>
      <c r="B19" s="806"/>
      <c r="C19" s="811" t="s">
        <v>1031</v>
      </c>
      <c r="D19" s="810"/>
      <c r="E19" s="810"/>
      <c r="F19" s="810"/>
    </row>
    <row r="20" spans="1:6" ht="15">
      <c r="A20" s="812" t="s">
        <v>130</v>
      </c>
      <c r="B20" s="813" t="s">
        <v>131</v>
      </c>
      <c r="C20" s="511"/>
      <c r="D20" s="814"/>
      <c r="E20" s="814"/>
      <c r="F20" s="814"/>
    </row>
    <row r="21" spans="1:6" ht="14.25">
      <c r="A21" s="746" t="str">
        <f>inputPrYr!B16</f>
        <v>General</v>
      </c>
      <c r="B21" s="815" t="str">
        <f>inputPrYr!C16</f>
        <v>79-1946</v>
      </c>
      <c r="C21" s="809" t="s">
        <v>1032</v>
      </c>
      <c r="D21" s="816">
        <f>IF(general!$F$91&lt;&gt;0,general!$F$91,"  ")</f>
        <v>52467420</v>
      </c>
      <c r="E21" s="816">
        <f>IF(general!$F$98&lt;&gt;0,general!$F$98,0)</f>
        <v>32926267.110000007</v>
      </c>
      <c r="F21" s="817" t="str">
        <f>IF(AND(general!F98=0,$F$39&gt;=0)," ",IF(AND(E21&gt;0,$F$39=0)," ",IF(AND(E21&gt;0,$F$39&gt;0),ROUND(E21/$F$39*1000,3))))</f>
        <v> </v>
      </c>
    </row>
    <row r="22" spans="1:6" ht="14.25">
      <c r="A22" s="746" t="str">
        <f>inputPrYr!B17</f>
        <v>Bond and Interest</v>
      </c>
      <c r="B22" s="815" t="str">
        <f>inputPrYr!C17</f>
        <v>10-113</v>
      </c>
      <c r="C22" s="809" t="s">
        <v>1033</v>
      </c>
      <c r="D22" s="816">
        <f>IF(bondint!$F$35&lt;&gt;0,bondint!$F$35,"  ")</f>
        <v>1120305</v>
      </c>
      <c r="E22" s="816">
        <f>IF(bondint!$F$42&lt;&gt;0,bondint!$F$42,0)</f>
        <v>870590.0430769231</v>
      </c>
      <c r="F22" s="817" t="str">
        <f>IF(AND(bondint!F42=0,$F$39&gt;=0)," ",IF(AND(E22&gt;0,$F$39=0)," ",IF(AND(E22&gt;0,$F$39&gt;0),ROUND(E22/$F$39*1000,3))))</f>
        <v> </v>
      </c>
    </row>
    <row r="23" spans="1:6" ht="14.25">
      <c r="A23" s="746" t="str">
        <f>inputPrYr!B18</f>
        <v>County Elections</v>
      </c>
      <c r="B23" s="815" t="str">
        <f>inputPrYr!C18</f>
        <v>19-3435a</v>
      </c>
      <c r="C23" s="809" t="s">
        <v>1034</v>
      </c>
      <c r="D23" s="816">
        <f>IF(elections!$F$33&lt;&gt;0,elections!$F$33,"  ")</f>
        <v>1295308</v>
      </c>
      <c r="E23" s="816">
        <f>IF(elections!$F$40&lt;&gt;0,elections!$F$40,"  ")</f>
        <v>940532</v>
      </c>
      <c r="F23" s="817" t="str">
        <f>IF(AND(elections!E118=0,$F$39&gt;=0)," ",IF(AND(E23&gt;0,$F$39=0)," ",IF(AND(E23&gt;0,$F$39&gt;0),ROUND(E23/$F$39*1000,3))))</f>
        <v> </v>
      </c>
    </row>
    <row r="24" spans="1:6" ht="14.25">
      <c r="A24" s="437" t="str">
        <f>IF((inputPrYr!$B19&gt;"  "),(inputPrYr!$B19),"  ")</f>
        <v>Aging</v>
      </c>
      <c r="B24" s="815" t="str">
        <f>IF((inputPrYr!C19&gt;0),(inputPrYr!C19),"  ")</f>
        <v>12-1680</v>
      </c>
      <c r="C24" s="809" t="s">
        <v>1035</v>
      </c>
      <c r="D24" s="816">
        <f>IF(aging!$F$35&lt;&gt;0,aging!$F$35,"  ")</f>
        <v>1225305</v>
      </c>
      <c r="E24" s="816">
        <f>IF(aging!F42&lt;&gt;0,aging!F42,0)</f>
        <v>1106959</v>
      </c>
      <c r="F24" s="817"/>
    </row>
    <row r="25" spans="1:6" ht="14.25">
      <c r="A25" s="437" t="str">
        <f>IF((inputPrYr!$B20&gt;"  "),(inputPrYr!$B20),"  ")</f>
        <v>Mental Health</v>
      </c>
      <c r="B25" s="815" t="str">
        <f>IF((inputPrYr!C20&gt;0),(inputPrYr!C20),"  ")</f>
        <v>19-4004</v>
      </c>
      <c r="C25" s="809" t="s">
        <v>1036</v>
      </c>
      <c r="D25" s="816">
        <f>IF('mental.health'!F30&lt;&gt;0,'mental.health'!F30,"  ")</f>
        <v>548331</v>
      </c>
      <c r="E25" s="816">
        <f>IF('mental.health'!F37&lt;&gt;0,'mental.health'!F37,0)</f>
        <v>457675</v>
      </c>
      <c r="F25" s="817"/>
    </row>
    <row r="26" spans="1:6" ht="14.25">
      <c r="A26" s="437" t="str">
        <f>IF((inputPrYr!$B21&gt;"  "),(inputPrYr!$B21),"  ")</f>
        <v>Developmental Disabilities</v>
      </c>
      <c r="B26" s="815" t="str">
        <f>IF((inputPrYr!C21&gt;0),(inputPrYr!C21),"  ")</f>
        <v>19-4004</v>
      </c>
      <c r="C26" s="809" t="s">
        <v>1037</v>
      </c>
      <c r="D26" s="816">
        <f>IF('dev.dis health'!$F$32&lt;&gt;0,'dev.dis health'!$F$32,"  ")</f>
        <v>533085</v>
      </c>
      <c r="E26" s="816">
        <f>IF('dev.dis health'!$F$39&lt;&gt;0,'dev.dis health'!$F$39,0)</f>
        <v>372271</v>
      </c>
      <c r="F26" s="817" t="str">
        <f>IF(AND('dev.dis health'!F39=0,$F$39&gt;=0)," ",IF(AND(E26&gt;0,$F$39=0)," ",IF(AND(E26&gt;0,$F$39&gt;0),ROUND(E26/$F$39*1000,3))))</f>
        <v> </v>
      </c>
    </row>
    <row r="27" spans="1:6" ht="14.25">
      <c r="A27" s="437" t="str">
        <f>IF((inputPrYr!$B22&gt;"  "),(inputPrYr!$B22),"  ")</f>
        <v>County Health</v>
      </c>
      <c r="B27" s="815" t="str">
        <f>IF((inputPrYr!C22&gt;0),(inputPrYr!C22),"  ")</f>
        <v>65-204</v>
      </c>
      <c r="C27" s="809" t="s">
        <v>1037</v>
      </c>
      <c r="D27" s="816">
        <f>IF('dev.dis health'!$F$87&lt;&gt;0,'dev.dis health'!$F$87,"  ")</f>
        <v>3585377</v>
      </c>
      <c r="E27" s="816">
        <f>IF('dev.dis health'!$F$94&lt;&gt;0,'dev.dis health'!$F$94,0)</f>
        <v>1680693</v>
      </c>
      <c r="F27" s="817" t="str">
        <f>IF(AND('dev.dis health'!F94=0,$F$39&gt;=0)," ",IF(AND(E27&gt;0,$F$39=0)," ",IF(AND(E27&gt;0,$F$39&gt;0),ROUND(E27/$F$39*1000,3))))</f>
        <v> </v>
      </c>
    </row>
    <row r="28" spans="1:6" ht="14.25">
      <c r="A28" s="437" t="str">
        <f>IF((inputPrYr!$B23&gt;"  "),(inputPrYr!$B23),"  ")</f>
        <v>County Initiative for Funding Infrastructure</v>
      </c>
      <c r="B28" s="815" t="str">
        <f>IF((inputPrYr!C23&gt;0),(inputPrYr!C23),"  ")</f>
        <v>19-120</v>
      </c>
      <c r="C28" s="809" t="s">
        <v>1038</v>
      </c>
      <c r="D28" s="816">
        <v>0</v>
      </c>
      <c r="E28" s="816">
        <v>0</v>
      </c>
      <c r="F28" s="817" t="str">
        <f>IF(AND('cifi cons.parks'!F39=0,$F$39&gt;=0)," ",IF(AND(E28&gt;0,$F$39=0)," ",IF(AND(E28&gt;0,$F$39&gt;0),ROUND(E28/$F$39*1000,3))))</f>
        <v> </v>
      </c>
    </row>
    <row r="29" spans="1:6" ht="14.25">
      <c r="A29" s="437" t="str">
        <f>IF((inputPrYr!$B24&gt;"  "),(inputPrYr!$B24),"  ")</f>
        <v>Consolidated Parks General Fund</v>
      </c>
      <c r="B29" s="815" t="str">
        <f>IF((inputPrYr!C24&gt;0),(inputPrYr!C24),"  ")</f>
        <v>19-2803</v>
      </c>
      <c r="C29" s="809" t="s">
        <v>1038</v>
      </c>
      <c r="D29" s="816">
        <f>IF('cifi cons.parks'!$F$90&lt;&gt;0,'cifi cons.parks'!$F$90,"  ")</f>
        <v>5691046</v>
      </c>
      <c r="E29" s="816">
        <f>IF('cifi cons.parks'!$F$97&lt;&gt;0,'cifi cons.parks'!$F$97,0)</f>
        <v>1498938</v>
      </c>
      <c r="F29" s="817" t="str">
        <f>IF(AND('cifi cons.parks'!F97=0,$F$39&gt;=0)," ",IF(AND(E29&gt;0,$F$39=0)," ",IF(AND(E29&gt;0,$F$39&gt;0),ROUND(E29/$F$39*1000,3))))</f>
        <v> </v>
      </c>
    </row>
    <row r="30" spans="1:6" ht="14.25">
      <c r="A30" s="437" t="str">
        <f>IF((inputPrYr!$B27&gt;"  "),(inputPrYr!$B27),"  ")</f>
        <v>Court Trustee</v>
      </c>
      <c r="B30" s="696" t="s">
        <v>1046</v>
      </c>
      <c r="C30" s="809" t="s">
        <v>1039</v>
      </c>
      <c r="D30" s="816">
        <f>IF('trustee jail.com'!$F$25&lt;&gt;0,'trustee jail.com'!$F$25,"  ")</f>
        <v>498826</v>
      </c>
      <c r="E30" s="816"/>
      <c r="F30" s="818"/>
    </row>
    <row r="31" spans="1:6" ht="14.25">
      <c r="A31" s="437" t="str">
        <f>IF((inputPrYr!$B28&gt;"  "),(inputPrYr!$B28),"  ")</f>
        <v>Jail Commissary</v>
      </c>
      <c r="B31" s="696" t="s">
        <v>1047</v>
      </c>
      <c r="C31" s="809" t="s">
        <v>1039</v>
      </c>
      <c r="D31" s="816">
        <f>IF('trustee jail.com'!$F$54&lt;&gt;0,'trustee jail.com'!$F$54,"  ")</f>
        <v>60000</v>
      </c>
      <c r="E31" s="816"/>
      <c r="F31" s="818"/>
    </row>
    <row r="32" spans="1:6" ht="14.25">
      <c r="A32" s="437" t="str">
        <f>IF((inputPrYr!$B29&gt;"  "),(inputPrYr!$B29),"  ")</f>
        <v>Register of Deeds Technology</v>
      </c>
      <c r="B32" s="696" t="s">
        <v>1048</v>
      </c>
      <c r="C32" s="809" t="s">
        <v>1040</v>
      </c>
      <c r="D32" s="816">
        <f>IF('reg deeds'!$F$28&lt;&gt;0,'reg deeds'!$F$28,"  ")</f>
        <v>170000</v>
      </c>
      <c r="E32" s="816"/>
      <c r="F32" s="818"/>
    </row>
    <row r="33" spans="1:6" ht="14.25">
      <c r="A33" s="437" t="str">
        <f>IF((inputPrYr!$B33&gt;"  "),(nonbudA!$A3),"  ")</f>
        <v>Non-Budgeted Funds-A</v>
      </c>
      <c r="B33" s="511"/>
      <c r="C33" s="809" t="s">
        <v>1041</v>
      </c>
      <c r="D33" s="816"/>
      <c r="E33" s="816"/>
      <c r="F33" s="819"/>
    </row>
    <row r="34" spans="1:6" ht="14.25">
      <c r="A34" s="437" t="str">
        <f>IF((inputPrYr!$B39&gt;"  "),(nonbudB!$A3),"  ")</f>
        <v>Non-Budgeted Funds-B</v>
      </c>
      <c r="B34" s="511"/>
      <c r="C34" s="809" t="s">
        <v>1042</v>
      </c>
      <c r="D34" s="816"/>
      <c r="E34" s="816"/>
      <c r="F34" s="819"/>
    </row>
    <row r="35" spans="1:6" ht="14.25" customHeight="1" thickBot="1">
      <c r="A35" s="820" t="s">
        <v>143</v>
      </c>
      <c r="B35" s="723"/>
      <c r="C35" s="809" t="s">
        <v>38</v>
      </c>
      <c r="D35" s="816">
        <f>SUM(D21:D34)</f>
        <v>67195003</v>
      </c>
      <c r="E35" s="821">
        <f>SUM(E21:E29)</f>
        <v>39853925.15307693</v>
      </c>
      <c r="F35" s="822">
        <f>IF(SUM(F21:F29)=0,"",SUM(F21:F29))</f>
      </c>
    </row>
    <row r="36" spans="1:6" ht="14.25" customHeight="1" thickTop="1">
      <c r="A36" s="653" t="s">
        <v>992</v>
      </c>
      <c r="B36" s="653"/>
      <c r="C36" s="809" t="s">
        <v>1043</v>
      </c>
      <c r="D36" s="823"/>
      <c r="E36" s="823"/>
      <c r="F36" s="573"/>
    </row>
    <row r="37" spans="1:6" ht="14.25">
      <c r="A37" s="653" t="s">
        <v>993</v>
      </c>
      <c r="B37" s="653"/>
      <c r="C37" s="809" t="s">
        <v>1044</v>
      </c>
      <c r="D37" s="614">
        <f>Library!F32</f>
        <v>2180499</v>
      </c>
      <c r="E37" s="614">
        <f>Library!F39</f>
        <v>1942032.666666667</v>
      </c>
      <c r="F37" s="418"/>
    </row>
    <row r="38" spans="1:6" ht="14.25">
      <c r="A38" s="653" t="s">
        <v>37</v>
      </c>
      <c r="B38" s="653"/>
      <c r="C38" s="809" t="s">
        <v>1045</v>
      </c>
      <c r="D38" s="418"/>
      <c r="E38" s="824" t="s">
        <v>271</v>
      </c>
      <c r="F38" s="418"/>
    </row>
    <row r="39" spans="1:6" ht="14.25">
      <c r="A39" s="653"/>
      <c r="B39" s="654"/>
      <c r="C39" s="809"/>
      <c r="D39" s="825" t="s">
        <v>40</v>
      </c>
      <c r="E39" s="826" t="str">
        <f>IF(E35&gt;computation!J35,"Yes","No")</f>
        <v>No</v>
      </c>
      <c r="F39" s="827"/>
    </row>
    <row r="40" spans="1:6" ht="14.25" customHeight="1">
      <c r="A40" s="455" t="s">
        <v>39</v>
      </c>
      <c r="B40" s="828"/>
      <c r="C40" s="809">
        <f>IF(Resolution!E55&gt;0,Resolution!E55,"")</f>
      </c>
      <c r="D40" s="801"/>
      <c r="E40" s="573"/>
      <c r="F40" s="850" t="str">
        <f>CONCATENATE("Nov 1, ",F3-1," Total Assessed Valuation")</f>
        <v>Nov 1, 2012 Total Assessed Valuation</v>
      </c>
    </row>
    <row r="41" spans="1:6" ht="14.25">
      <c r="A41" s="750" t="s">
        <v>133</v>
      </c>
      <c r="B41" s="418"/>
      <c r="C41" s="490"/>
      <c r="D41" s="418"/>
      <c r="E41" s="418"/>
      <c r="F41" s="851"/>
    </row>
    <row r="42" spans="1:6" ht="14.25">
      <c r="A42" s="829"/>
      <c r="B42" s="418"/>
      <c r="C42" s="418"/>
      <c r="D42" s="418"/>
      <c r="E42" s="830"/>
      <c r="F42" s="830"/>
    </row>
    <row r="43" spans="1:6" ht="14.25">
      <c r="A43" s="831"/>
      <c r="B43" s="421"/>
      <c r="C43" s="573"/>
      <c r="D43" s="573"/>
      <c r="E43" s="832"/>
      <c r="F43" s="832"/>
    </row>
    <row r="44" spans="1:6" ht="14.25">
      <c r="A44" s="833" t="s">
        <v>272</v>
      </c>
      <c r="B44" s="421"/>
      <c r="C44" s="573"/>
      <c r="D44" s="573"/>
      <c r="E44" s="832"/>
      <c r="F44" s="832"/>
    </row>
    <row r="45" spans="1:6" ht="14.25">
      <c r="A45" s="829"/>
      <c r="B45" s="418"/>
      <c r="C45" s="573" t="s">
        <v>831</v>
      </c>
      <c r="D45" s="573"/>
      <c r="E45" s="834"/>
      <c r="F45" s="834"/>
    </row>
    <row r="46" spans="1:6" ht="14.25">
      <c r="A46" s="831"/>
      <c r="B46" s="458"/>
      <c r="C46" s="573"/>
      <c r="D46" s="573"/>
      <c r="E46" s="832"/>
      <c r="F46" s="835"/>
    </row>
    <row r="47" spans="1:6" ht="14.25">
      <c r="A47" s="833" t="s">
        <v>830</v>
      </c>
      <c r="B47" s="418"/>
      <c r="C47" s="573" t="s">
        <v>831</v>
      </c>
      <c r="D47" s="573"/>
      <c r="E47" s="834"/>
      <c r="F47" s="832"/>
    </row>
    <row r="48" spans="1:6" ht="14.25">
      <c r="A48" s="829"/>
      <c r="B48" s="418"/>
      <c r="C48" s="573"/>
      <c r="D48" s="573"/>
      <c r="E48" s="834"/>
      <c r="F48" s="832"/>
    </row>
    <row r="49" spans="1:6" ht="14.25">
      <c r="A49" s="833"/>
      <c r="B49" s="418"/>
      <c r="C49" s="573" t="s">
        <v>831</v>
      </c>
      <c r="D49" s="573"/>
      <c r="E49" s="834"/>
      <c r="F49" s="832"/>
    </row>
    <row r="50" spans="1:6" ht="14.25">
      <c r="A50" s="836" t="s">
        <v>6</v>
      </c>
      <c r="B50" s="424">
        <f>F3-1</f>
        <v>2012</v>
      </c>
      <c r="C50" s="573"/>
      <c r="D50" s="573"/>
      <c r="E50" s="837"/>
      <c r="F50" s="573"/>
    </row>
    <row r="51" spans="1:6" ht="14.25">
      <c r="A51" s="838"/>
      <c r="B51" s="418"/>
      <c r="C51" s="573" t="s">
        <v>831</v>
      </c>
      <c r="D51" s="573"/>
      <c r="E51" s="573"/>
      <c r="F51" s="573"/>
    </row>
    <row r="52" spans="1:6" ht="14.25">
      <c r="A52" s="839" t="s">
        <v>135</v>
      </c>
      <c r="B52" s="418"/>
      <c r="C52" s="849" t="s">
        <v>134</v>
      </c>
      <c r="D52" s="848"/>
      <c r="E52" s="848"/>
      <c r="F52" s="848"/>
    </row>
    <row r="53" spans="1:6" ht="14.25">
      <c r="A53" s="840"/>
      <c r="B53" s="840"/>
      <c r="C53" s="840"/>
      <c r="D53" s="840"/>
      <c r="E53" s="840"/>
      <c r="F53" s="840"/>
    </row>
    <row r="54" spans="3:6" ht="14.25">
      <c r="C54" s="486"/>
      <c r="E54" s="486"/>
      <c r="F54" s="486"/>
    </row>
  </sheetData>
  <sheetProtection/>
  <mergeCells count="8">
    <mergeCell ref="A53:F53"/>
    <mergeCell ref="A2:F2"/>
    <mergeCell ref="E13:E14"/>
    <mergeCell ref="A6:F6"/>
    <mergeCell ref="A4:F4"/>
    <mergeCell ref="A5:F5"/>
    <mergeCell ref="C52:F52"/>
    <mergeCell ref="F40:F41"/>
  </mergeCells>
  <printOptions/>
  <pageMargins left="0.5" right="0.5" top="0" bottom="0.23" header="0" footer="0"/>
  <pageSetup blackAndWhite="1" fitToHeight="1" fitToWidth="1" horizontalDpi="120" verticalDpi="120" orientation="portrait" scale="76" r:id="rId1"/>
  <headerFooter alignWithMargins="0">
    <oddHeader>&amp;RState of Kansas
County
</oddHeader>
    <oddFooter>&amp;C&amp;"Arial,Regular"&amp;11WY-1</oddFooter>
  </headerFooter>
</worksheet>
</file>

<file path=xl/worksheets/sheet10.xml><?xml version="1.0" encoding="utf-8"?>
<worksheet xmlns="http://schemas.openxmlformats.org/spreadsheetml/2006/main" xmlns:r="http://schemas.openxmlformats.org/officeDocument/2006/relationships">
  <sheetPr>
    <tabColor theme="9" tint="-0.24997000396251678"/>
    <pageSetUpPr fitToPage="1"/>
  </sheetPr>
  <dimension ref="B1:L47"/>
  <sheetViews>
    <sheetView zoomScale="80" zoomScaleNormal="80" zoomScalePageLayoutView="0" workbookViewId="0" topLeftCell="A1">
      <selection activeCell="C5" sqref="C5"/>
    </sheetView>
  </sheetViews>
  <sheetFormatPr defaultColWidth="8.796875" defaultRowHeight="15"/>
  <cols>
    <col min="1" max="1" width="2.3984375" style="510" customWidth="1"/>
    <col min="2" max="2" width="31.09765625" style="510" customWidth="1"/>
    <col min="3" max="5" width="15.796875" style="510" customWidth="1"/>
    <col min="6" max="6" width="16.09765625" style="510" customWidth="1"/>
    <col min="7" max="7" width="26.19921875" style="563" customWidth="1"/>
    <col min="8" max="8" width="10.19921875" style="563" customWidth="1"/>
    <col min="9" max="9" width="8.8984375" style="563" customWidth="1"/>
    <col min="10" max="10" width="5" style="563" customWidth="1"/>
    <col min="11" max="11" width="10" style="563" customWidth="1"/>
    <col min="12" max="16384" width="8.8984375" style="510" customWidth="1"/>
  </cols>
  <sheetData>
    <row r="1" spans="2:11" ht="15">
      <c r="B1" s="417" t="str">
        <f>(inputPrYr!C2)</f>
        <v>Wyandotte County</v>
      </c>
      <c r="C1" s="418"/>
      <c r="D1" s="418"/>
      <c r="E1" s="418"/>
      <c r="F1" s="419">
        <f>inputPrYr!C4</f>
        <v>2013</v>
      </c>
      <c r="G1" s="538"/>
      <c r="H1" s="538"/>
      <c r="I1" s="538"/>
      <c r="J1" s="538"/>
      <c r="K1" s="538"/>
    </row>
    <row r="2" spans="2:11" ht="15">
      <c r="B2" s="418"/>
      <c r="C2" s="418"/>
      <c r="D2" s="418"/>
      <c r="E2" s="418"/>
      <c r="F2" s="421"/>
      <c r="G2" s="538"/>
      <c r="H2" s="538"/>
      <c r="I2" s="538"/>
      <c r="J2" s="538"/>
      <c r="K2" s="538"/>
    </row>
    <row r="3" spans="2:11" ht="15">
      <c r="B3" s="422" t="s">
        <v>206</v>
      </c>
      <c r="C3" s="487"/>
      <c r="D3" s="487"/>
      <c r="E3" s="487"/>
      <c r="F3" s="488"/>
      <c r="G3" s="538"/>
      <c r="H3" s="538"/>
      <c r="I3" s="538"/>
      <c r="J3" s="538"/>
      <c r="K3" s="538"/>
    </row>
    <row r="4" spans="2:11" ht="15">
      <c r="B4" s="490" t="s">
        <v>144</v>
      </c>
      <c r="C4" s="425" t="s">
        <v>783</v>
      </c>
      <c r="D4" s="425">
        <v>2012</v>
      </c>
      <c r="E4" s="426" t="s">
        <v>784</v>
      </c>
      <c r="F4" s="427" t="s">
        <v>785</v>
      </c>
      <c r="G4" s="538"/>
      <c r="H4" s="538"/>
      <c r="I4" s="538"/>
      <c r="J4" s="538"/>
      <c r="K4" s="538"/>
    </row>
    <row r="5" spans="2:11" ht="15">
      <c r="B5" s="428" t="str">
        <f>inputPrYr!B19</f>
        <v>Aging</v>
      </c>
      <c r="C5" s="429" t="s">
        <v>902</v>
      </c>
      <c r="D5" s="429" t="s">
        <v>840</v>
      </c>
      <c r="E5" s="429" t="s">
        <v>903</v>
      </c>
      <c r="F5" s="430" t="s">
        <v>904</v>
      </c>
      <c r="G5" s="538"/>
      <c r="H5" s="538"/>
      <c r="I5" s="538"/>
      <c r="J5" s="538"/>
      <c r="K5" s="538"/>
    </row>
    <row r="6" spans="2:11" ht="15">
      <c r="B6" s="455" t="s">
        <v>246</v>
      </c>
      <c r="C6" s="432">
        <v>99862</v>
      </c>
      <c r="D6" s="432">
        <v>715</v>
      </c>
      <c r="E6" s="433">
        <f>C36</f>
        <v>25095</v>
      </c>
      <c r="F6" s="434">
        <f>E36</f>
        <v>24040</v>
      </c>
      <c r="G6" s="538"/>
      <c r="H6" s="538"/>
      <c r="I6" s="538"/>
      <c r="J6" s="538"/>
      <c r="K6" s="538"/>
    </row>
    <row r="7" spans="2:11" ht="15">
      <c r="B7" s="435" t="s">
        <v>248</v>
      </c>
      <c r="C7" s="436"/>
      <c r="D7" s="436"/>
      <c r="E7" s="436"/>
      <c r="F7" s="437"/>
      <c r="G7" s="538"/>
      <c r="H7" s="538"/>
      <c r="I7" s="538"/>
      <c r="J7" s="538"/>
      <c r="K7" s="538"/>
    </row>
    <row r="8" spans="2:11" ht="15">
      <c r="B8" s="346" t="s">
        <v>145</v>
      </c>
      <c r="C8" s="432">
        <v>908864</v>
      </c>
      <c r="D8" s="432">
        <v>1002221</v>
      </c>
      <c r="E8" s="433">
        <v>1006000</v>
      </c>
      <c r="F8" s="496" t="s">
        <v>132</v>
      </c>
      <c r="G8" s="346" t="s">
        <v>145</v>
      </c>
      <c r="H8" s="538"/>
      <c r="I8" s="538"/>
      <c r="J8" s="538"/>
      <c r="K8" s="538"/>
    </row>
    <row r="9" spans="2:11" ht="15">
      <c r="B9" s="346" t="s">
        <v>146</v>
      </c>
      <c r="C9" s="432">
        <v>49831</v>
      </c>
      <c r="D9" s="432">
        <v>34000</v>
      </c>
      <c r="E9" s="432">
        <v>43600</v>
      </c>
      <c r="F9" s="450">
        <v>38400</v>
      </c>
      <c r="G9" s="346" t="s">
        <v>146</v>
      </c>
      <c r="H9" s="538"/>
      <c r="I9" s="538"/>
      <c r="J9" s="538"/>
      <c r="K9" s="538"/>
    </row>
    <row r="10" spans="2:11" ht="15">
      <c r="B10" s="346" t="s">
        <v>147</v>
      </c>
      <c r="C10" s="432">
        <v>88990</v>
      </c>
      <c r="D10" s="432">
        <v>103943</v>
      </c>
      <c r="E10" s="432">
        <v>99500</v>
      </c>
      <c r="F10" s="434">
        <f>mvalloc!E10</f>
        <v>125215</v>
      </c>
      <c r="G10" s="346" t="s">
        <v>147</v>
      </c>
      <c r="H10" s="538"/>
      <c r="I10" s="538"/>
      <c r="J10" s="538"/>
      <c r="K10" s="538"/>
    </row>
    <row r="11" spans="2:11" ht="15">
      <c r="B11" s="346" t="s">
        <v>148</v>
      </c>
      <c r="C11" s="432">
        <v>405</v>
      </c>
      <c r="D11" s="432">
        <v>505</v>
      </c>
      <c r="E11" s="432">
        <v>370</v>
      </c>
      <c r="F11" s="434">
        <f>mvalloc!F10</f>
        <v>465</v>
      </c>
      <c r="G11" s="346" t="s">
        <v>148</v>
      </c>
      <c r="H11" s="538"/>
      <c r="I11" s="538"/>
      <c r="J11" s="538"/>
      <c r="K11" s="538"/>
    </row>
    <row r="12" spans="2:11" ht="15">
      <c r="B12" s="344" t="s">
        <v>200</v>
      </c>
      <c r="C12" s="432">
        <v>820</v>
      </c>
      <c r="D12" s="432">
        <v>924</v>
      </c>
      <c r="E12" s="432">
        <v>740</v>
      </c>
      <c r="F12" s="434">
        <f>mvalloc!G10</f>
        <v>920</v>
      </c>
      <c r="G12" s="344" t="s">
        <v>200</v>
      </c>
      <c r="H12" s="538"/>
      <c r="I12" s="538"/>
      <c r="J12" s="538"/>
      <c r="K12" s="538"/>
    </row>
    <row r="13" spans="2:11" ht="15">
      <c r="B13" s="344" t="s">
        <v>843</v>
      </c>
      <c r="C13" s="432">
        <v>513</v>
      </c>
      <c r="D13" s="432">
        <v>490</v>
      </c>
      <c r="E13" s="432">
        <v>540</v>
      </c>
      <c r="F13" s="434">
        <v>580</v>
      </c>
      <c r="G13" s="344" t="s">
        <v>843</v>
      </c>
      <c r="H13" s="538"/>
      <c r="I13" s="538"/>
      <c r="J13" s="538"/>
      <c r="K13" s="538"/>
    </row>
    <row r="14" spans="2:11" ht="15">
      <c r="B14" s="344" t="s">
        <v>842</v>
      </c>
      <c r="C14" s="432">
        <v>21141</v>
      </c>
      <c r="D14" s="432">
        <v>16320</v>
      </c>
      <c r="E14" s="432">
        <v>23500</v>
      </c>
      <c r="F14" s="434">
        <v>17160</v>
      </c>
      <c r="G14" s="344" t="s">
        <v>842</v>
      </c>
      <c r="H14" s="538"/>
      <c r="I14" s="538"/>
      <c r="J14" s="538"/>
      <c r="K14" s="538"/>
    </row>
    <row r="15" spans="2:11" ht="15">
      <c r="B15" s="344" t="s">
        <v>898</v>
      </c>
      <c r="C15" s="432">
        <v>0</v>
      </c>
      <c r="D15" s="432">
        <v>0</v>
      </c>
      <c r="E15" s="432">
        <v>0</v>
      </c>
      <c r="F15" s="434">
        <v>0</v>
      </c>
      <c r="G15" s="344" t="s">
        <v>898</v>
      </c>
      <c r="H15" s="538"/>
      <c r="I15" s="538"/>
      <c r="J15" s="538"/>
      <c r="K15" s="538"/>
    </row>
    <row r="16" spans="2:11" ht="15">
      <c r="B16" s="344" t="s">
        <v>886</v>
      </c>
      <c r="C16" s="432">
        <v>47</v>
      </c>
      <c r="D16" s="432">
        <v>0</v>
      </c>
      <c r="E16" s="432">
        <v>0</v>
      </c>
      <c r="F16" s="434">
        <v>0</v>
      </c>
      <c r="G16" s="344" t="s">
        <v>886</v>
      </c>
      <c r="H16" s="538"/>
      <c r="I16" s="538"/>
      <c r="J16" s="538"/>
      <c r="K16" s="538"/>
    </row>
    <row r="17" spans="2:11" ht="15">
      <c r="B17" s="344" t="s">
        <v>931</v>
      </c>
      <c r="C17" s="432">
        <v>10964</v>
      </c>
      <c r="D17" s="432">
        <v>10000</v>
      </c>
      <c r="E17" s="432">
        <v>10000</v>
      </c>
      <c r="F17" s="432">
        <v>10000</v>
      </c>
      <c r="G17" s="344" t="s">
        <v>931</v>
      </c>
      <c r="H17" s="538"/>
      <c r="I17" s="538"/>
      <c r="J17" s="538"/>
      <c r="K17" s="538"/>
    </row>
    <row r="18" spans="2:11" ht="15">
      <c r="B18" s="344" t="s">
        <v>932</v>
      </c>
      <c r="C18" s="432">
        <v>0</v>
      </c>
      <c r="D18" s="432">
        <v>0</v>
      </c>
      <c r="E18" s="432">
        <v>0</v>
      </c>
      <c r="F18" s="432">
        <v>0</v>
      </c>
      <c r="G18" s="344" t="s">
        <v>932</v>
      </c>
      <c r="H18" s="538"/>
      <c r="I18" s="538"/>
      <c r="J18" s="538"/>
      <c r="K18" s="538"/>
    </row>
    <row r="19" spans="2:11" ht="15">
      <c r="B19" s="344" t="s">
        <v>933</v>
      </c>
      <c r="C19" s="432">
        <v>0</v>
      </c>
      <c r="D19" s="432">
        <v>0</v>
      </c>
      <c r="E19" s="432">
        <v>0</v>
      </c>
      <c r="F19" s="432">
        <v>0</v>
      </c>
      <c r="G19" s="344" t="s">
        <v>933</v>
      </c>
      <c r="H19" s="538"/>
      <c r="I19" s="538"/>
      <c r="J19" s="538"/>
      <c r="K19" s="538"/>
    </row>
    <row r="20" spans="2:11" ht="15">
      <c r="B20" s="440" t="s">
        <v>61</v>
      </c>
      <c r="C20" s="432">
        <v>0</v>
      </c>
      <c r="D20" s="432">
        <v>0</v>
      </c>
      <c r="E20" s="432">
        <v>0</v>
      </c>
      <c r="F20" s="432">
        <v>0</v>
      </c>
      <c r="G20" s="440" t="s">
        <v>61</v>
      </c>
      <c r="H20" s="538"/>
      <c r="I20" s="538"/>
      <c r="J20" s="538"/>
      <c r="K20" s="538"/>
    </row>
    <row r="21" spans="2:11" ht="15">
      <c r="B21" s="441" t="s">
        <v>629</v>
      </c>
      <c r="C21" s="442">
        <f>IF(C22*0.1&lt;C20,"Exceed 10% Rule","")</f>
      </c>
      <c r="D21" s="442"/>
      <c r="E21" s="442">
        <f>IF(E22*0.1&lt;E20,"Exceed 10% Rule","")</f>
      </c>
      <c r="F21" s="443">
        <f>IF(F22*0.1+F42&lt;F20,"Exceed 10% Rule","")</f>
      </c>
      <c r="G21" s="538"/>
      <c r="H21" s="538"/>
      <c r="I21" s="538"/>
      <c r="J21" s="538"/>
      <c r="K21" s="538"/>
    </row>
    <row r="22" spans="2:11" ht="15">
      <c r="B22" s="444" t="s">
        <v>149</v>
      </c>
      <c r="C22" s="445">
        <f>SUM(C8:C20)</f>
        <v>1081575</v>
      </c>
      <c r="D22" s="445">
        <f>SUM(D8:D20)</f>
        <v>1168403</v>
      </c>
      <c r="E22" s="445">
        <f>SUM(E8:E20)</f>
        <v>1184250</v>
      </c>
      <c r="F22" s="446">
        <f>SUM(F8:F20)</f>
        <v>192740</v>
      </c>
      <c r="G22" s="538"/>
      <c r="H22" s="538"/>
      <c r="I22" s="538"/>
      <c r="J22" s="538"/>
      <c r="K22" s="538"/>
    </row>
    <row r="23" spans="2:11" ht="15">
      <c r="B23" s="444" t="s">
        <v>150</v>
      </c>
      <c r="C23" s="445">
        <f>C6+C22</f>
        <v>1181437</v>
      </c>
      <c r="D23" s="445">
        <f>D6+D22</f>
        <v>1169118</v>
      </c>
      <c r="E23" s="445">
        <f>E6+E22</f>
        <v>1209345</v>
      </c>
      <c r="F23" s="446">
        <f>F6+F22</f>
        <v>216780</v>
      </c>
      <c r="G23" s="538"/>
      <c r="H23" s="538"/>
      <c r="I23" s="538"/>
      <c r="J23" s="538"/>
      <c r="K23" s="538"/>
    </row>
    <row r="24" spans="2:11" ht="15">
      <c r="B24" s="455" t="s">
        <v>153</v>
      </c>
      <c r="C24" s="440"/>
      <c r="D24" s="440"/>
      <c r="E24" s="440"/>
      <c r="F24" s="511"/>
      <c r="G24" s="538"/>
      <c r="H24" s="538"/>
      <c r="I24" s="538"/>
      <c r="J24" s="538"/>
      <c r="K24" s="538"/>
    </row>
    <row r="25" spans="2:11" ht="15">
      <c r="B25" s="416" t="s">
        <v>893</v>
      </c>
      <c r="C25" s="432">
        <v>912678</v>
      </c>
      <c r="D25" s="450">
        <v>861620</v>
      </c>
      <c r="E25" s="450">
        <v>885000</v>
      </c>
      <c r="F25" s="450">
        <v>930000</v>
      </c>
      <c r="G25" s="416" t="s">
        <v>893</v>
      </c>
      <c r="H25" s="538"/>
      <c r="I25" s="538"/>
      <c r="J25" s="538"/>
      <c r="K25" s="538"/>
    </row>
    <row r="26" spans="2:11" ht="15">
      <c r="B26" s="416" t="s">
        <v>894</v>
      </c>
      <c r="C26" s="432">
        <v>101464</v>
      </c>
      <c r="D26" s="450">
        <v>157377</v>
      </c>
      <c r="E26" s="432">
        <v>154155</v>
      </c>
      <c r="F26" s="450">
        <v>154155</v>
      </c>
      <c r="G26" s="416" t="s">
        <v>894</v>
      </c>
      <c r="H26" s="887" t="str">
        <f>CONCATENATE("Desired Carryover Into ",F1+1,"")</f>
        <v>Desired Carryover Into 2014</v>
      </c>
      <c r="I26" s="888"/>
      <c r="J26" s="888"/>
      <c r="K26" s="889"/>
    </row>
    <row r="27" spans="2:11" ht="15">
      <c r="B27" s="416" t="s">
        <v>895</v>
      </c>
      <c r="C27" s="432">
        <v>140802</v>
      </c>
      <c r="D27" s="450">
        <v>134041</v>
      </c>
      <c r="E27" s="432">
        <v>131041</v>
      </c>
      <c r="F27" s="450">
        <v>131041</v>
      </c>
      <c r="G27" s="416" t="s">
        <v>895</v>
      </c>
      <c r="H27" s="539"/>
      <c r="I27" s="540"/>
      <c r="J27" s="540"/>
      <c r="K27" s="541"/>
    </row>
    <row r="28" spans="2:11" ht="15">
      <c r="B28" s="416" t="s">
        <v>896</v>
      </c>
      <c r="C28" s="432">
        <v>1398</v>
      </c>
      <c r="D28" s="450">
        <v>109</v>
      </c>
      <c r="E28" s="432">
        <v>109</v>
      </c>
      <c r="F28" s="450">
        <v>109</v>
      </c>
      <c r="G28" s="416" t="s">
        <v>896</v>
      </c>
      <c r="H28" s="542" t="s">
        <v>633</v>
      </c>
      <c r="I28" s="540"/>
      <c r="J28" s="540"/>
      <c r="K28" s="543">
        <v>0</v>
      </c>
    </row>
    <row r="29" spans="2:11" ht="15">
      <c r="B29" s="416" t="s">
        <v>930</v>
      </c>
      <c r="C29" s="432">
        <v>0</v>
      </c>
      <c r="D29" s="432">
        <v>0</v>
      </c>
      <c r="E29" s="432"/>
      <c r="F29" s="450"/>
      <c r="G29" s="416" t="s">
        <v>930</v>
      </c>
      <c r="H29" s="539" t="s">
        <v>634</v>
      </c>
      <c r="I29" s="540"/>
      <c r="J29" s="540"/>
      <c r="K29" s="544">
        <f>IF(K28=0,"",ROUND((K28+#REF!-H41)/inputOth!E6*1000,3)-#REF!)</f>
      </c>
    </row>
    <row r="30" spans="2:11" ht="15">
      <c r="B30" s="416" t="s">
        <v>897</v>
      </c>
      <c r="C30" s="432">
        <v>0</v>
      </c>
      <c r="D30" s="432">
        <v>0</v>
      </c>
      <c r="E30" s="432"/>
      <c r="F30" s="450"/>
      <c r="G30" s="416" t="s">
        <v>897</v>
      </c>
      <c r="H30" s="545" t="str">
        <f>CONCATENATE("",F1," Tot Exp/Non-Appr Must Be:")</f>
        <v>2013 Tot Exp/Non-Appr Must Be:</v>
      </c>
      <c r="I30" s="540"/>
      <c r="J30" s="540"/>
      <c r="K30" s="546">
        <f>IF(K28&gt;0,IF(F39&lt;F23,IF(K28=H41,F39,((K28-H41)*(1-E41))+F23),F39+(K28-H41)),0)</f>
        <v>0</v>
      </c>
    </row>
    <row r="31" spans="2:11" ht="15">
      <c r="B31" s="416" t="s">
        <v>157</v>
      </c>
      <c r="C31" s="432">
        <v>0</v>
      </c>
      <c r="D31" s="432">
        <v>0</v>
      </c>
      <c r="E31" s="432"/>
      <c r="F31" s="450"/>
      <c r="G31" s="416" t="s">
        <v>157</v>
      </c>
      <c r="H31" s="547" t="s">
        <v>781</v>
      </c>
      <c r="I31" s="548"/>
      <c r="J31" s="548"/>
      <c r="K31" s="549">
        <f>IF(K28&gt;0,K30-F39,0)</f>
        <v>0</v>
      </c>
    </row>
    <row r="32" spans="2:11" ht="15">
      <c r="B32" s="416" t="s">
        <v>934</v>
      </c>
      <c r="C32" s="432">
        <v>0</v>
      </c>
      <c r="D32" s="450">
        <v>15000</v>
      </c>
      <c r="E32" s="432">
        <v>15000</v>
      </c>
      <c r="F32" s="434">
        <v>10000</v>
      </c>
      <c r="G32" s="416" t="s">
        <v>934</v>
      </c>
      <c r="H32" s="550"/>
      <c r="I32" s="550"/>
      <c r="J32" s="550"/>
      <c r="K32" s="550"/>
    </row>
    <row r="33" spans="2:11" ht="15">
      <c r="B33" s="440" t="s">
        <v>61</v>
      </c>
      <c r="C33" s="432">
        <v>0</v>
      </c>
      <c r="D33" s="432">
        <v>0</v>
      </c>
      <c r="E33" s="432"/>
      <c r="F33" s="450"/>
      <c r="G33" s="440" t="s">
        <v>61</v>
      </c>
      <c r="H33" s="887" t="str">
        <f>CONCATENATE("Projected Carryover Into ",F1+1,"")</f>
        <v>Projected Carryover Into 2014</v>
      </c>
      <c r="I33" s="890"/>
      <c r="J33" s="890"/>
      <c r="K33" s="891"/>
    </row>
    <row r="34" spans="2:11" ht="15">
      <c r="B34" s="441" t="s">
        <v>628</v>
      </c>
      <c r="C34" s="442">
        <f>IF(C35*0.1&lt;C33,"Exceed 10% Rule","")</f>
      </c>
      <c r="D34" s="442"/>
      <c r="E34" s="442">
        <f>IF(E35*0.1&lt;E33,"Exceed 10% Rule","")</f>
      </c>
      <c r="F34" s="443">
        <f>IF(F35*0.1&lt;F33,"Exceed 10% Rule","")</f>
      </c>
      <c r="G34" s="440" t="s">
        <v>628</v>
      </c>
      <c r="H34" s="539"/>
      <c r="I34" s="540"/>
      <c r="J34" s="540"/>
      <c r="K34" s="551"/>
    </row>
    <row r="35" spans="2:11" ht="15">
      <c r="B35" s="767" t="s">
        <v>154</v>
      </c>
      <c r="C35" s="445">
        <f>SUM(C25:C33)</f>
        <v>1156342</v>
      </c>
      <c r="D35" s="445">
        <f>SUM(D25:D33)</f>
        <v>1168147</v>
      </c>
      <c r="E35" s="445">
        <f>SUM(E25:E33)</f>
        <v>1185305</v>
      </c>
      <c r="F35" s="445">
        <f>SUM(F25:F33)</f>
        <v>1225305</v>
      </c>
      <c r="G35" s="538"/>
      <c r="H35" s="552">
        <f>E36</f>
        <v>24040</v>
      </c>
      <c r="I35" s="553" t="str">
        <f>CONCATENATE("",F1-1," Ending Cash Balance (est.)")</f>
        <v>2012 Ending Cash Balance (est.)</v>
      </c>
      <c r="J35" s="554"/>
      <c r="K35" s="551"/>
    </row>
    <row r="36" spans="2:11" ht="15">
      <c r="B36" s="455" t="s">
        <v>247</v>
      </c>
      <c r="C36" s="433">
        <f>C23-C35</f>
        <v>25095</v>
      </c>
      <c r="D36" s="433">
        <f>D23-D35</f>
        <v>971</v>
      </c>
      <c r="E36" s="433">
        <f>E23-E35</f>
        <v>24040</v>
      </c>
      <c r="F36" s="496" t="s">
        <v>132</v>
      </c>
      <c r="G36" s="538"/>
      <c r="H36" s="552">
        <f>F22</f>
        <v>192740</v>
      </c>
      <c r="I36" s="540" t="str">
        <f>CONCATENATE("",F1," Non-AV Receipts (est.)")</f>
        <v>2013 Non-AV Receipts (est.)</v>
      </c>
      <c r="J36" s="554"/>
      <c r="K36" s="551"/>
    </row>
    <row r="37" spans="2:12" ht="15">
      <c r="B37" s="458" t="str">
        <f>CONCATENATE("",F$1-2,"/",F$1-1," Budget Authority Amount:")</f>
        <v>2011/2012 Budget Authority Amount:</v>
      </c>
      <c r="C37" s="459">
        <f>inputOth!B33</f>
        <v>1168147</v>
      </c>
      <c r="D37" s="459"/>
      <c r="E37" s="459">
        <f>inputPrYr!D19</f>
        <v>1185305</v>
      </c>
      <c r="F37" s="496" t="s">
        <v>132</v>
      </c>
      <c r="G37" s="555"/>
      <c r="H37" s="556">
        <f>IF(F41&gt;0,F40,#REF!)</f>
        <v>1018402</v>
      </c>
      <c r="I37" s="540" t="str">
        <f>CONCATENATE("",F1," Ad Valorem Tax (est.)")</f>
        <v>2013 Ad Valorem Tax (est.)</v>
      </c>
      <c r="J37" s="554"/>
      <c r="K37" s="551"/>
      <c r="L37" s="530" t="e">
        <f>IF(H37=#REF!,"","Note: Does not include Delinquent Taxes")</f>
        <v>#REF!</v>
      </c>
    </row>
    <row r="38" spans="2:11" ht="15">
      <c r="B38" s="458"/>
      <c r="C38" s="866" t="s">
        <v>630</v>
      </c>
      <c r="D38" s="866"/>
      <c r="E38" s="867"/>
      <c r="F38" s="771">
        <v>9877</v>
      </c>
      <c r="G38" s="555">
        <f>IF(F35/0.95-F35&lt;F38,"Exceeds 5%","")</f>
      </c>
      <c r="H38" s="552">
        <f>SUM(H35:H37)</f>
        <v>1235182</v>
      </c>
      <c r="I38" s="540" t="str">
        <f>CONCATENATE("Total ",F1," Resources Available")</f>
        <v>Total 2013 Resources Available</v>
      </c>
      <c r="J38" s="554"/>
      <c r="K38" s="551"/>
    </row>
    <row r="39" spans="2:11" ht="15">
      <c r="B39" s="463" t="str">
        <f>CONCATENATE(C44,"     ",E44)</f>
        <v>     </v>
      </c>
      <c r="C39" s="868" t="s">
        <v>631</v>
      </c>
      <c r="D39" s="868"/>
      <c r="E39" s="869"/>
      <c r="F39" s="434">
        <f>F35+F38</f>
        <v>1235182</v>
      </c>
      <c r="G39" s="538"/>
      <c r="H39" s="557"/>
      <c r="I39" s="540"/>
      <c r="J39" s="540"/>
      <c r="K39" s="551"/>
    </row>
    <row r="40" spans="2:11" ht="15">
      <c r="B40" s="463" t="str">
        <f>CONCATENATE(C45,"     ",E45)</f>
        <v>     </v>
      </c>
      <c r="C40" s="464"/>
      <c r="D40" s="464"/>
      <c r="E40" s="421" t="s">
        <v>155</v>
      </c>
      <c r="F40" s="434">
        <f>IF(F39-F23&gt;0,F39-F23,0)</f>
        <v>1018402</v>
      </c>
      <c r="G40" s="538"/>
      <c r="H40" s="556">
        <f>ROUND(C35*0.05+C35,0)</f>
        <v>1214159</v>
      </c>
      <c r="I40" s="540" t="str">
        <f>CONCATENATE("Less ",F1-2," Expenditures + 5%")</f>
        <v>Less 2011 Expenditures + 5%</v>
      </c>
      <c r="J40" s="554"/>
      <c r="K40" s="558"/>
    </row>
    <row r="41" spans="2:11" ht="15">
      <c r="B41" s="421"/>
      <c r="C41" s="466" t="s">
        <v>632</v>
      </c>
      <c r="D41" s="466"/>
      <c r="E41" s="467">
        <f>inputOth!$E$23</f>
        <v>0.08</v>
      </c>
      <c r="F41" s="434">
        <f>ROUND(IF(E41&gt;0,(F40/((100-(100*E41))*0.01)-F40),0),0)</f>
        <v>88557</v>
      </c>
      <c r="G41" s="538"/>
      <c r="H41" s="556">
        <f>H38-H40</f>
        <v>21023</v>
      </c>
      <c r="I41" s="559" t="str">
        <f>CONCATENATE("Projected ",F1+1," carryover (est.)")</f>
        <v>Projected 2014 carryover (est.)</v>
      </c>
      <c r="J41" s="560"/>
      <c r="K41" s="561"/>
    </row>
    <row r="42" spans="3:6" ht="15">
      <c r="C42" s="885" t="str">
        <f>CONCATENATE("Amount of  ",$F$1-1," Ad Valorem Tax")</f>
        <v>Amount of  2012 Ad Valorem Tax</v>
      </c>
      <c r="D42" s="885"/>
      <c r="E42" s="886"/>
      <c r="F42" s="562">
        <f>F40+F41</f>
        <v>1106959</v>
      </c>
    </row>
    <row r="44" spans="3:5" ht="15" hidden="1">
      <c r="C44" s="510">
        <f>IF(C35&gt;C37,"See Tab A","")</f>
      </c>
      <c r="E44" s="510">
        <f>IF(E35&gt;E37,"See Tab C","")</f>
      </c>
    </row>
    <row r="45" spans="3:5" ht="15" hidden="1">
      <c r="C45" s="510">
        <f>IF(C36&lt;0,"See Tab B","")</f>
      </c>
      <c r="E45" s="510">
        <f>IF(E36&lt;0,"See Tab D","")</f>
      </c>
    </row>
    <row r="46" spans="3:5" ht="15" hidden="1">
      <c r="C46" s="510" t="e">
        <f>IF(#REF!&gt;#REF!,"See Tab A","")</f>
        <v>#REF!</v>
      </c>
      <c r="E46" s="510" t="e">
        <f>IF(#REF!&gt;#REF!,"See Tab C","")</f>
        <v>#REF!</v>
      </c>
    </row>
    <row r="47" spans="3:5" ht="15" hidden="1">
      <c r="C47" s="510" t="e">
        <f>IF(#REF!&lt;0,"See Tab B","")</f>
        <v>#REF!</v>
      </c>
      <c r="E47" s="510" t="e">
        <f>IF(#REF!&lt;0,"See Tab D","")</f>
        <v>#REF!</v>
      </c>
    </row>
  </sheetData>
  <sheetProtection/>
  <mergeCells count="5">
    <mergeCell ref="C42:E42"/>
    <mergeCell ref="C38:E38"/>
    <mergeCell ref="C39:E39"/>
    <mergeCell ref="H26:K26"/>
    <mergeCell ref="H33:K33"/>
  </mergeCells>
  <conditionalFormatting sqref="F38">
    <cfRule type="cellIs" priority="6" dxfId="42" operator="greaterThan" stopIfTrue="1">
      <formula>$F$35/0.95-$F$35</formula>
    </cfRule>
  </conditionalFormatting>
  <conditionalFormatting sqref="F33">
    <cfRule type="cellIs" priority="7" dxfId="42" operator="greaterThan" stopIfTrue="1">
      <formula>$F$35*0.1</formula>
    </cfRule>
  </conditionalFormatting>
  <printOptions/>
  <pageMargins left="1.12" right="0.5" top="0.74" bottom="0.34" header="0.5" footer="0"/>
  <pageSetup blackAndWhite="1" fitToHeight="1" fitToWidth="1" horizontalDpi="120" verticalDpi="120" orientation="portrait" scale="77" r:id="rId1"/>
  <headerFooter alignWithMargins="0">
    <oddHeader>&amp;RState of Kansas
County
</oddHeader>
    <oddFooter>&amp;C&amp;"Arial,Regular"&amp;11WY-&amp;P</oddFooter>
  </headerFooter>
</worksheet>
</file>

<file path=xl/worksheets/sheet11.xml><?xml version="1.0" encoding="utf-8"?>
<worksheet xmlns="http://schemas.openxmlformats.org/spreadsheetml/2006/main" xmlns:r="http://schemas.openxmlformats.org/officeDocument/2006/relationships">
  <sheetPr>
    <tabColor theme="9" tint="-0.24997000396251678"/>
    <pageSetUpPr fitToPage="1"/>
  </sheetPr>
  <dimension ref="B1:L51"/>
  <sheetViews>
    <sheetView zoomScale="80" zoomScaleNormal="80" zoomScalePageLayoutView="0" workbookViewId="0" topLeftCell="A1">
      <selection activeCell="E27" sqref="E27"/>
    </sheetView>
  </sheetViews>
  <sheetFormatPr defaultColWidth="8.796875" defaultRowHeight="15"/>
  <cols>
    <col min="1" max="1" width="2.3984375" style="420" customWidth="1"/>
    <col min="2" max="2" width="31.09765625" style="420" customWidth="1"/>
    <col min="3" max="5" width="15.796875" style="420" customWidth="1"/>
    <col min="6" max="6" width="16.09765625" style="420" customWidth="1"/>
    <col min="7" max="7" width="15" style="420" customWidth="1"/>
    <col min="8" max="8" width="10.19921875" style="420" customWidth="1"/>
    <col min="9" max="9" width="8.8984375" style="420" customWidth="1"/>
    <col min="10" max="10" width="5" style="420" customWidth="1"/>
    <col min="11" max="11" width="10" style="420" customWidth="1"/>
    <col min="12" max="16384" width="8.8984375" style="420" customWidth="1"/>
  </cols>
  <sheetData>
    <row r="1" spans="2:6" ht="14.25">
      <c r="B1" s="417" t="str">
        <f>(inputPrYr!C2)</f>
        <v>Wyandotte County</v>
      </c>
      <c r="C1" s="418"/>
      <c r="D1" s="418"/>
      <c r="E1" s="418"/>
      <c r="F1" s="419">
        <f>inputPrYr!C4</f>
        <v>2013</v>
      </c>
    </row>
    <row r="2" spans="2:6" ht="14.25">
      <c r="B2" s="418"/>
      <c r="C2" s="418"/>
      <c r="D2" s="418"/>
      <c r="E2" s="418"/>
      <c r="F2" s="421"/>
    </row>
    <row r="3" spans="2:11" ht="15">
      <c r="B3" s="422" t="s">
        <v>206</v>
      </c>
      <c r="C3" s="487"/>
      <c r="D3" s="487"/>
      <c r="E3" s="487"/>
      <c r="F3" s="488"/>
      <c r="H3" s="566"/>
      <c r="I3" s="566"/>
      <c r="J3" s="566"/>
      <c r="K3" s="566"/>
    </row>
    <row r="4" spans="2:11" ht="15">
      <c r="B4" s="490" t="s">
        <v>144</v>
      </c>
      <c r="C4" s="425" t="s">
        <v>783</v>
      </c>
      <c r="D4" s="425">
        <v>2012</v>
      </c>
      <c r="E4" s="426" t="s">
        <v>784</v>
      </c>
      <c r="F4" s="427" t="s">
        <v>785</v>
      </c>
      <c r="H4" s="567"/>
      <c r="I4" s="553"/>
      <c r="J4" s="568"/>
      <c r="K4" s="540"/>
    </row>
    <row r="5" spans="2:11" ht="15">
      <c r="B5" s="569" t="str">
        <f>(inputPrYr!B20)</f>
        <v>Mental Health</v>
      </c>
      <c r="C5" s="429" t="s">
        <v>902</v>
      </c>
      <c r="D5" s="429" t="s">
        <v>840</v>
      </c>
      <c r="E5" s="429" t="s">
        <v>903</v>
      </c>
      <c r="F5" s="430" t="s">
        <v>904</v>
      </c>
      <c r="H5" s="567"/>
      <c r="I5" s="553"/>
      <c r="J5" s="568"/>
      <c r="K5" s="540"/>
    </row>
    <row r="6" spans="2:11" ht="15">
      <c r="B6" s="455" t="s">
        <v>246</v>
      </c>
      <c r="C6" s="432">
        <v>148052</v>
      </c>
      <c r="D6" s="432">
        <v>82495</v>
      </c>
      <c r="E6" s="433">
        <f>C31</f>
        <v>107424</v>
      </c>
      <c r="F6" s="434">
        <f>E31</f>
        <v>75223</v>
      </c>
      <c r="H6" s="567"/>
      <c r="I6" s="553"/>
      <c r="J6" s="568"/>
      <c r="K6" s="540"/>
    </row>
    <row r="7" spans="2:11" ht="15">
      <c r="B7" s="431" t="s">
        <v>248</v>
      </c>
      <c r="C7" s="436"/>
      <c r="D7" s="436"/>
      <c r="E7" s="436"/>
      <c r="F7" s="437"/>
      <c r="H7" s="567"/>
      <c r="I7" s="553"/>
      <c r="J7" s="568"/>
      <c r="K7" s="540"/>
    </row>
    <row r="8" spans="2:11" ht="15">
      <c r="B8" s="346" t="s">
        <v>145</v>
      </c>
      <c r="C8" s="432">
        <v>330776</v>
      </c>
      <c r="D8" s="432">
        <v>414026</v>
      </c>
      <c r="E8" s="433">
        <v>415400</v>
      </c>
      <c r="F8" s="496" t="s">
        <v>132</v>
      </c>
      <c r="G8" s="346" t="s">
        <v>145</v>
      </c>
      <c r="H8" s="567"/>
      <c r="I8" s="553"/>
      <c r="J8" s="568"/>
      <c r="K8" s="540"/>
    </row>
    <row r="9" spans="2:11" ht="14.25">
      <c r="B9" s="346" t="s">
        <v>146</v>
      </c>
      <c r="C9" s="432">
        <v>25426</v>
      </c>
      <c r="D9" s="432">
        <v>12400</v>
      </c>
      <c r="E9" s="432">
        <v>19600</v>
      </c>
      <c r="F9" s="450">
        <v>15900</v>
      </c>
      <c r="G9" s="346" t="s">
        <v>146</v>
      </c>
      <c r="H9" s="570"/>
      <c r="I9" s="570"/>
      <c r="J9" s="570"/>
      <c r="K9" s="570"/>
    </row>
    <row r="10" spans="2:11" ht="14.25">
      <c r="B10" s="346" t="s">
        <v>147</v>
      </c>
      <c r="C10" s="432">
        <v>48293</v>
      </c>
      <c r="D10" s="432">
        <v>38078</v>
      </c>
      <c r="E10" s="432">
        <v>45500</v>
      </c>
      <c r="F10" s="434">
        <f>mvalloc!E11</f>
        <v>51727</v>
      </c>
      <c r="G10" s="346" t="s">
        <v>147</v>
      </c>
      <c r="H10" s="571"/>
      <c r="I10" s="571"/>
      <c r="J10" s="571"/>
      <c r="K10" s="571"/>
    </row>
    <row r="11" spans="2:11" ht="14.25">
      <c r="B11" s="346" t="s">
        <v>148</v>
      </c>
      <c r="C11" s="432">
        <v>216</v>
      </c>
      <c r="D11" s="432">
        <v>185</v>
      </c>
      <c r="E11" s="432">
        <v>170</v>
      </c>
      <c r="F11" s="434">
        <f>mvalloc!F11</f>
        <v>192</v>
      </c>
      <c r="G11" s="346" t="s">
        <v>148</v>
      </c>
      <c r="H11" s="571"/>
      <c r="I11" s="571"/>
      <c r="J11" s="571"/>
      <c r="K11" s="571"/>
    </row>
    <row r="12" spans="2:11" ht="14.25">
      <c r="B12" s="346" t="s">
        <v>200</v>
      </c>
      <c r="C12" s="432">
        <v>420</v>
      </c>
      <c r="D12" s="432">
        <v>338</v>
      </c>
      <c r="E12" s="432">
        <v>440</v>
      </c>
      <c r="F12" s="434">
        <f>mvalloc!G11</f>
        <v>380</v>
      </c>
      <c r="G12" s="346" t="s">
        <v>200</v>
      </c>
      <c r="H12" s="571"/>
      <c r="I12" s="571"/>
      <c r="J12" s="571"/>
      <c r="K12" s="571"/>
    </row>
    <row r="13" spans="2:11" ht="14.25">
      <c r="B13" s="346" t="s">
        <v>842</v>
      </c>
      <c r="C13" s="432">
        <v>7845</v>
      </c>
      <c r="D13" s="432">
        <v>6050</v>
      </c>
      <c r="E13" s="432">
        <v>9700</v>
      </c>
      <c r="F13" s="450">
        <v>7080</v>
      </c>
      <c r="G13" s="346" t="s">
        <v>842</v>
      </c>
      <c r="H13" s="571"/>
      <c r="I13" s="571"/>
      <c r="J13" s="571"/>
      <c r="K13" s="571"/>
    </row>
    <row r="14" spans="2:11" ht="14.25">
      <c r="B14" s="346" t="s">
        <v>843</v>
      </c>
      <c r="C14" s="432">
        <v>263</v>
      </c>
      <c r="D14" s="432">
        <v>180</v>
      </c>
      <c r="E14" s="432">
        <v>320</v>
      </c>
      <c r="F14" s="450">
        <v>240</v>
      </c>
      <c r="G14" s="346" t="s">
        <v>843</v>
      </c>
      <c r="H14" s="571"/>
      <c r="I14" s="571"/>
      <c r="J14" s="571"/>
      <c r="K14" s="571"/>
    </row>
    <row r="15" spans="2:11" ht="14.25">
      <c r="B15" s="346" t="s">
        <v>898</v>
      </c>
      <c r="C15" s="432">
        <v>0</v>
      </c>
      <c r="D15" s="432">
        <v>0</v>
      </c>
      <c r="E15" s="432">
        <v>0</v>
      </c>
      <c r="F15" s="450">
        <v>0</v>
      </c>
      <c r="G15" s="346" t="s">
        <v>898</v>
      </c>
      <c r="H15" s="571"/>
      <c r="I15" s="571"/>
      <c r="J15" s="571"/>
      <c r="K15" s="571"/>
    </row>
    <row r="16" spans="2:11" ht="14.25">
      <c r="B16" s="440" t="s">
        <v>61</v>
      </c>
      <c r="C16" s="432">
        <v>0</v>
      </c>
      <c r="D16" s="432">
        <v>0</v>
      </c>
      <c r="E16" s="432">
        <v>0</v>
      </c>
      <c r="F16" s="450">
        <v>0</v>
      </c>
      <c r="G16" s="440" t="s">
        <v>61</v>
      </c>
      <c r="H16" s="571"/>
      <c r="I16" s="571"/>
      <c r="J16" s="571"/>
      <c r="K16" s="571"/>
    </row>
    <row r="17" spans="2:11" ht="14.25">
      <c r="B17" s="441" t="s">
        <v>629</v>
      </c>
      <c r="C17" s="442">
        <f>IF(C18*0.1&lt;C16,"Exceed 10% Rule","")</f>
      </c>
      <c r="D17" s="442"/>
      <c r="E17" s="442">
        <f>IF(E18*0.1&lt;E16,"Exceed 10% Rule","")</f>
      </c>
      <c r="F17" s="443">
        <f>IF(F18*0.1+F37&lt;F16,"Exceed 10% Rule","")</f>
      </c>
      <c r="H17" s="571"/>
      <c r="I17" s="571"/>
      <c r="J17" s="571"/>
      <c r="K17" s="571"/>
    </row>
    <row r="18" spans="2:11" ht="15">
      <c r="B18" s="444" t="s">
        <v>149</v>
      </c>
      <c r="C18" s="445">
        <f>SUM(C8:C16)</f>
        <v>413239</v>
      </c>
      <c r="D18" s="445">
        <f>SUM(D8:D16)</f>
        <v>471257</v>
      </c>
      <c r="E18" s="445">
        <f>SUM(E8:E16)</f>
        <v>491130</v>
      </c>
      <c r="F18" s="446">
        <f>SUM(F8:F16)</f>
        <v>75519</v>
      </c>
      <c r="H18" s="571"/>
      <c r="I18" s="571"/>
      <c r="J18" s="571"/>
      <c r="K18" s="571"/>
    </row>
    <row r="19" spans="2:11" ht="15">
      <c r="B19" s="444" t="s">
        <v>150</v>
      </c>
      <c r="C19" s="445">
        <f>C6+C18</f>
        <v>561291</v>
      </c>
      <c r="D19" s="445">
        <f>D6+D18</f>
        <v>553752</v>
      </c>
      <c r="E19" s="445">
        <f>E6+E18</f>
        <v>598554</v>
      </c>
      <c r="F19" s="446">
        <f>F6+F18</f>
        <v>150742</v>
      </c>
      <c r="H19" s="571"/>
      <c r="I19" s="571"/>
      <c r="J19" s="571"/>
      <c r="K19" s="571"/>
    </row>
    <row r="20" spans="2:11" ht="14.25">
      <c r="B20" s="455" t="s">
        <v>153</v>
      </c>
      <c r="C20" s="440"/>
      <c r="D20" s="440"/>
      <c r="E20" s="440"/>
      <c r="F20" s="511"/>
      <c r="H20" s="571"/>
      <c r="I20" s="571"/>
      <c r="J20" s="571"/>
      <c r="K20" s="571"/>
    </row>
    <row r="21" spans="2:11" ht="14.25">
      <c r="B21" s="346" t="s">
        <v>893</v>
      </c>
      <c r="C21" s="432">
        <v>0</v>
      </c>
      <c r="D21" s="450">
        <v>0</v>
      </c>
      <c r="E21" s="450">
        <v>0</v>
      </c>
      <c r="F21" s="450">
        <v>0</v>
      </c>
      <c r="G21" s="455" t="s">
        <v>153</v>
      </c>
      <c r="H21" s="571"/>
      <c r="I21" s="571"/>
      <c r="J21" s="571"/>
      <c r="K21" s="571"/>
    </row>
    <row r="22" spans="2:11" ht="15">
      <c r="B22" s="346" t="s">
        <v>894</v>
      </c>
      <c r="C22" s="432">
        <v>0</v>
      </c>
      <c r="D22" s="450">
        <v>0</v>
      </c>
      <c r="E22" s="450">
        <v>0</v>
      </c>
      <c r="F22" s="450">
        <v>0</v>
      </c>
      <c r="G22" s="346" t="s">
        <v>893</v>
      </c>
      <c r="H22" s="892" t="str">
        <f>CONCATENATE("Desired Carryover Into ",F1+1,"")</f>
        <v>Desired Carryover Into 2014</v>
      </c>
      <c r="I22" s="878"/>
      <c r="J22" s="878"/>
      <c r="K22" s="879"/>
    </row>
    <row r="23" spans="2:11" ht="14.25">
      <c r="B23" s="346" t="s">
        <v>895</v>
      </c>
      <c r="C23" s="432">
        <v>0</v>
      </c>
      <c r="D23" s="450">
        <v>0</v>
      </c>
      <c r="E23" s="450">
        <v>0</v>
      </c>
      <c r="F23" s="450">
        <v>0</v>
      </c>
      <c r="G23" s="346" t="s">
        <v>894</v>
      </c>
      <c r="H23" s="572"/>
      <c r="I23" s="573"/>
      <c r="J23" s="573"/>
      <c r="K23" s="574"/>
    </row>
    <row r="24" spans="2:11" ht="14.25">
      <c r="B24" s="346" t="s">
        <v>896</v>
      </c>
      <c r="C24" s="432">
        <v>453867</v>
      </c>
      <c r="D24" s="450">
        <v>508331</v>
      </c>
      <c r="E24" s="432">
        <v>508331</v>
      </c>
      <c r="F24" s="450">
        <v>533331</v>
      </c>
      <c r="G24" s="346" t="s">
        <v>895</v>
      </c>
      <c r="H24" s="575" t="s">
        <v>633</v>
      </c>
      <c r="I24" s="573"/>
      <c r="J24" s="573"/>
      <c r="K24" s="576">
        <v>0</v>
      </c>
    </row>
    <row r="25" spans="2:11" ht="15">
      <c r="B25" s="346" t="s">
        <v>930</v>
      </c>
      <c r="C25" s="432">
        <v>0</v>
      </c>
      <c r="D25" s="450">
        <v>0</v>
      </c>
      <c r="E25" s="450">
        <v>0</v>
      </c>
      <c r="F25" s="450">
        <v>0</v>
      </c>
      <c r="G25" s="346" t="s">
        <v>896</v>
      </c>
      <c r="H25" s="572" t="s">
        <v>634</v>
      </c>
      <c r="I25" s="573"/>
      <c r="J25" s="573"/>
      <c r="K25" s="577">
        <f>IF(K24=0,"",ROUND((K24+F37-H36)/inputOth!E6*1000,3)-H41)</f>
      </c>
    </row>
    <row r="26" spans="2:11" ht="15">
      <c r="B26" s="346" t="s">
        <v>897</v>
      </c>
      <c r="C26" s="432">
        <v>0</v>
      </c>
      <c r="D26" s="450">
        <v>0</v>
      </c>
      <c r="E26" s="450">
        <v>0</v>
      </c>
      <c r="F26" s="450">
        <v>0</v>
      </c>
      <c r="G26" s="346" t="s">
        <v>930</v>
      </c>
      <c r="H26" s="578" t="str">
        <f>CONCATENATE("",F1," Tot Exp/Non-Appr Must Be:")</f>
        <v>2013 Tot Exp/Non-Appr Must Be:</v>
      </c>
      <c r="I26" s="579"/>
      <c r="J26" s="579"/>
      <c r="K26" s="580">
        <f>IF(K24&gt;0,IF(F34&lt;F19,IF(K24=H36,F34,((K24-H36)*(1-E36))+F19),F34+(K24-H36)),0)</f>
        <v>0</v>
      </c>
    </row>
    <row r="27" spans="2:11" ht="15">
      <c r="B27" s="346" t="s">
        <v>157</v>
      </c>
      <c r="C27" s="432">
        <v>0</v>
      </c>
      <c r="D27" s="450">
        <v>0</v>
      </c>
      <c r="E27" s="450">
        <v>0</v>
      </c>
      <c r="F27" s="450">
        <v>0</v>
      </c>
      <c r="G27" s="346" t="s">
        <v>897</v>
      </c>
      <c r="H27" s="494" t="s">
        <v>781</v>
      </c>
      <c r="I27" s="581"/>
      <c r="J27" s="581"/>
      <c r="K27" s="582">
        <f>IF(K24&gt;0,K26-F34,0)</f>
        <v>0</v>
      </c>
    </row>
    <row r="28" spans="2:11" ht="15">
      <c r="B28" s="440" t="s">
        <v>61</v>
      </c>
      <c r="C28" s="432">
        <v>0</v>
      </c>
      <c r="D28" s="450">
        <v>21000</v>
      </c>
      <c r="E28" s="432">
        <v>15000</v>
      </c>
      <c r="F28" s="450">
        <v>15000</v>
      </c>
      <c r="G28" s="346" t="s">
        <v>157</v>
      </c>
      <c r="H28" s="892" t="str">
        <f>CONCATENATE("Projected Carryover Into ",F1+1,"")</f>
        <v>Projected Carryover Into 2014</v>
      </c>
      <c r="I28" s="893"/>
      <c r="J28" s="893"/>
      <c r="K28" s="894"/>
    </row>
    <row r="29" spans="2:11" ht="14.25">
      <c r="B29" s="441" t="s">
        <v>628</v>
      </c>
      <c r="C29" s="442">
        <f>IF(C30*0.1&lt;C28,"Exceed 10% Rule","")</f>
      </c>
      <c r="D29" s="442"/>
      <c r="E29" s="442">
        <f>IF(E30*0.1&lt;E28,"Exceed 10% Rule","")</f>
      </c>
      <c r="F29" s="443">
        <f>IF(F30*0.1&lt;F28,"Exceed 10% Rule","")</f>
      </c>
      <c r="G29" s="440" t="s">
        <v>61</v>
      </c>
      <c r="H29" s="572"/>
      <c r="I29" s="573"/>
      <c r="J29" s="573"/>
      <c r="K29" s="583"/>
    </row>
    <row r="30" spans="2:11" ht="15">
      <c r="B30" s="444" t="s">
        <v>154</v>
      </c>
      <c r="C30" s="445">
        <f>SUM(C21:C28)</f>
        <v>453867</v>
      </c>
      <c r="D30" s="445">
        <f>SUM(D21:D28)</f>
        <v>529331</v>
      </c>
      <c r="E30" s="445">
        <f>SUM(E21:E28)</f>
        <v>523331</v>
      </c>
      <c r="F30" s="446">
        <f>SUM(F21:F28)</f>
        <v>548331</v>
      </c>
      <c r="H30" s="584">
        <f>E31</f>
        <v>75223</v>
      </c>
      <c r="I30" s="474" t="str">
        <f>CONCATENATE("",F1-1," Ending Cash Balance (est.)")</f>
        <v>2012 Ending Cash Balance (est.)</v>
      </c>
      <c r="J30" s="476"/>
      <c r="K30" s="583"/>
    </row>
    <row r="31" spans="2:11" ht="14.25">
      <c r="B31" s="455" t="s">
        <v>247</v>
      </c>
      <c r="C31" s="433">
        <f>C19-C30</f>
        <v>107424</v>
      </c>
      <c r="D31" s="433">
        <f>D19-D30</f>
        <v>24421</v>
      </c>
      <c r="E31" s="433">
        <f>E19-E30</f>
        <v>75223</v>
      </c>
      <c r="F31" s="496" t="s">
        <v>132</v>
      </c>
      <c r="H31" s="584">
        <f>F18</f>
        <v>75519</v>
      </c>
      <c r="I31" s="573" t="str">
        <f>CONCATENATE("",F1," Non-AV Receipts (est.)")</f>
        <v>2013 Non-AV Receipts (est.)</v>
      </c>
      <c r="J31" s="476"/>
      <c r="K31" s="583"/>
    </row>
    <row r="32" spans="2:12" ht="14.25">
      <c r="B32" s="458" t="str">
        <f>CONCATENATE("",F$1-2,"/",F$1-1," Budget Authority Amount:")</f>
        <v>2011/2012 Budget Authority Amount:</v>
      </c>
      <c r="C32" s="459">
        <f>inputOth!B34</f>
        <v>474867</v>
      </c>
      <c r="D32" s="459"/>
      <c r="E32" s="459">
        <f>inputPrYr!D20</f>
        <v>523331</v>
      </c>
      <c r="F32" s="496" t="s">
        <v>132</v>
      </c>
      <c r="G32" s="460"/>
      <c r="H32" s="585">
        <f>IF(F36&gt;0,F35,F37)</f>
        <v>421061</v>
      </c>
      <c r="I32" s="573" t="str">
        <f>CONCATENATE("",F1," Ad Valorem Tax (est.)")</f>
        <v>2013 Ad Valorem Tax (est.)</v>
      </c>
      <c r="J32" s="476"/>
      <c r="K32" s="583"/>
      <c r="L32" s="462" t="str">
        <f>IF(H32=F37,"","Note: Does not include Delinquent Taxes")</f>
        <v>Note: Does not include Delinquent Taxes</v>
      </c>
    </row>
    <row r="33" spans="2:11" ht="14.25">
      <c r="B33" s="458"/>
      <c r="C33" s="866" t="s">
        <v>630</v>
      </c>
      <c r="D33" s="866"/>
      <c r="E33" s="867"/>
      <c r="F33" s="450">
        <v>23472</v>
      </c>
      <c r="G33" s="460">
        <f>IF(F30/0.95-F30&lt;F33,"Exceeds 5%","")</f>
      </c>
      <c r="H33" s="584">
        <f>SUM(H30:H32)</f>
        <v>571803</v>
      </c>
      <c r="I33" s="573" t="str">
        <f>CONCATENATE("Total ",F1," Resources Available")</f>
        <v>Total 2013 Resources Available</v>
      </c>
      <c r="J33" s="476"/>
      <c r="K33" s="583"/>
    </row>
    <row r="34" spans="2:11" ht="15">
      <c r="B34" s="586" t="str">
        <f>CONCATENATE(C50,"     ",E50)</f>
        <v>     </v>
      </c>
      <c r="C34" s="868" t="s">
        <v>631</v>
      </c>
      <c r="D34" s="868"/>
      <c r="E34" s="869"/>
      <c r="F34" s="434">
        <f>F30+F33</f>
        <v>571803</v>
      </c>
      <c r="H34" s="587"/>
      <c r="I34" s="573"/>
      <c r="J34" s="573"/>
      <c r="K34" s="583"/>
    </row>
    <row r="35" spans="2:11" ht="15">
      <c r="B35" s="586" t="str">
        <f>CONCATENATE(C51,"     ",E51)</f>
        <v>     </v>
      </c>
      <c r="C35" s="464"/>
      <c r="D35" s="464"/>
      <c r="E35" s="421" t="s">
        <v>155</v>
      </c>
      <c r="F35" s="434">
        <f>IF(F34-F19&gt;0,F34-F19,0)</f>
        <v>421061</v>
      </c>
      <c r="H35" s="585">
        <f>ROUND(C30*0.05+C30,0)</f>
        <v>476560</v>
      </c>
      <c r="I35" s="573" t="str">
        <f>CONCATENATE("Less ",F1-2," Expenditures + 5%")</f>
        <v>Less 2011 Expenditures + 5%</v>
      </c>
      <c r="J35" s="476"/>
      <c r="K35" s="583"/>
    </row>
    <row r="36" spans="2:11" ht="14.25">
      <c r="B36" s="421"/>
      <c r="C36" s="466" t="s">
        <v>632</v>
      </c>
      <c r="D36" s="466"/>
      <c r="E36" s="467">
        <f>inputOth!$E$23</f>
        <v>0.08</v>
      </c>
      <c r="F36" s="434">
        <f>ROUND(IF(E36&gt;0,(F35/((100-(100*E36))*0.01)-F35),0),0)</f>
        <v>36614</v>
      </c>
      <c r="H36" s="588">
        <f>H33-H35</f>
        <v>95243</v>
      </c>
      <c r="I36" s="589" t="str">
        <f>CONCATENATE("Projected ",F1+1," carryover (est.)")</f>
        <v>Projected 2014 carryover (est.)</v>
      </c>
      <c r="J36" s="590"/>
      <c r="K36" s="591"/>
    </row>
    <row r="37" spans="2:11" ht="14.25">
      <c r="B37" s="418"/>
      <c r="C37" s="873" t="str">
        <f>CONCATENATE("Amount of  ",$F$1-1," Ad Valorem Tax")</f>
        <v>Amount of  2012 Ad Valorem Tax</v>
      </c>
      <c r="D37" s="873"/>
      <c r="E37" s="874"/>
      <c r="F37" s="468">
        <f>F35+F36</f>
        <v>457675</v>
      </c>
      <c r="H37" s="571"/>
      <c r="I37" s="571"/>
      <c r="J37" s="571"/>
      <c r="K37" s="571"/>
    </row>
    <row r="38" spans="2:11" ht="15">
      <c r="B38" s="508"/>
      <c r="C38" s="509"/>
      <c r="D38" s="509"/>
      <c r="E38" s="507"/>
      <c r="F38" s="507"/>
      <c r="H38" s="875" t="s">
        <v>782</v>
      </c>
      <c r="I38" s="876"/>
      <c r="J38" s="876"/>
      <c r="K38" s="877"/>
    </row>
    <row r="39" spans="8:11" ht="15">
      <c r="H39" s="473"/>
      <c r="I39" s="474"/>
      <c r="J39" s="475"/>
      <c r="K39" s="476"/>
    </row>
    <row r="40" spans="8:11" ht="15">
      <c r="H40" s="477">
        <f>summ!H20</f>
        <v>0.418</v>
      </c>
      <c r="I40" s="474" t="str">
        <f>CONCATENATE("",F1," Fund Mill Rate")</f>
        <v>2013 Fund Mill Rate</v>
      </c>
      <c r="J40" s="475"/>
      <c r="K40" s="476"/>
    </row>
    <row r="41" spans="8:11" ht="15">
      <c r="H41" s="478">
        <f>summ!E20</f>
        <v>0.418</v>
      </c>
      <c r="I41" s="474" t="str">
        <f>CONCATENATE("",F1-1," Fund Mill Rate")</f>
        <v>2012 Fund Mill Rate</v>
      </c>
      <c r="J41" s="475"/>
      <c r="K41" s="476"/>
    </row>
    <row r="42" spans="8:11" ht="15">
      <c r="H42" s="479">
        <f>summ!H30</f>
        <v>36.399</v>
      </c>
      <c r="I42" s="474" t="str">
        <f>CONCATENATE("Total ",F1," Mill Rate")</f>
        <v>Total 2013 Mill Rate</v>
      </c>
      <c r="J42" s="475"/>
      <c r="K42" s="476"/>
    </row>
    <row r="43" spans="8:11" ht="15">
      <c r="H43" s="478">
        <f>summ!E30</f>
        <v>36.398999999999994</v>
      </c>
      <c r="I43" s="480" t="str">
        <f>CONCATENATE("Total ",F1-1," Mill Rate")</f>
        <v>Total 2012 Mill Rate</v>
      </c>
      <c r="J43" s="481"/>
      <c r="K43" s="482"/>
    </row>
    <row r="48" spans="3:5" ht="14.25" hidden="1">
      <c r="C48" s="420" t="e">
        <f>IF(#REF!&gt;#REF!,"See Tab A","")</f>
        <v>#REF!</v>
      </c>
      <c r="E48" s="420" t="e">
        <f>IF(#REF!&gt;#REF!,"See Tab C","")</f>
        <v>#REF!</v>
      </c>
    </row>
    <row r="49" spans="3:5" ht="14.25" hidden="1">
      <c r="C49" s="420" t="e">
        <f>IF(#REF!&lt;0,"See Tab B","")</f>
        <v>#REF!</v>
      </c>
      <c r="E49" s="420" t="e">
        <f>IF(#REF!&lt;0,"See Tab D","")</f>
        <v>#REF!</v>
      </c>
    </row>
    <row r="50" spans="3:5" ht="14.25" hidden="1">
      <c r="C50" s="420">
        <f>IF(C30&gt;C32,"See Tab A","")</f>
      </c>
      <c r="E50" s="420">
        <f>IF(E30&gt;E32,"See Tab C","")</f>
      </c>
    </row>
    <row r="51" spans="3:5" ht="14.25" hidden="1">
      <c r="C51" s="420">
        <f>IF(C31&lt;0,"See Tab B","")</f>
      </c>
      <c r="E51" s="420">
        <f>IF(E31&lt;0,"See Tab D","")</f>
      </c>
    </row>
  </sheetData>
  <sheetProtection/>
  <mergeCells count="6">
    <mergeCell ref="H22:K22"/>
    <mergeCell ref="H28:K28"/>
    <mergeCell ref="C33:E33"/>
    <mergeCell ref="C34:E34"/>
    <mergeCell ref="C37:E37"/>
    <mergeCell ref="H38:K38"/>
  </mergeCells>
  <conditionalFormatting sqref="F28">
    <cfRule type="cellIs" priority="6" dxfId="42" operator="greaterThan" stopIfTrue="1">
      <formula>$F$30*0.1</formula>
    </cfRule>
  </conditionalFormatting>
  <conditionalFormatting sqref="F33">
    <cfRule type="cellIs" priority="5" dxfId="42" operator="greaterThan" stopIfTrue="1">
      <formula>$F$30/0.95-$F$30</formula>
    </cfRule>
  </conditionalFormatting>
  <conditionalFormatting sqref="F16">
    <cfRule type="cellIs" priority="2" dxfId="42" operator="greaterThan" stopIfTrue="1">
      <formula>$F$18*0.1+F37</formula>
    </cfRule>
  </conditionalFormatting>
  <printOptions/>
  <pageMargins left="1.12" right="0.5" top="0.74" bottom="0.34" header="0.5" footer="0"/>
  <pageSetup blackAndWhite="1" fitToHeight="1" fitToWidth="1" horizontalDpi="120" verticalDpi="120" orientation="portrait" scale="75" r:id="rId1"/>
  <headerFooter alignWithMargins="0">
    <oddHeader>&amp;RState of Kansas
County
</oddHeader>
    <oddFooter>&amp;C&amp;"Arial,Regular"&amp;11WY-&amp;P</oddFooter>
  </headerFooter>
</worksheet>
</file>

<file path=xl/worksheets/sheet12.xml><?xml version="1.0" encoding="utf-8"?>
<worksheet xmlns="http://schemas.openxmlformats.org/spreadsheetml/2006/main" xmlns:r="http://schemas.openxmlformats.org/officeDocument/2006/relationships">
  <sheetPr>
    <tabColor theme="9" tint="-0.24997000396251678"/>
    <pageSetUpPr fitToPage="1"/>
  </sheetPr>
  <dimension ref="B1:L108"/>
  <sheetViews>
    <sheetView zoomScale="80" zoomScaleNormal="80" zoomScalePageLayoutView="0" workbookViewId="0" topLeftCell="A1">
      <selection activeCell="G5" sqref="G5"/>
    </sheetView>
  </sheetViews>
  <sheetFormatPr defaultColWidth="8.796875" defaultRowHeight="15"/>
  <cols>
    <col min="1" max="1" width="2.3984375" style="420" customWidth="1"/>
    <col min="2" max="2" width="31.09765625" style="420" customWidth="1"/>
    <col min="3" max="5" width="15.796875" style="420" customWidth="1"/>
    <col min="6" max="6" width="16.09765625" style="420" customWidth="1"/>
    <col min="7" max="7" width="28.69921875" style="420" customWidth="1"/>
    <col min="8" max="8" width="10.19921875" style="420" customWidth="1"/>
    <col min="9" max="9" width="8.8984375" style="420" customWidth="1"/>
    <col min="10" max="10" width="5" style="420" customWidth="1"/>
    <col min="11" max="11" width="10" style="420" customWidth="1"/>
    <col min="12" max="16384" width="8.8984375" style="420" customWidth="1"/>
  </cols>
  <sheetData>
    <row r="1" spans="2:6" ht="14.25">
      <c r="B1" s="417" t="str">
        <f>(inputPrYr!C2)</f>
        <v>Wyandotte County</v>
      </c>
      <c r="C1" s="418"/>
      <c r="D1" s="418"/>
      <c r="E1" s="418"/>
      <c r="F1" s="419">
        <f>inputPrYr!C4</f>
        <v>2013</v>
      </c>
    </row>
    <row r="2" spans="2:6" ht="14.25">
      <c r="B2" s="418"/>
      <c r="C2" s="418"/>
      <c r="D2" s="418"/>
      <c r="E2" s="418"/>
      <c r="F2" s="421"/>
    </row>
    <row r="3" spans="2:6" ht="15">
      <c r="B3" s="422" t="s">
        <v>206</v>
      </c>
      <c r="C3" s="487"/>
      <c r="D3" s="487"/>
      <c r="E3" s="487"/>
      <c r="F3" s="488"/>
    </row>
    <row r="4" spans="2:6" ht="14.25">
      <c r="B4" s="490" t="s">
        <v>144</v>
      </c>
      <c r="C4" s="425" t="s">
        <v>783</v>
      </c>
      <c r="D4" s="425">
        <v>2012</v>
      </c>
      <c r="E4" s="426" t="s">
        <v>784</v>
      </c>
      <c r="F4" s="427" t="s">
        <v>785</v>
      </c>
    </row>
    <row r="5" spans="2:6" ht="15">
      <c r="B5" s="428" t="str">
        <f>inputPrYr!B21</f>
        <v>Developmental Disabilities</v>
      </c>
      <c r="C5" s="429" t="s">
        <v>902</v>
      </c>
      <c r="D5" s="429" t="s">
        <v>840</v>
      </c>
      <c r="E5" s="429" t="s">
        <v>903</v>
      </c>
      <c r="F5" s="430" t="s">
        <v>904</v>
      </c>
    </row>
    <row r="6" spans="2:6" ht="14.25">
      <c r="B6" s="455" t="s">
        <v>246</v>
      </c>
      <c r="C6" s="432">
        <v>396438</v>
      </c>
      <c r="D6" s="432">
        <v>225565</v>
      </c>
      <c r="E6" s="433">
        <f>C33</f>
        <v>300459</v>
      </c>
      <c r="F6" s="434">
        <f>E33</f>
        <v>144478</v>
      </c>
    </row>
    <row r="7" spans="2:6" ht="14.25">
      <c r="B7" s="435" t="s">
        <v>248</v>
      </c>
      <c r="C7" s="436"/>
      <c r="D7" s="436"/>
      <c r="E7" s="436"/>
      <c r="F7" s="437"/>
    </row>
    <row r="8" spans="2:7" ht="14.25">
      <c r="B8" s="346" t="s">
        <v>145</v>
      </c>
      <c r="C8" s="432">
        <v>311651</v>
      </c>
      <c r="D8" s="434">
        <v>312509</v>
      </c>
      <c r="E8" s="433">
        <v>312700</v>
      </c>
      <c r="F8" s="496" t="s">
        <v>132</v>
      </c>
      <c r="G8" s="346" t="s">
        <v>145</v>
      </c>
    </row>
    <row r="9" spans="2:7" ht="14.25">
      <c r="B9" s="346" t="s">
        <v>146</v>
      </c>
      <c r="C9" s="432">
        <v>28052</v>
      </c>
      <c r="D9" s="450">
        <v>11800</v>
      </c>
      <c r="E9" s="432">
        <v>20300</v>
      </c>
      <c r="F9" s="450">
        <v>12000</v>
      </c>
      <c r="G9" s="346" t="s">
        <v>146</v>
      </c>
    </row>
    <row r="10" spans="2:7" ht="14.25">
      <c r="B10" s="346" t="s">
        <v>147</v>
      </c>
      <c r="C10" s="432">
        <v>54893</v>
      </c>
      <c r="D10" s="434">
        <v>36020</v>
      </c>
      <c r="E10" s="432">
        <v>42900</v>
      </c>
      <c r="F10" s="434">
        <f>mvalloc!E12</f>
        <v>39044</v>
      </c>
      <c r="G10" s="346" t="s">
        <v>147</v>
      </c>
    </row>
    <row r="11" spans="2:7" ht="14.25">
      <c r="B11" s="346" t="s">
        <v>148</v>
      </c>
      <c r="C11" s="432">
        <v>246</v>
      </c>
      <c r="D11" s="434">
        <v>175</v>
      </c>
      <c r="E11" s="432">
        <v>160</v>
      </c>
      <c r="F11" s="434">
        <f>mvalloc!F12</f>
        <v>145</v>
      </c>
      <c r="G11" s="346" t="s">
        <v>148</v>
      </c>
    </row>
    <row r="12" spans="2:7" ht="14.25">
      <c r="B12" s="346" t="s">
        <v>200</v>
      </c>
      <c r="C12" s="432">
        <v>436</v>
      </c>
      <c r="D12" s="434">
        <v>320</v>
      </c>
      <c r="E12" s="432">
        <v>380</v>
      </c>
      <c r="F12" s="434">
        <f>mvalloc!G12</f>
        <v>287</v>
      </c>
      <c r="G12" s="346" t="s">
        <v>200</v>
      </c>
    </row>
    <row r="13" spans="2:7" ht="14.25">
      <c r="B13" s="346" t="s">
        <v>842</v>
      </c>
      <c r="C13" s="432">
        <v>7489</v>
      </c>
      <c r="D13" s="434">
        <v>5770</v>
      </c>
      <c r="E13" s="432">
        <v>7400</v>
      </c>
      <c r="F13" s="434">
        <v>5400</v>
      </c>
      <c r="G13" s="346" t="s">
        <v>842</v>
      </c>
    </row>
    <row r="14" spans="2:7" ht="14.25">
      <c r="B14" s="346" t="s">
        <v>843</v>
      </c>
      <c r="C14" s="432">
        <v>289</v>
      </c>
      <c r="D14" s="434">
        <v>170</v>
      </c>
      <c r="E14" s="432">
        <v>280</v>
      </c>
      <c r="F14" s="434">
        <v>180</v>
      </c>
      <c r="G14" s="346" t="s">
        <v>843</v>
      </c>
    </row>
    <row r="15" spans="2:7" ht="14.25">
      <c r="B15" s="346" t="s">
        <v>898</v>
      </c>
      <c r="C15" s="432">
        <v>0</v>
      </c>
      <c r="D15" s="434">
        <v>0</v>
      </c>
      <c r="E15" s="432">
        <v>0</v>
      </c>
      <c r="F15" s="434">
        <v>0</v>
      </c>
      <c r="G15" s="346" t="s">
        <v>898</v>
      </c>
    </row>
    <row r="16" spans="2:7" ht="14.25">
      <c r="B16" s="346" t="s">
        <v>955</v>
      </c>
      <c r="C16" s="432">
        <v>13659</v>
      </c>
      <c r="D16" s="434">
        <v>0</v>
      </c>
      <c r="E16" s="432">
        <v>0</v>
      </c>
      <c r="F16" s="432">
        <v>0</v>
      </c>
      <c r="G16" s="346"/>
    </row>
    <row r="17" spans="2:7" ht="14.25">
      <c r="B17" s="346" t="s">
        <v>1000</v>
      </c>
      <c r="C17" s="432">
        <v>2913</v>
      </c>
      <c r="D17" s="434">
        <v>0</v>
      </c>
      <c r="E17" s="432">
        <v>0</v>
      </c>
      <c r="F17" s="432">
        <v>0</v>
      </c>
      <c r="G17" s="346"/>
    </row>
    <row r="18" spans="2:7" ht="14.25">
      <c r="B18" s="440" t="s">
        <v>61</v>
      </c>
      <c r="C18" s="432">
        <v>0</v>
      </c>
      <c r="D18" s="450">
        <v>0</v>
      </c>
      <c r="E18" s="432">
        <v>0</v>
      </c>
      <c r="F18" s="432">
        <v>0</v>
      </c>
      <c r="G18" s="440" t="s">
        <v>61</v>
      </c>
    </row>
    <row r="19" spans="2:6" ht="14.25">
      <c r="B19" s="441" t="s">
        <v>629</v>
      </c>
      <c r="C19" s="442">
        <f>IF(C20*0.1&lt;C18,"Exceed 10% Rule","")</f>
      </c>
      <c r="D19" s="442"/>
      <c r="E19" s="442">
        <f>IF(E20*0.1&lt;E18,"Exceed 10% Rule","")</f>
      </c>
      <c r="F19" s="443">
        <f>IF(F20*0.1+F39&lt;F18,"Exceed 10% Rule","")</f>
      </c>
    </row>
    <row r="20" spans="2:6" ht="15">
      <c r="B20" s="444" t="s">
        <v>149</v>
      </c>
      <c r="C20" s="445">
        <f>SUM(C8:C18)</f>
        <v>419628</v>
      </c>
      <c r="D20" s="445">
        <f>SUM(D8:D18)</f>
        <v>366764</v>
      </c>
      <c r="E20" s="445">
        <f>SUM(E8:E18)</f>
        <v>384120</v>
      </c>
      <c r="F20" s="446">
        <f>SUM(F8:F18)</f>
        <v>57056</v>
      </c>
    </row>
    <row r="21" spans="2:6" ht="15">
      <c r="B21" s="444" t="s">
        <v>150</v>
      </c>
      <c r="C21" s="445">
        <f>C6+C20</f>
        <v>816066</v>
      </c>
      <c r="D21" s="445">
        <f>D6+D20</f>
        <v>592329</v>
      </c>
      <c r="E21" s="445">
        <f>E6+E20</f>
        <v>684579</v>
      </c>
      <c r="F21" s="446">
        <f>F6+F20</f>
        <v>201534</v>
      </c>
    </row>
    <row r="22" spans="2:6" ht="14.25">
      <c r="B22" s="455" t="s">
        <v>153</v>
      </c>
      <c r="C22" s="440"/>
      <c r="D22" s="440"/>
      <c r="E22" s="440"/>
      <c r="F22" s="511"/>
    </row>
    <row r="23" spans="2:7" ht="14.25">
      <c r="B23" s="346" t="s">
        <v>893</v>
      </c>
      <c r="C23" s="432">
        <v>55224</v>
      </c>
      <c r="D23" s="450">
        <v>217804</v>
      </c>
      <c r="E23" s="450">
        <v>16</v>
      </c>
      <c r="F23" s="450">
        <v>0</v>
      </c>
      <c r="G23" s="346" t="s">
        <v>893</v>
      </c>
    </row>
    <row r="24" spans="2:11" ht="15">
      <c r="B24" s="346" t="s">
        <v>894</v>
      </c>
      <c r="C24" s="432">
        <v>459387</v>
      </c>
      <c r="D24" s="450">
        <v>296760</v>
      </c>
      <c r="E24" s="432">
        <v>460657</v>
      </c>
      <c r="F24" s="450">
        <v>460657</v>
      </c>
      <c r="G24" s="346" t="s">
        <v>894</v>
      </c>
      <c r="H24" s="892" t="str">
        <f>CONCATENATE("Desired Carryover Into ",F1+1,"")</f>
        <v>Desired Carryover Into 2014</v>
      </c>
      <c r="I24" s="878"/>
      <c r="J24" s="878"/>
      <c r="K24" s="879"/>
    </row>
    <row r="25" spans="2:11" ht="14.25">
      <c r="B25" s="346" t="s">
        <v>895</v>
      </c>
      <c r="C25" s="432">
        <v>996</v>
      </c>
      <c r="D25" s="450">
        <v>5734</v>
      </c>
      <c r="E25" s="432">
        <v>1000</v>
      </c>
      <c r="F25" s="450">
        <v>1000</v>
      </c>
      <c r="G25" s="346" t="s">
        <v>895</v>
      </c>
      <c r="H25" s="572"/>
      <c r="I25" s="573"/>
      <c r="J25" s="573"/>
      <c r="K25" s="574"/>
    </row>
    <row r="26" spans="2:11" ht="14.25">
      <c r="B26" s="346" t="s">
        <v>896</v>
      </c>
      <c r="C26" s="432">
        <v>0</v>
      </c>
      <c r="D26" s="432">
        <v>0</v>
      </c>
      <c r="E26" s="432">
        <v>56428</v>
      </c>
      <c r="F26" s="450">
        <v>56428</v>
      </c>
      <c r="G26" s="346" t="s">
        <v>896</v>
      </c>
      <c r="H26" s="575" t="s">
        <v>633</v>
      </c>
      <c r="I26" s="573"/>
      <c r="J26" s="573"/>
      <c r="K26" s="576">
        <v>0</v>
      </c>
    </row>
    <row r="27" spans="2:11" ht="15">
      <c r="B27" s="346" t="s">
        <v>930</v>
      </c>
      <c r="C27" s="432">
        <v>0</v>
      </c>
      <c r="D27" s="432">
        <v>0</v>
      </c>
      <c r="E27" s="432">
        <v>0</v>
      </c>
      <c r="F27" s="432">
        <v>0</v>
      </c>
      <c r="G27" s="346" t="s">
        <v>930</v>
      </c>
      <c r="H27" s="572" t="s">
        <v>634</v>
      </c>
      <c r="I27" s="573"/>
      <c r="J27" s="573"/>
      <c r="K27" s="577">
        <f>IF(K26=0,"",ROUND((K26+F39-H38)/inputOth!E6*1000,3)-H43)</f>
      </c>
    </row>
    <row r="28" spans="2:11" ht="15">
      <c r="B28" s="346" t="s">
        <v>897</v>
      </c>
      <c r="C28" s="432">
        <v>0</v>
      </c>
      <c r="D28" s="432">
        <v>0</v>
      </c>
      <c r="E28" s="432">
        <v>0</v>
      </c>
      <c r="F28" s="432">
        <v>0</v>
      </c>
      <c r="G28" s="346" t="s">
        <v>897</v>
      </c>
      <c r="H28" s="578" t="str">
        <f>CONCATENATE("",F1," Tot Exp/Non-Appr Must Be:")</f>
        <v>2013 Tot Exp/Non-Appr Must Be:</v>
      </c>
      <c r="I28" s="579"/>
      <c r="J28" s="579"/>
      <c r="K28" s="580">
        <f>IF(K26&gt;0,IF(F36&lt;F21,IF(K26=H38,F36,((K26-H38)*(1-E38))+F21),F36+(K26-H38)),0)</f>
        <v>0</v>
      </c>
    </row>
    <row r="29" spans="2:11" ht="15">
      <c r="B29" s="346" t="s">
        <v>157</v>
      </c>
      <c r="C29" s="432">
        <v>0</v>
      </c>
      <c r="D29" s="432">
        <v>0</v>
      </c>
      <c r="E29" s="432">
        <v>0</v>
      </c>
      <c r="F29" s="432">
        <v>0</v>
      </c>
      <c r="G29" s="346" t="s">
        <v>157</v>
      </c>
      <c r="H29" s="494" t="s">
        <v>781</v>
      </c>
      <c r="I29" s="581"/>
      <c r="J29" s="581"/>
      <c r="K29" s="582">
        <f>IF(K26&gt;0,K28-F36,0)</f>
        <v>0</v>
      </c>
    </row>
    <row r="30" spans="2:11" ht="15">
      <c r="B30" s="440" t="s">
        <v>61</v>
      </c>
      <c r="C30" s="432">
        <v>0</v>
      </c>
      <c r="D30" s="450">
        <v>47000</v>
      </c>
      <c r="E30" s="450">
        <v>22000</v>
      </c>
      <c r="F30" s="450">
        <v>15000</v>
      </c>
      <c r="G30" s="440" t="s">
        <v>61</v>
      </c>
      <c r="H30" s="892" t="str">
        <f>CONCATENATE("Projected Carryover Into ",F1+1,"")</f>
        <v>Projected Carryover Into 2014</v>
      </c>
      <c r="I30" s="893"/>
      <c r="J30" s="893"/>
      <c r="K30" s="894"/>
    </row>
    <row r="31" spans="2:11" ht="14.25">
      <c r="B31" s="441" t="s">
        <v>628</v>
      </c>
      <c r="C31" s="442">
        <f>IF(C32*0.1&lt;C30,"Exceed 10% Rule","")</f>
      </c>
      <c r="D31" s="442"/>
      <c r="E31" s="442">
        <f>IF(E32*0.1&lt;E30,"Exceed 10% Rule","")</f>
      </c>
      <c r="F31" s="443">
        <f>IF(F32*0.1&lt;F30,"Exceed 10% Rule","")</f>
      </c>
      <c r="H31" s="572"/>
      <c r="I31" s="573"/>
      <c r="J31" s="573"/>
      <c r="K31" s="592"/>
    </row>
    <row r="32" spans="2:11" ht="15">
      <c r="B32" s="444" t="s">
        <v>154</v>
      </c>
      <c r="C32" s="445">
        <f>SUM(C23:C30)</f>
        <v>515607</v>
      </c>
      <c r="D32" s="445">
        <f>SUM(D23:D30)</f>
        <v>567298</v>
      </c>
      <c r="E32" s="445">
        <f>SUM(E23:E30)</f>
        <v>540101</v>
      </c>
      <c r="F32" s="446">
        <f>SUM(F23:F30)</f>
        <v>533085</v>
      </c>
      <c r="H32" s="584">
        <f>E33</f>
        <v>144478</v>
      </c>
      <c r="I32" s="474" t="str">
        <f>CONCATENATE("",F1-1," Ending Cash Balance (est.)")</f>
        <v>2012 Ending Cash Balance (est.)</v>
      </c>
      <c r="J32" s="476"/>
      <c r="K32" s="592"/>
    </row>
    <row r="33" spans="2:11" ht="14.25">
      <c r="B33" s="455" t="s">
        <v>247</v>
      </c>
      <c r="C33" s="433">
        <f>C21-C32</f>
        <v>300459</v>
      </c>
      <c r="D33" s="433">
        <f>D21-D32</f>
        <v>25031</v>
      </c>
      <c r="E33" s="433">
        <f>E21-E32</f>
        <v>144478</v>
      </c>
      <c r="F33" s="496" t="s">
        <v>132</v>
      </c>
      <c r="H33" s="584">
        <f>F20</f>
        <v>57056</v>
      </c>
      <c r="I33" s="573" t="str">
        <f>CONCATENATE("",F1," Non-AV Receipts (est.)")</f>
        <v>2013 Non-AV Receipts (est.)</v>
      </c>
      <c r="J33" s="476"/>
      <c r="K33" s="592"/>
    </row>
    <row r="34" spans="2:12" ht="14.25">
      <c r="B34" s="458" t="str">
        <f>CONCATENATE("",F$1-2,"/",F$1-1," Budget Authority Amount:")</f>
        <v>2011/2012 Budget Authority Amount:</v>
      </c>
      <c r="C34" s="459">
        <f>inputOth!B35</f>
        <v>567993</v>
      </c>
      <c r="D34" s="459"/>
      <c r="E34" s="459">
        <f>inputPrYr!D21</f>
        <v>540101</v>
      </c>
      <c r="F34" s="496" t="s">
        <v>132</v>
      </c>
      <c r="G34" s="460"/>
      <c r="H34" s="585">
        <f>IF(F38&gt;0,F37,F39)</f>
        <v>342489</v>
      </c>
      <c r="I34" s="573" t="str">
        <f>CONCATENATE("",F1," Ad Valorem Tax (est.)")</f>
        <v>2013 Ad Valorem Tax (est.)</v>
      </c>
      <c r="J34" s="476"/>
      <c r="K34" s="592"/>
      <c r="L34" s="462" t="str">
        <f>IF(H34=F39,"","Note: Does not include Delinquent Taxes")</f>
        <v>Note: Does not include Delinquent Taxes</v>
      </c>
    </row>
    <row r="35" spans="2:11" ht="14.25">
      <c r="B35" s="458"/>
      <c r="C35" s="866" t="s">
        <v>630</v>
      </c>
      <c r="D35" s="866"/>
      <c r="E35" s="867"/>
      <c r="F35" s="772">
        <v>10938</v>
      </c>
      <c r="G35" s="460">
        <f>IF(F32/0.95-F32&lt;F35,"Exceeds 5%","")</f>
      </c>
      <c r="H35" s="584">
        <f>SUM(H32:H34)</f>
        <v>544023</v>
      </c>
      <c r="I35" s="573" t="str">
        <f>CONCATENATE("Total ",F1," Resources Available")</f>
        <v>Total 2013 Resources Available</v>
      </c>
      <c r="J35" s="476"/>
      <c r="K35" s="592"/>
    </row>
    <row r="36" spans="2:11" ht="15">
      <c r="B36" s="463" t="str">
        <f>CONCATENATE(C105,"     ",E105)</f>
        <v>     </v>
      </c>
      <c r="C36" s="868" t="s">
        <v>631</v>
      </c>
      <c r="D36" s="868"/>
      <c r="E36" s="869"/>
      <c r="F36" s="434">
        <f>F32+F35</f>
        <v>544023</v>
      </c>
      <c r="H36" s="587"/>
      <c r="I36" s="573"/>
      <c r="J36" s="573"/>
      <c r="K36" s="592"/>
    </row>
    <row r="37" spans="2:11" ht="15">
      <c r="B37" s="463" t="str">
        <f>CONCATENATE(C106,"     ",E106)</f>
        <v>     </v>
      </c>
      <c r="C37" s="464"/>
      <c r="D37" s="464"/>
      <c r="E37" s="421" t="s">
        <v>155</v>
      </c>
      <c r="F37" s="434">
        <f>IF(F36-F21&gt;0,F36-F21,0)</f>
        <v>342489</v>
      </c>
      <c r="H37" s="585">
        <f>ROUND(C32*0.05+C32,0)</f>
        <v>541387</v>
      </c>
      <c r="I37" s="573" t="str">
        <f>CONCATENATE("Less ",F1-2," Expenditures + 5%")</f>
        <v>Less 2011 Expenditures + 5%</v>
      </c>
      <c r="J37" s="476"/>
      <c r="K37" s="583"/>
    </row>
    <row r="38" spans="2:11" ht="14.25">
      <c r="B38" s="421"/>
      <c r="C38" s="466" t="s">
        <v>632</v>
      </c>
      <c r="D38" s="466"/>
      <c r="E38" s="467">
        <f>inputOth!$E$23</f>
        <v>0.08</v>
      </c>
      <c r="F38" s="434">
        <f>ROUND(IF(E38&gt;0,(F37/((100-(100*E38))*0.01)-F37),0),0)</f>
        <v>29782</v>
      </c>
      <c r="H38" s="588">
        <f>H35-H37</f>
        <v>2636</v>
      </c>
      <c r="I38" s="589" t="str">
        <f>CONCATENATE("Projected ",F1+1," carryover (est.)")</f>
        <v>Projected 2014 carryover (est.)</v>
      </c>
      <c r="J38" s="590"/>
      <c r="K38" s="594"/>
    </row>
    <row r="39" spans="2:11" ht="14.25">
      <c r="B39" s="418"/>
      <c r="C39" s="873" t="str">
        <f>CONCATENATE("Amount of  ",$F$1-1," Ad Valorem Tax")</f>
        <v>Amount of  2012 Ad Valorem Tax</v>
      </c>
      <c r="D39" s="873"/>
      <c r="E39" s="874"/>
      <c r="F39" s="468">
        <f>F37+F38</f>
        <v>372271</v>
      </c>
      <c r="H39" s="571"/>
      <c r="I39" s="571"/>
      <c r="J39" s="571"/>
      <c r="K39" s="571"/>
    </row>
    <row r="40" spans="2:11" ht="15">
      <c r="B40" s="490" t="s">
        <v>144</v>
      </c>
      <c r="C40" s="489"/>
      <c r="D40" s="489"/>
      <c r="E40" s="489"/>
      <c r="F40" s="489"/>
      <c r="H40" s="875" t="s">
        <v>782</v>
      </c>
      <c r="I40" s="876"/>
      <c r="J40" s="876"/>
      <c r="K40" s="877"/>
    </row>
    <row r="41" spans="2:11" ht="15">
      <c r="B41" s="418"/>
      <c r="C41" s="425" t="s">
        <v>783</v>
      </c>
      <c r="D41" s="425">
        <v>2012</v>
      </c>
      <c r="E41" s="426" t="s">
        <v>784</v>
      </c>
      <c r="F41" s="427" t="s">
        <v>785</v>
      </c>
      <c r="H41" s="473"/>
      <c r="I41" s="474"/>
      <c r="J41" s="475"/>
      <c r="K41" s="476"/>
    </row>
    <row r="42" spans="2:11" ht="15">
      <c r="B42" s="569" t="str">
        <f>inputPrYr!B22</f>
        <v>County Health</v>
      </c>
      <c r="C42" s="429" t="s">
        <v>902</v>
      </c>
      <c r="D42" s="429" t="s">
        <v>840</v>
      </c>
      <c r="E42" s="429" t="s">
        <v>903</v>
      </c>
      <c r="F42" s="430" t="s">
        <v>904</v>
      </c>
      <c r="H42" s="477">
        <f>summ!H21</f>
        <v>0.34</v>
      </c>
      <c r="I42" s="474" t="str">
        <f>CONCATENATE("",F1," Fund Mill Rate")</f>
        <v>2013 Fund Mill Rate</v>
      </c>
      <c r="J42" s="475"/>
      <c r="K42" s="476"/>
    </row>
    <row r="43" spans="2:11" ht="15">
      <c r="B43" s="455" t="s">
        <v>246</v>
      </c>
      <c r="C43" s="432">
        <v>1310563</v>
      </c>
      <c r="D43" s="432">
        <v>622522</v>
      </c>
      <c r="E43" s="433">
        <f>C88</f>
        <v>1208209</v>
      </c>
      <c r="F43" s="434">
        <f>E88</f>
        <v>813095</v>
      </c>
      <c r="H43" s="478">
        <f>summ!E21</f>
        <v>0.315</v>
      </c>
      <c r="I43" s="474" t="str">
        <f>CONCATENATE("",F1-1," Fund Mill Rate")</f>
        <v>2012 Fund Mill Rate</v>
      </c>
      <c r="J43" s="475"/>
      <c r="K43" s="476"/>
    </row>
    <row r="44" spans="2:11" ht="15">
      <c r="B44" s="431" t="s">
        <v>248</v>
      </c>
      <c r="C44" s="436"/>
      <c r="D44" s="436"/>
      <c r="E44" s="436"/>
      <c r="F44" s="437"/>
      <c r="H44" s="479">
        <f>summ!H30</f>
        <v>36.399</v>
      </c>
      <c r="I44" s="474" t="str">
        <f>CONCATENATE("Total ",F1," Mill Rate")</f>
        <v>Total 2013 Mill Rate</v>
      </c>
      <c r="J44" s="475"/>
      <c r="K44" s="476"/>
    </row>
    <row r="45" spans="2:11" ht="15">
      <c r="B45" s="346" t="s">
        <v>145</v>
      </c>
      <c r="C45" s="432">
        <v>1530314</v>
      </c>
      <c r="D45" s="432">
        <v>1521743</v>
      </c>
      <c r="E45" s="433">
        <v>1527200</v>
      </c>
      <c r="F45" s="496" t="s">
        <v>132</v>
      </c>
      <c r="G45" s="346" t="s">
        <v>145</v>
      </c>
      <c r="H45" s="478">
        <f>summ!E30</f>
        <v>36.398999999999994</v>
      </c>
      <c r="I45" s="480" t="str">
        <f>CONCATENATE("Total ",F1-1," Mill Rate")</f>
        <v>Total 2012 Mill Rate</v>
      </c>
      <c r="J45" s="481"/>
      <c r="K45" s="482"/>
    </row>
    <row r="46" spans="2:11" ht="14.25">
      <c r="B46" s="346" t="s">
        <v>146</v>
      </c>
      <c r="C46" s="432">
        <v>89350</v>
      </c>
      <c r="D46" s="432">
        <v>57300</v>
      </c>
      <c r="E46" s="432">
        <v>75800</v>
      </c>
      <c r="F46" s="450">
        <v>58300</v>
      </c>
      <c r="G46" s="346" t="s">
        <v>146</v>
      </c>
      <c r="H46" s="571"/>
      <c r="I46" s="571"/>
      <c r="J46" s="571"/>
      <c r="K46" s="571"/>
    </row>
    <row r="47" spans="2:11" ht="14.25">
      <c r="B47" s="346" t="s">
        <v>147</v>
      </c>
      <c r="C47" s="432">
        <v>173368</v>
      </c>
      <c r="D47" s="432">
        <v>175183</v>
      </c>
      <c r="E47" s="432">
        <v>176700</v>
      </c>
      <c r="F47" s="434">
        <f>mvalloc!E13</f>
        <v>190123</v>
      </c>
      <c r="G47" s="346" t="s">
        <v>147</v>
      </c>
      <c r="H47" s="571"/>
      <c r="I47" s="571"/>
      <c r="J47" s="571"/>
      <c r="K47" s="571"/>
    </row>
    <row r="48" spans="2:11" ht="14.25">
      <c r="B48" s="346" t="s">
        <v>148</v>
      </c>
      <c r="C48" s="432">
        <v>776</v>
      </c>
      <c r="D48" s="432">
        <v>851</v>
      </c>
      <c r="E48" s="432">
        <v>660</v>
      </c>
      <c r="F48" s="434">
        <f>mvalloc!F13</f>
        <v>706</v>
      </c>
      <c r="G48" s="346" t="s">
        <v>148</v>
      </c>
      <c r="H48" s="571"/>
      <c r="I48" s="571"/>
      <c r="J48" s="571"/>
      <c r="K48" s="571"/>
    </row>
    <row r="49" spans="2:11" ht="14.25">
      <c r="B49" s="346" t="s">
        <v>200</v>
      </c>
      <c r="C49" s="432">
        <v>1377</v>
      </c>
      <c r="D49" s="432">
        <v>1557</v>
      </c>
      <c r="E49" s="432">
        <v>1390</v>
      </c>
      <c r="F49" s="434">
        <f>mvalloc!G13</f>
        <v>1397</v>
      </c>
      <c r="G49" s="346" t="s">
        <v>200</v>
      </c>
      <c r="H49" s="571"/>
      <c r="I49" s="571"/>
      <c r="J49" s="571"/>
      <c r="K49" s="571"/>
    </row>
    <row r="50" spans="2:11" ht="14.25">
      <c r="B50" s="346" t="s">
        <v>842</v>
      </c>
      <c r="C50" s="432">
        <v>35746</v>
      </c>
      <c r="D50" s="432">
        <v>27630</v>
      </c>
      <c r="E50" s="432">
        <v>35900</v>
      </c>
      <c r="F50" s="434">
        <v>26210</v>
      </c>
      <c r="G50" s="346" t="s">
        <v>842</v>
      </c>
      <c r="H50" s="571"/>
      <c r="I50" s="571"/>
      <c r="J50" s="571"/>
      <c r="K50" s="571"/>
    </row>
    <row r="51" spans="2:11" ht="14.25">
      <c r="B51" s="346" t="s">
        <v>843</v>
      </c>
      <c r="C51" s="432">
        <v>913</v>
      </c>
      <c r="D51" s="432">
        <v>820</v>
      </c>
      <c r="E51" s="432">
        <v>1020</v>
      </c>
      <c r="F51" s="434">
        <v>880</v>
      </c>
      <c r="G51" s="346" t="s">
        <v>843</v>
      </c>
      <c r="H51" s="571"/>
      <c r="I51" s="571"/>
      <c r="J51" s="571"/>
      <c r="K51" s="571"/>
    </row>
    <row r="52" spans="2:11" ht="14.25">
      <c r="B52" s="346" t="s">
        <v>935</v>
      </c>
      <c r="C52" s="432">
        <v>17445</v>
      </c>
      <c r="D52" s="432">
        <v>17000</v>
      </c>
      <c r="E52" s="432">
        <v>17000</v>
      </c>
      <c r="F52" s="432">
        <v>17000</v>
      </c>
      <c r="G52" s="346" t="s">
        <v>935</v>
      </c>
      <c r="H52" s="571"/>
      <c r="I52" s="571"/>
      <c r="J52" s="571"/>
      <c r="K52" s="571"/>
    </row>
    <row r="53" spans="2:11" ht="14.25">
      <c r="B53" s="346" t="s">
        <v>936</v>
      </c>
      <c r="C53" s="432">
        <v>34880</v>
      </c>
      <c r="D53" s="432">
        <v>38000</v>
      </c>
      <c r="E53" s="432">
        <v>35000</v>
      </c>
      <c r="F53" s="432">
        <v>35000</v>
      </c>
      <c r="G53" s="346" t="s">
        <v>936</v>
      </c>
      <c r="H53" s="571"/>
      <c r="I53" s="571"/>
      <c r="J53" s="571"/>
      <c r="K53" s="571"/>
    </row>
    <row r="54" spans="2:11" ht="14.25">
      <c r="B54" s="346" t="s">
        <v>937</v>
      </c>
      <c r="C54" s="432">
        <v>12300</v>
      </c>
      <c r="D54" s="432">
        <v>13000</v>
      </c>
      <c r="E54" s="432">
        <v>12500</v>
      </c>
      <c r="F54" s="432">
        <v>12500</v>
      </c>
      <c r="G54" s="346" t="s">
        <v>937</v>
      </c>
      <c r="H54" s="571"/>
      <c r="I54" s="571"/>
      <c r="J54" s="571"/>
      <c r="K54" s="571"/>
    </row>
    <row r="55" spans="2:11" ht="14.25">
      <c r="B55" s="346" t="s">
        <v>938</v>
      </c>
      <c r="C55" s="432">
        <v>2800</v>
      </c>
      <c r="D55" s="432">
        <v>5000</v>
      </c>
      <c r="E55" s="432">
        <v>7500</v>
      </c>
      <c r="F55" s="432">
        <v>7500</v>
      </c>
      <c r="G55" s="346" t="s">
        <v>938</v>
      </c>
      <c r="H55" s="571"/>
      <c r="I55" s="571"/>
      <c r="J55" s="571"/>
      <c r="K55" s="571"/>
    </row>
    <row r="56" spans="2:11" ht="14.25">
      <c r="B56" s="346" t="s">
        <v>939</v>
      </c>
      <c r="C56" s="432">
        <v>5700</v>
      </c>
      <c r="D56" s="432">
        <v>6000</v>
      </c>
      <c r="E56" s="432">
        <v>5000</v>
      </c>
      <c r="F56" s="432">
        <v>5000</v>
      </c>
      <c r="G56" s="346" t="s">
        <v>939</v>
      </c>
      <c r="H56" s="571"/>
      <c r="I56" s="571"/>
      <c r="J56" s="571"/>
      <c r="K56" s="571"/>
    </row>
    <row r="57" spans="2:11" ht="14.25">
      <c r="B57" s="346" t="s">
        <v>940</v>
      </c>
      <c r="C57" s="432">
        <v>2854</v>
      </c>
      <c r="D57" s="432">
        <v>2000</v>
      </c>
      <c r="E57" s="432">
        <v>5000</v>
      </c>
      <c r="F57" s="432">
        <v>5000</v>
      </c>
      <c r="G57" s="346" t="s">
        <v>940</v>
      </c>
      <c r="H57" s="571"/>
      <c r="I57" s="571"/>
      <c r="J57" s="571"/>
      <c r="K57" s="571"/>
    </row>
    <row r="58" spans="2:11" ht="14.25">
      <c r="B58" s="346" t="s">
        <v>941</v>
      </c>
      <c r="C58" s="432">
        <v>17003</v>
      </c>
      <c r="D58" s="432">
        <v>15000</v>
      </c>
      <c r="E58" s="432">
        <v>20000</v>
      </c>
      <c r="F58" s="432">
        <v>20000</v>
      </c>
      <c r="G58" s="346" t="s">
        <v>941</v>
      </c>
      <c r="H58" s="571"/>
      <c r="I58" s="571"/>
      <c r="J58" s="571"/>
      <c r="K58" s="571"/>
    </row>
    <row r="59" spans="2:11" ht="14.25">
      <c r="B59" s="346" t="s">
        <v>942</v>
      </c>
      <c r="C59" s="432">
        <v>0</v>
      </c>
      <c r="D59" s="432">
        <v>0</v>
      </c>
      <c r="E59" s="432">
        <v>0</v>
      </c>
      <c r="F59" s="432">
        <v>0</v>
      </c>
      <c r="G59" s="346" t="s">
        <v>942</v>
      </c>
      <c r="H59" s="571"/>
      <c r="I59" s="571"/>
      <c r="J59" s="571"/>
      <c r="K59" s="571"/>
    </row>
    <row r="60" spans="2:11" ht="14.25">
      <c r="B60" s="346" t="s">
        <v>853</v>
      </c>
      <c r="C60" s="432">
        <v>15</v>
      </c>
      <c r="D60" s="432">
        <v>100</v>
      </c>
      <c r="E60" s="432">
        <v>0</v>
      </c>
      <c r="F60" s="432">
        <v>0</v>
      </c>
      <c r="G60" s="346" t="s">
        <v>853</v>
      </c>
      <c r="H60" s="571"/>
      <c r="I60" s="571"/>
      <c r="J60" s="571"/>
      <c r="K60" s="571"/>
    </row>
    <row r="61" spans="2:11" ht="14.25">
      <c r="B61" s="346" t="s">
        <v>943</v>
      </c>
      <c r="C61" s="432">
        <v>408484</v>
      </c>
      <c r="D61" s="432">
        <v>410000</v>
      </c>
      <c r="E61" s="432">
        <v>422000</v>
      </c>
      <c r="F61" s="432">
        <v>422000</v>
      </c>
      <c r="G61" s="346" t="s">
        <v>943</v>
      </c>
      <c r="H61" s="571">
        <v>248346</v>
      </c>
      <c r="I61" s="571"/>
      <c r="J61" s="571"/>
      <c r="K61" s="571"/>
    </row>
    <row r="62" spans="2:11" ht="14.25">
      <c r="B62" s="346" t="s">
        <v>944</v>
      </c>
      <c r="C62" s="432">
        <v>2</v>
      </c>
      <c r="D62" s="432">
        <v>50</v>
      </c>
      <c r="E62" s="432">
        <v>0</v>
      </c>
      <c r="F62" s="432">
        <v>0</v>
      </c>
      <c r="G62" s="346" t="s">
        <v>944</v>
      </c>
      <c r="H62" s="571">
        <v>18532</v>
      </c>
      <c r="I62" s="571"/>
      <c r="J62" s="571"/>
      <c r="K62" s="571"/>
    </row>
    <row r="63" spans="2:11" ht="14.25">
      <c r="B63" s="346" t="s">
        <v>945</v>
      </c>
      <c r="C63" s="432">
        <v>20792</v>
      </c>
      <c r="D63" s="432">
        <v>22000</v>
      </c>
      <c r="E63" s="432">
        <v>22000</v>
      </c>
      <c r="F63" s="432">
        <v>22000</v>
      </c>
      <c r="G63" s="346" t="s">
        <v>945</v>
      </c>
      <c r="H63" s="571">
        <v>38511</v>
      </c>
      <c r="I63" s="571"/>
      <c r="J63" s="571"/>
      <c r="K63" s="571"/>
    </row>
    <row r="64" spans="2:11" ht="14.25">
      <c r="B64" s="346" t="s">
        <v>946</v>
      </c>
      <c r="C64" s="432">
        <v>113466</v>
      </c>
      <c r="D64" s="432">
        <v>100000</v>
      </c>
      <c r="E64" s="432">
        <v>105000</v>
      </c>
      <c r="F64" s="432">
        <v>105000</v>
      </c>
      <c r="G64" s="346" t="s">
        <v>946</v>
      </c>
      <c r="H64" s="571">
        <v>103095</v>
      </c>
      <c r="I64" s="571"/>
      <c r="J64" s="571"/>
      <c r="K64" s="571"/>
    </row>
    <row r="65" spans="2:11" ht="14.25">
      <c r="B65" s="346" t="s">
        <v>947</v>
      </c>
      <c r="C65" s="432">
        <v>200</v>
      </c>
      <c r="D65" s="432">
        <v>500</v>
      </c>
      <c r="E65" s="432">
        <v>1000</v>
      </c>
      <c r="F65" s="432">
        <v>1000</v>
      </c>
      <c r="G65" s="346" t="s">
        <v>947</v>
      </c>
      <c r="H65" s="571">
        <f>SUM(H61:H64)</f>
        <v>408484</v>
      </c>
      <c r="I65" s="571"/>
      <c r="J65" s="571"/>
      <c r="K65" s="571"/>
    </row>
    <row r="66" spans="2:11" ht="14.25">
      <c r="B66" s="346" t="s">
        <v>948</v>
      </c>
      <c r="C66" s="432">
        <v>270</v>
      </c>
      <c r="D66" s="432">
        <v>200</v>
      </c>
      <c r="E66" s="432">
        <v>0</v>
      </c>
      <c r="F66" s="432">
        <v>0</v>
      </c>
      <c r="G66" s="346" t="s">
        <v>948</v>
      </c>
      <c r="H66" s="571"/>
      <c r="I66" s="571"/>
      <c r="J66" s="571"/>
      <c r="K66" s="571"/>
    </row>
    <row r="67" spans="2:11" ht="14.25">
      <c r="B67" s="346" t="s">
        <v>949</v>
      </c>
      <c r="C67" s="432">
        <v>121972</v>
      </c>
      <c r="D67" s="432">
        <v>120000</v>
      </c>
      <c r="E67" s="432">
        <v>100000</v>
      </c>
      <c r="F67" s="432">
        <v>100000</v>
      </c>
      <c r="G67" s="346" t="s">
        <v>949</v>
      </c>
      <c r="H67" s="571"/>
      <c r="I67" s="571"/>
      <c r="J67" s="571"/>
      <c r="K67" s="571"/>
    </row>
    <row r="68" spans="2:11" ht="14.25">
      <c r="B68" s="346" t="s">
        <v>950</v>
      </c>
      <c r="C68" s="432">
        <v>700</v>
      </c>
      <c r="D68" s="432">
        <v>1000</v>
      </c>
      <c r="E68" s="432">
        <v>0</v>
      </c>
      <c r="F68" s="432">
        <v>0</v>
      </c>
      <c r="G68" s="346" t="s">
        <v>950</v>
      </c>
      <c r="H68" s="571"/>
      <c r="I68" s="571"/>
      <c r="J68" s="571"/>
      <c r="K68" s="571"/>
    </row>
    <row r="69" spans="2:11" ht="14.25">
      <c r="B69" s="346" t="s">
        <v>874</v>
      </c>
      <c r="C69" s="432">
        <v>8118</v>
      </c>
      <c r="D69" s="432">
        <v>20000</v>
      </c>
      <c r="E69" s="432">
        <v>6000</v>
      </c>
      <c r="F69" s="432">
        <v>6000</v>
      </c>
      <c r="G69" s="346" t="s">
        <v>874</v>
      </c>
      <c r="H69" s="571"/>
      <c r="I69" s="571"/>
      <c r="J69" s="571"/>
      <c r="K69" s="571"/>
    </row>
    <row r="70" spans="2:11" ht="14.25">
      <c r="B70" s="346" t="s">
        <v>951</v>
      </c>
      <c r="C70" s="432">
        <v>356925</v>
      </c>
      <c r="D70" s="432">
        <v>350000</v>
      </c>
      <c r="E70" s="432">
        <v>350000</v>
      </c>
      <c r="F70" s="432">
        <v>350000</v>
      </c>
      <c r="G70" s="346" t="s">
        <v>951</v>
      </c>
      <c r="H70" s="571"/>
      <c r="I70" s="571"/>
      <c r="J70" s="571"/>
      <c r="K70" s="571"/>
    </row>
    <row r="71" spans="2:11" ht="14.25">
      <c r="B71" s="346" t="s">
        <v>886</v>
      </c>
      <c r="C71" s="432">
        <v>23</v>
      </c>
      <c r="D71" s="432">
        <v>0</v>
      </c>
      <c r="E71" s="432">
        <v>0</v>
      </c>
      <c r="F71" s="432">
        <v>0</v>
      </c>
      <c r="G71" s="346" t="s">
        <v>886</v>
      </c>
      <c r="H71" s="571"/>
      <c r="I71" s="571"/>
      <c r="J71" s="571"/>
      <c r="K71" s="571"/>
    </row>
    <row r="72" spans="2:11" ht="14.25">
      <c r="B72" s="346" t="s">
        <v>877</v>
      </c>
      <c r="C72" s="432">
        <v>30</v>
      </c>
      <c r="D72" s="432">
        <v>0</v>
      </c>
      <c r="E72" s="432">
        <v>0</v>
      </c>
      <c r="F72" s="450"/>
      <c r="G72" s="346" t="s">
        <v>877</v>
      </c>
      <c r="H72" s="571"/>
      <c r="I72" s="571"/>
      <c r="J72" s="571"/>
      <c r="K72" s="571"/>
    </row>
    <row r="73" spans="2:11" ht="14.25">
      <c r="B73" s="440" t="s">
        <v>61</v>
      </c>
      <c r="C73" s="432">
        <v>0</v>
      </c>
      <c r="D73" s="432">
        <v>0</v>
      </c>
      <c r="E73" s="432">
        <v>0</v>
      </c>
      <c r="F73" s="450"/>
      <c r="G73" s="440" t="s">
        <v>61</v>
      </c>
      <c r="H73" s="571"/>
      <c r="I73" s="571"/>
      <c r="J73" s="571"/>
      <c r="K73" s="571"/>
    </row>
    <row r="74" spans="2:11" ht="14.25">
      <c r="B74" s="441" t="s">
        <v>629</v>
      </c>
      <c r="C74" s="442">
        <f>IF(C75*0.1&lt;C73,"Exceed 10% Rule","")</f>
      </c>
      <c r="D74" s="442"/>
      <c r="E74" s="442">
        <f>IF(E75*0.1&lt;E73,"Exceed 10% Rule","")</f>
      </c>
      <c r="F74" s="443">
        <f>IF(F75*0.1+F94&lt;F73,"Exceed 10% Rule","")</f>
      </c>
      <c r="G74" s="571"/>
      <c r="H74" s="571"/>
      <c r="I74" s="571"/>
      <c r="J74" s="571"/>
      <c r="K74" s="571"/>
    </row>
    <row r="75" spans="2:11" ht="15">
      <c r="B75" s="444" t="s">
        <v>149</v>
      </c>
      <c r="C75" s="445">
        <f>SUM(C45:C73)</f>
        <v>2955823</v>
      </c>
      <c r="D75" s="445">
        <f>SUM(D45:D73)</f>
        <v>2904934</v>
      </c>
      <c r="E75" s="445">
        <f>SUM(E45:E73)</f>
        <v>2926670</v>
      </c>
      <c r="F75" s="446">
        <f>SUM(F46:F73)</f>
        <v>1385616</v>
      </c>
      <c r="H75" s="571"/>
      <c r="I75" s="571"/>
      <c r="J75" s="571"/>
      <c r="K75" s="571"/>
    </row>
    <row r="76" spans="2:11" ht="15">
      <c r="B76" s="444" t="s">
        <v>150</v>
      </c>
      <c r="C76" s="445">
        <f>C43+C75</f>
        <v>4266386</v>
      </c>
      <c r="D76" s="445">
        <f>D43+D75</f>
        <v>3527456</v>
      </c>
      <c r="E76" s="445">
        <f>E43+E75</f>
        <v>4134879</v>
      </c>
      <c r="F76" s="446">
        <f>F43+F75</f>
        <v>2198711</v>
      </c>
      <c r="H76" s="571"/>
      <c r="I76" s="571"/>
      <c r="J76" s="571"/>
      <c r="K76" s="571"/>
    </row>
    <row r="77" spans="2:11" ht="14.25">
      <c r="B77" s="455" t="s">
        <v>153</v>
      </c>
      <c r="C77" s="440"/>
      <c r="D77" s="440"/>
      <c r="E77" s="440"/>
      <c r="F77" s="511"/>
      <c r="H77" s="571"/>
      <c r="I77" s="571"/>
      <c r="J77" s="571"/>
      <c r="K77" s="571"/>
    </row>
    <row r="78" spans="2:11" ht="14.25">
      <c r="B78" s="595" t="s">
        <v>893</v>
      </c>
      <c r="C78" s="432">
        <v>2201833</v>
      </c>
      <c r="D78" s="450">
        <v>2387000</v>
      </c>
      <c r="E78" s="432">
        <v>2402471</v>
      </c>
      <c r="F78" s="450">
        <v>2773593</v>
      </c>
      <c r="G78" s="595" t="s">
        <v>893</v>
      </c>
      <c r="H78" s="571"/>
      <c r="I78" s="571"/>
      <c r="J78" s="571"/>
      <c r="K78" s="571"/>
    </row>
    <row r="79" spans="2:11" ht="15">
      <c r="B79" s="595" t="s">
        <v>894</v>
      </c>
      <c r="C79" s="432">
        <v>172972</v>
      </c>
      <c r="D79" s="450">
        <v>423319</v>
      </c>
      <c r="E79" s="432">
        <v>307493</v>
      </c>
      <c r="F79" s="450">
        <v>266964</v>
      </c>
      <c r="G79" s="595" t="s">
        <v>894</v>
      </c>
      <c r="H79" s="892" t="str">
        <f>CONCATENATE("Desired Carryover Into ",F1+1,"")</f>
        <v>Desired Carryover Into 2014</v>
      </c>
      <c r="I79" s="878"/>
      <c r="J79" s="878"/>
      <c r="K79" s="879"/>
    </row>
    <row r="80" spans="2:11" ht="14.25">
      <c r="B80" s="595" t="s">
        <v>895</v>
      </c>
      <c r="C80" s="432">
        <v>155517</v>
      </c>
      <c r="D80" s="450">
        <v>215211</v>
      </c>
      <c r="E80" s="432">
        <v>217420</v>
      </c>
      <c r="F80" s="450">
        <v>224820</v>
      </c>
      <c r="G80" s="595" t="s">
        <v>895</v>
      </c>
      <c r="H80" s="572"/>
      <c r="I80" s="573"/>
      <c r="J80" s="573"/>
      <c r="K80" s="574"/>
    </row>
    <row r="81" spans="2:11" ht="14.25">
      <c r="B81" s="595" t="s">
        <v>896</v>
      </c>
      <c r="C81" s="432">
        <v>200000</v>
      </c>
      <c r="D81" s="450">
        <v>200000</v>
      </c>
      <c r="E81" s="432">
        <v>200000</v>
      </c>
      <c r="F81" s="450">
        <v>200000</v>
      </c>
      <c r="G81" s="595" t="s">
        <v>896</v>
      </c>
      <c r="H81" s="575" t="s">
        <v>633</v>
      </c>
      <c r="I81" s="573"/>
      <c r="J81" s="573"/>
      <c r="K81" s="576">
        <v>0</v>
      </c>
    </row>
    <row r="82" spans="2:11" ht="15">
      <c r="B82" s="595" t="s">
        <v>897</v>
      </c>
      <c r="C82" s="432">
        <v>77825</v>
      </c>
      <c r="D82" s="450">
        <v>92000</v>
      </c>
      <c r="E82" s="432">
        <v>117000</v>
      </c>
      <c r="F82" s="450">
        <v>50000</v>
      </c>
      <c r="G82" s="595" t="s">
        <v>897</v>
      </c>
      <c r="H82" s="572" t="s">
        <v>634</v>
      </c>
      <c r="I82" s="573"/>
      <c r="J82" s="573"/>
      <c r="K82" s="577">
        <f>IF(K81=0,"",ROUND((K81+F94-H93)/inputOth!E6*1000,3)-H98)</f>
      </c>
    </row>
    <row r="83" spans="2:11" ht="15">
      <c r="B83" s="595" t="s">
        <v>157</v>
      </c>
      <c r="C83" s="432">
        <v>0</v>
      </c>
      <c r="D83" s="450">
        <v>0</v>
      </c>
      <c r="E83" s="432">
        <v>0</v>
      </c>
      <c r="F83" s="450">
        <v>0</v>
      </c>
      <c r="G83" s="595" t="s">
        <v>157</v>
      </c>
      <c r="H83" s="578" t="str">
        <f>CONCATENATE("",F1," Tot Exp/Non-Appr Must Be:")</f>
        <v>2013 Tot Exp/Non-Appr Must Be:</v>
      </c>
      <c r="I83" s="579"/>
      <c r="J83" s="579"/>
      <c r="K83" s="580">
        <f>IF(K81&gt;0,IF(F91&lt;F76,IF(K81=H93,F91,((K81-H93)*(1-E93))+F76),F91+(K81-H93)),0)</f>
        <v>0</v>
      </c>
    </row>
    <row r="84" spans="2:11" ht="15">
      <c r="B84" s="595" t="s">
        <v>901</v>
      </c>
      <c r="C84" s="432">
        <f>250030-30</f>
        <v>250000</v>
      </c>
      <c r="D84" s="450">
        <v>0</v>
      </c>
      <c r="E84" s="432">
        <v>0</v>
      </c>
      <c r="F84" s="450">
        <v>0</v>
      </c>
      <c r="G84" s="595" t="s">
        <v>901</v>
      </c>
      <c r="H84" s="494" t="s">
        <v>781</v>
      </c>
      <c r="I84" s="581"/>
      <c r="J84" s="581"/>
      <c r="K84" s="582">
        <f>IF(K81&gt;0,K83-F91,0)</f>
        <v>0</v>
      </c>
    </row>
    <row r="85" spans="2:11" ht="15">
      <c r="B85" s="440" t="s">
        <v>61</v>
      </c>
      <c r="C85" s="432">
        <v>30</v>
      </c>
      <c r="D85" s="450">
        <v>100000</v>
      </c>
      <c r="E85" s="432">
        <v>77400</v>
      </c>
      <c r="F85" s="450">
        <v>70000</v>
      </c>
      <c r="G85" s="440" t="s">
        <v>61</v>
      </c>
      <c r="H85" s="892" t="str">
        <f>CONCATENATE("Projected Carryover Into ",F1+1,"")</f>
        <v>Projected Carryover Into 2014</v>
      </c>
      <c r="I85" s="893"/>
      <c r="J85" s="893"/>
      <c r="K85" s="894"/>
    </row>
    <row r="86" spans="2:11" ht="14.25">
      <c r="B86" s="441" t="s">
        <v>628</v>
      </c>
      <c r="C86" s="442">
        <f>IF(C87*0.1&lt;C85,"Exceed 10% Rule","")</f>
      </c>
      <c r="D86" s="442"/>
      <c r="E86" s="442">
        <f>IF(E87*0.1&lt;E85,"Exceed 10% Rule","")</f>
      </c>
      <c r="F86" s="443">
        <f>IF(F87*0.1&lt;F85,"Exceed 10% Rule","")</f>
      </c>
      <c r="H86" s="572"/>
      <c r="I86" s="573"/>
      <c r="J86" s="573"/>
      <c r="K86" s="583"/>
    </row>
    <row r="87" spans="2:11" ht="15">
      <c r="B87" s="444" t="s">
        <v>154</v>
      </c>
      <c r="C87" s="445">
        <f>SUM(C78:C85)</f>
        <v>3058177</v>
      </c>
      <c r="D87" s="445">
        <f>SUM(D78:D85)</f>
        <v>3417530</v>
      </c>
      <c r="E87" s="445">
        <f>SUM(E78:E85)</f>
        <v>3321784</v>
      </c>
      <c r="F87" s="446">
        <f>SUM(F78:F85)</f>
        <v>3585377</v>
      </c>
      <c r="H87" s="584">
        <f>E88</f>
        <v>813095</v>
      </c>
      <c r="I87" s="474" t="str">
        <f>CONCATENATE("",F1-1," Ending Cash Balance (est.)")</f>
        <v>2012 Ending Cash Balance (est.)</v>
      </c>
      <c r="J87" s="476"/>
      <c r="K87" s="583"/>
    </row>
    <row r="88" spans="2:11" ht="14.25">
      <c r="B88" s="455" t="s">
        <v>247</v>
      </c>
      <c r="C88" s="433">
        <f>C76-C87</f>
        <v>1208209</v>
      </c>
      <c r="D88" s="433">
        <f>D76-D87</f>
        <v>109926</v>
      </c>
      <c r="E88" s="433">
        <f>E76-E87</f>
        <v>813095</v>
      </c>
      <c r="F88" s="496" t="s">
        <v>132</v>
      </c>
      <c r="H88" s="584">
        <f>F75</f>
        <v>1385616</v>
      </c>
      <c r="I88" s="573" t="str">
        <f>CONCATENATE("",F1," Non-AV Receipts (est.)")</f>
        <v>2013 Non-AV Receipts (est.)</v>
      </c>
      <c r="J88" s="476"/>
      <c r="K88" s="583"/>
    </row>
    <row r="89" spans="2:12" ht="14.25">
      <c r="B89" s="458" t="str">
        <f>CONCATENATE("",F$1-2,"/",F$1-1," Budget Authority Amount:")</f>
        <v>2011/2012 Budget Authority Amount:</v>
      </c>
      <c r="C89" s="459">
        <f>inputOth!B36</f>
        <v>3624421</v>
      </c>
      <c r="D89" s="459"/>
      <c r="E89" s="459">
        <f>inputPrYr!D22</f>
        <v>3321784</v>
      </c>
      <c r="F89" s="496" t="s">
        <v>132</v>
      </c>
      <c r="G89" s="460"/>
      <c r="H89" s="585">
        <f>IF(F93&gt;0,F92,F94)</f>
        <v>1546238</v>
      </c>
      <c r="I89" s="573" t="str">
        <f>CONCATENATE("",F1," Ad Valorem Tax (est.)")</f>
        <v>2013 Ad Valorem Tax (est.)</v>
      </c>
      <c r="J89" s="476"/>
      <c r="K89" s="583"/>
      <c r="L89" s="462" t="str">
        <f>IF(H89=F94,"","Note: Does not include Delinquent Taxes")</f>
        <v>Note: Does not include Delinquent Taxes</v>
      </c>
    </row>
    <row r="90" spans="2:11" ht="14.25">
      <c r="B90" s="458"/>
      <c r="C90" s="866" t="s">
        <v>630</v>
      </c>
      <c r="D90" s="866"/>
      <c r="E90" s="867"/>
      <c r="F90" s="450">
        <v>159572</v>
      </c>
      <c r="G90" s="460">
        <f>IF(F87/0.95-F87&lt;F90,"Exceeds 5%","")</f>
      </c>
      <c r="H90" s="584">
        <f>SUM(H87:H89)</f>
        <v>3744949</v>
      </c>
      <c r="I90" s="573" t="str">
        <f>CONCATENATE("Total ",F1," Resources Available")</f>
        <v>Total 2013 Resources Available</v>
      </c>
      <c r="J90" s="476"/>
      <c r="K90" s="583"/>
    </row>
    <row r="91" spans="2:11" ht="15">
      <c r="B91" s="586" t="str">
        <f>CONCATENATE(C107,"     ",E107)</f>
        <v>     </v>
      </c>
      <c r="C91" s="868" t="s">
        <v>631</v>
      </c>
      <c r="D91" s="868"/>
      <c r="E91" s="869"/>
      <c r="F91" s="434">
        <f>F87+F90</f>
        <v>3744949</v>
      </c>
      <c r="H91" s="587"/>
      <c r="I91" s="573"/>
      <c r="J91" s="573"/>
      <c r="K91" s="583"/>
    </row>
    <row r="92" spans="2:11" ht="15">
      <c r="B92" s="586" t="str">
        <f>CONCATENATE(C108,"     ",E108)</f>
        <v>     </v>
      </c>
      <c r="C92" s="464"/>
      <c r="D92" s="464"/>
      <c r="E92" s="421" t="s">
        <v>155</v>
      </c>
      <c r="F92" s="434">
        <f>IF(F91-F76&gt;0,F91-F76,0)</f>
        <v>1546238</v>
      </c>
      <c r="H92" s="585">
        <f>ROUND(C87*0.05+C87,0)</f>
        <v>3211086</v>
      </c>
      <c r="I92" s="573" t="str">
        <f>CONCATENATE("Less ",F1-2," Expenditures + 5%")</f>
        <v>Less 2011 Expenditures + 5%</v>
      </c>
      <c r="J92" s="476"/>
      <c r="K92" s="583"/>
    </row>
    <row r="93" spans="2:11" ht="14.25">
      <c r="B93" s="421"/>
      <c r="C93" s="466" t="s">
        <v>632</v>
      </c>
      <c r="D93" s="466"/>
      <c r="E93" s="467">
        <f>inputOth!$E$23</f>
        <v>0.08</v>
      </c>
      <c r="F93" s="434">
        <f>ROUND(IF(E93&gt;0,(F92/((100-(100*E93))*0.01)-F92),0),0)</f>
        <v>134455</v>
      </c>
      <c r="H93" s="588">
        <f>H90-H92</f>
        <v>533863</v>
      </c>
      <c r="I93" s="589" t="str">
        <f>CONCATENATE("Projected ",F1+1," carryover (est.)")</f>
        <v>Projected 2014 carryover (est.)</v>
      </c>
      <c r="J93" s="590"/>
      <c r="K93" s="591"/>
    </row>
    <row r="94" spans="2:11" ht="14.25">
      <c r="B94" s="418"/>
      <c r="C94" s="873" t="str">
        <f>CONCATENATE("Amount of  ",$F$1-1," Ad Valorem Tax")</f>
        <v>Amount of  2012 Ad Valorem Tax</v>
      </c>
      <c r="D94" s="873"/>
      <c r="E94" s="874"/>
      <c r="F94" s="598">
        <f>F92+F93</f>
        <v>1680693</v>
      </c>
      <c r="H94" s="571"/>
      <c r="I94" s="571"/>
      <c r="J94" s="571"/>
      <c r="K94" s="571"/>
    </row>
    <row r="95" spans="2:11" ht="15">
      <c r="B95" s="596"/>
      <c r="C95" s="597"/>
      <c r="D95" s="597"/>
      <c r="E95" s="540"/>
      <c r="F95" s="540"/>
      <c r="H95" s="875" t="s">
        <v>782</v>
      </c>
      <c r="I95" s="876"/>
      <c r="J95" s="876"/>
      <c r="K95" s="877"/>
    </row>
    <row r="96" spans="8:11" ht="15">
      <c r="H96" s="473"/>
      <c r="I96" s="474"/>
      <c r="J96" s="475"/>
      <c r="K96" s="476"/>
    </row>
    <row r="97" spans="8:11" ht="15">
      <c r="H97" s="477">
        <f>summ!H22</f>
        <v>1.535</v>
      </c>
      <c r="I97" s="474" t="str">
        <f>CONCATENATE("",F1," Fund Mill Rate")</f>
        <v>2013 Fund Mill Rate</v>
      </c>
      <c r="J97" s="475"/>
      <c r="K97" s="476"/>
    </row>
    <row r="98" spans="8:11" ht="15">
      <c r="H98" s="478">
        <f>summ!E22</f>
        <v>1.535</v>
      </c>
      <c r="I98" s="474" t="str">
        <f>CONCATENATE("",F1-1," Fund Mill Rate")</f>
        <v>2012 Fund Mill Rate</v>
      </c>
      <c r="J98" s="475"/>
      <c r="K98" s="476"/>
    </row>
    <row r="99" spans="8:11" ht="15">
      <c r="H99" s="479">
        <f>summ!H30</f>
        <v>36.399</v>
      </c>
      <c r="I99" s="474" t="str">
        <f>CONCATENATE("Total ",F1," Mill Rate")</f>
        <v>Total 2013 Mill Rate</v>
      </c>
      <c r="J99" s="475"/>
      <c r="K99" s="476"/>
    </row>
    <row r="100" spans="8:11" ht="15">
      <c r="H100" s="478">
        <f>summ!E30</f>
        <v>36.398999999999994</v>
      </c>
      <c r="I100" s="480" t="str">
        <f>CONCATENATE("Total ",F1-1," Mill Rate")</f>
        <v>Total 2012 Mill Rate</v>
      </c>
      <c r="J100" s="481"/>
      <c r="K100" s="482"/>
    </row>
    <row r="105" spans="3:5" ht="14.25" hidden="1">
      <c r="C105" s="420">
        <f>IF(C32&gt;C34,"See Tab A","")</f>
      </c>
      <c r="E105" s="420">
        <f>IF(E32&gt;E34,"See Tab C","")</f>
      </c>
    </row>
    <row r="106" spans="3:5" ht="14.25" hidden="1">
      <c r="C106" s="420">
        <f>IF(C33&lt;0,"See Tab B","")</f>
      </c>
      <c r="E106" s="420">
        <f>IF(E33&lt;0,"See Tab D","")</f>
      </c>
    </row>
    <row r="107" spans="3:5" ht="14.25" hidden="1">
      <c r="C107" s="420">
        <f>IF(C87&gt;C89,"See Tab A","")</f>
      </c>
      <c r="E107" s="420">
        <f>IF(E87&gt;E89,"See Tab C","")</f>
      </c>
    </row>
    <row r="108" spans="3:5" ht="14.25" hidden="1">
      <c r="C108" s="420">
        <f>IF(C88&lt;0,"See Tab B","")</f>
      </c>
      <c r="E108" s="420">
        <f>IF(E88&lt;0,"See Tab D","")</f>
      </c>
    </row>
  </sheetData>
  <sheetProtection/>
  <mergeCells count="12">
    <mergeCell ref="C35:E35"/>
    <mergeCell ref="C36:E36"/>
    <mergeCell ref="C90:E90"/>
    <mergeCell ref="C91:E91"/>
    <mergeCell ref="C94:E94"/>
    <mergeCell ref="C39:E39"/>
    <mergeCell ref="H24:K24"/>
    <mergeCell ref="H30:K30"/>
    <mergeCell ref="H40:K40"/>
    <mergeCell ref="H79:K79"/>
    <mergeCell ref="H85:K85"/>
    <mergeCell ref="H95:K95"/>
  </mergeCells>
  <conditionalFormatting sqref="F85">
    <cfRule type="cellIs" priority="7" dxfId="42" operator="greaterThan" stopIfTrue="1">
      <formula>$F$87*0.1</formula>
    </cfRule>
  </conditionalFormatting>
  <conditionalFormatting sqref="F90">
    <cfRule type="cellIs" priority="8" dxfId="42" operator="greaterThan" stopIfTrue="1">
      <formula>$F$87/0.95-$F$87</formula>
    </cfRule>
  </conditionalFormatting>
  <conditionalFormatting sqref="F30">
    <cfRule type="cellIs" priority="10" dxfId="42" operator="greaterThan" stopIfTrue="1">
      <formula>$F$32*0.1</formula>
    </cfRule>
  </conditionalFormatting>
  <conditionalFormatting sqref="F73">
    <cfRule type="cellIs" priority="18" dxfId="42" operator="greaterThan" stopIfTrue="1">
      <formula>$F$75*0.1+F94</formula>
    </cfRule>
  </conditionalFormatting>
  <conditionalFormatting sqref="D85">
    <cfRule type="cellIs" priority="4" dxfId="42" operator="greaterThan" stopIfTrue="1">
      <formula>$F$88*0.1</formula>
    </cfRule>
  </conditionalFormatting>
  <conditionalFormatting sqref="D18">
    <cfRule type="cellIs" priority="3" dxfId="42" operator="greaterThan" stopIfTrue="1">
      <formula>$F$21*0.1+D39</formula>
    </cfRule>
  </conditionalFormatting>
  <conditionalFormatting sqref="D30">
    <cfRule type="cellIs" priority="2" dxfId="42" operator="greaterThan" stopIfTrue="1">
      <formula>$F$33*0.1</formula>
    </cfRule>
  </conditionalFormatting>
  <conditionalFormatting sqref="E30:F30">
    <cfRule type="cellIs" priority="1" dxfId="42" operator="greaterThan" stopIfTrue="1">
      <formula>$F$33*0.1</formula>
    </cfRule>
  </conditionalFormatting>
  <printOptions/>
  <pageMargins left="1.12" right="0.5" top="0.55" bottom="0.34" header="0.25" footer="0"/>
  <pageSetup blackAndWhite="1" fitToHeight="1" fitToWidth="1" horizontalDpi="120" verticalDpi="120" orientation="portrait" scale="57" r:id="rId1"/>
  <headerFooter alignWithMargins="0">
    <oddHeader>&amp;RState of Kansas
County
</oddHeader>
    <oddFooter>&amp;C&amp;"Arial,Regular"&amp;11WY-&amp;P</oddFooter>
  </headerFooter>
</worksheet>
</file>

<file path=xl/worksheets/sheet13.xml><?xml version="1.0" encoding="utf-8"?>
<worksheet xmlns="http://schemas.openxmlformats.org/spreadsheetml/2006/main" xmlns:r="http://schemas.openxmlformats.org/officeDocument/2006/relationships">
  <sheetPr>
    <tabColor theme="9" tint="-0.24997000396251678"/>
    <pageSetUpPr fitToPage="1"/>
  </sheetPr>
  <dimension ref="B1:L111"/>
  <sheetViews>
    <sheetView zoomScale="80" zoomScaleNormal="80" zoomScalePageLayoutView="0" workbookViewId="0" topLeftCell="A52">
      <selection activeCell="C90" sqref="C90"/>
    </sheetView>
  </sheetViews>
  <sheetFormatPr defaultColWidth="8.796875" defaultRowHeight="15"/>
  <cols>
    <col min="1" max="1" width="2.3984375" style="72" customWidth="1"/>
    <col min="2" max="2" width="34.09765625" style="72" customWidth="1"/>
    <col min="3" max="5" width="15.796875" style="72" customWidth="1"/>
    <col min="6" max="6" width="16.19921875" style="72" customWidth="1"/>
    <col min="7" max="7" width="28.09765625" style="72" customWidth="1"/>
    <col min="8" max="8" width="10.19921875" style="72" customWidth="1"/>
    <col min="9" max="9" width="8.8984375" style="72" customWidth="1"/>
    <col min="10" max="10" width="5" style="72" customWidth="1"/>
    <col min="11" max="11" width="10" style="72" customWidth="1"/>
    <col min="12" max="16384" width="8.8984375" style="72" customWidth="1"/>
  </cols>
  <sheetData>
    <row r="1" spans="2:6" ht="15.75">
      <c r="B1" s="417" t="str">
        <f>(inputPrYr!C2)</f>
        <v>Wyandotte County</v>
      </c>
      <c r="C1" s="418"/>
      <c r="D1" s="418"/>
      <c r="E1" s="418"/>
      <c r="F1" s="419">
        <f>inputPrYr!C4</f>
        <v>2013</v>
      </c>
    </row>
    <row r="2" spans="2:6" ht="15.75">
      <c r="B2" s="418"/>
      <c r="C2" s="418"/>
      <c r="D2" s="418"/>
      <c r="E2" s="418"/>
      <c r="F2" s="421"/>
    </row>
    <row r="3" spans="2:6" ht="15.75">
      <c r="B3" s="422" t="s">
        <v>206</v>
      </c>
      <c r="C3" s="487"/>
      <c r="D3" s="487"/>
      <c r="E3" s="487"/>
      <c r="F3" s="488"/>
    </row>
    <row r="4" spans="2:6" ht="15.75">
      <c r="B4" s="490" t="s">
        <v>144</v>
      </c>
      <c r="C4" s="425" t="s">
        <v>783</v>
      </c>
      <c r="D4" s="425">
        <v>2012</v>
      </c>
      <c r="E4" s="426" t="s">
        <v>784</v>
      </c>
      <c r="F4" s="427" t="s">
        <v>785</v>
      </c>
    </row>
    <row r="5" spans="2:6" ht="15.75">
      <c r="B5" s="428" t="str">
        <f>inputPrYr!B23</f>
        <v>County Initiative for Funding Infrastructure</v>
      </c>
      <c r="C5" s="429" t="s">
        <v>902</v>
      </c>
      <c r="D5" s="429" t="s">
        <v>840</v>
      </c>
      <c r="E5" s="429" t="s">
        <v>903</v>
      </c>
      <c r="F5" s="430" t="s">
        <v>904</v>
      </c>
    </row>
    <row r="6" spans="2:6" ht="15.75">
      <c r="B6" s="455" t="s">
        <v>246</v>
      </c>
      <c r="C6" s="432">
        <v>4551</v>
      </c>
      <c r="D6" s="432">
        <v>0</v>
      </c>
      <c r="E6" s="433">
        <f>C33</f>
        <v>21749</v>
      </c>
      <c r="F6" s="434">
        <f>E33</f>
        <v>0</v>
      </c>
    </row>
    <row r="7" spans="2:6" ht="15.75">
      <c r="B7" s="435" t="s">
        <v>248</v>
      </c>
      <c r="C7" s="436"/>
      <c r="D7" s="436"/>
      <c r="E7" s="436"/>
      <c r="F7" s="437"/>
    </row>
    <row r="8" spans="2:7" ht="15.75">
      <c r="B8" s="344" t="s">
        <v>145</v>
      </c>
      <c r="C8" s="432">
        <v>-118.87</v>
      </c>
      <c r="D8" s="432">
        <v>0</v>
      </c>
      <c r="E8" s="433">
        <f>IF(inputPrYr!H23&gt;0,inputPrYr!H23,inputPrYr!E23)</f>
        <v>0</v>
      </c>
      <c r="F8" s="496" t="s">
        <v>132</v>
      </c>
      <c r="G8" s="344" t="s">
        <v>145</v>
      </c>
    </row>
    <row r="9" spans="2:7" ht="15.75">
      <c r="B9" s="344" t="s">
        <v>146</v>
      </c>
      <c r="C9" s="432">
        <v>12717</v>
      </c>
      <c r="D9" s="450">
        <v>0</v>
      </c>
      <c r="E9" s="450">
        <v>9700</v>
      </c>
      <c r="F9" s="450">
        <v>0</v>
      </c>
      <c r="G9" s="344" t="s">
        <v>146</v>
      </c>
    </row>
    <row r="10" spans="2:7" ht="15.75">
      <c r="B10" s="344" t="s">
        <v>147</v>
      </c>
      <c r="C10" s="432">
        <v>33.87</v>
      </c>
      <c r="D10" s="434">
        <v>0</v>
      </c>
      <c r="E10" s="434">
        <v>0</v>
      </c>
      <c r="F10" s="434">
        <v>0</v>
      </c>
      <c r="G10" s="344" t="s">
        <v>147</v>
      </c>
    </row>
    <row r="11" spans="2:7" ht="15.75">
      <c r="B11" s="344" t="s">
        <v>148</v>
      </c>
      <c r="C11" s="434">
        <v>0</v>
      </c>
      <c r="D11" s="434">
        <v>0</v>
      </c>
      <c r="E11" s="434">
        <v>0</v>
      </c>
      <c r="F11" s="434">
        <v>0</v>
      </c>
      <c r="G11" s="344" t="s">
        <v>148</v>
      </c>
    </row>
    <row r="12" spans="2:7" ht="15.75">
      <c r="B12" s="344" t="s">
        <v>200</v>
      </c>
      <c r="C12" s="434">
        <v>0</v>
      </c>
      <c r="D12" s="434">
        <v>0</v>
      </c>
      <c r="E12" s="434">
        <v>0</v>
      </c>
      <c r="F12" s="434">
        <v>0</v>
      </c>
      <c r="G12" s="344" t="s">
        <v>200</v>
      </c>
    </row>
    <row r="13" spans="2:7" ht="15.75">
      <c r="B13" s="344" t="s">
        <v>952</v>
      </c>
      <c r="C13" s="434">
        <v>0</v>
      </c>
      <c r="D13" s="434">
        <v>0</v>
      </c>
      <c r="E13" s="434">
        <v>0</v>
      </c>
      <c r="F13" s="450">
        <v>0</v>
      </c>
      <c r="G13" s="344" t="s">
        <v>952</v>
      </c>
    </row>
    <row r="14" spans="2:7" ht="15.75">
      <c r="B14" s="346" t="s">
        <v>842</v>
      </c>
      <c r="C14" s="434">
        <v>0</v>
      </c>
      <c r="D14" s="434">
        <v>0</v>
      </c>
      <c r="E14" s="434">
        <v>0</v>
      </c>
      <c r="F14" s="450">
        <v>0</v>
      </c>
      <c r="G14" s="346" t="s">
        <v>842</v>
      </c>
    </row>
    <row r="15" spans="2:7" ht="15.75">
      <c r="B15" s="346" t="s">
        <v>953</v>
      </c>
      <c r="C15" s="434">
        <v>0</v>
      </c>
      <c r="D15" s="434">
        <v>0</v>
      </c>
      <c r="E15" s="434">
        <v>0</v>
      </c>
      <c r="F15" s="450">
        <v>0</v>
      </c>
      <c r="G15" s="346" t="s">
        <v>953</v>
      </c>
    </row>
    <row r="16" spans="2:7" ht="15.75">
      <c r="B16" s="346" t="s">
        <v>954</v>
      </c>
      <c r="C16" s="434">
        <v>0</v>
      </c>
      <c r="D16" s="434">
        <v>0</v>
      </c>
      <c r="E16" s="434">
        <v>0</v>
      </c>
      <c r="F16" s="450">
        <v>0</v>
      </c>
      <c r="G16" s="346" t="s">
        <v>954</v>
      </c>
    </row>
    <row r="17" spans="2:7" ht="15.75">
      <c r="B17" s="346" t="s">
        <v>955</v>
      </c>
      <c r="C17" s="434">
        <v>0</v>
      </c>
      <c r="D17" s="434">
        <v>0</v>
      </c>
      <c r="E17" s="434">
        <v>0</v>
      </c>
      <c r="F17" s="450">
        <v>0</v>
      </c>
      <c r="G17" s="346" t="s">
        <v>955</v>
      </c>
    </row>
    <row r="18" spans="2:7" ht="15.75">
      <c r="B18" s="346" t="s">
        <v>1002</v>
      </c>
      <c r="C18" s="434">
        <v>16828</v>
      </c>
      <c r="D18" s="434"/>
      <c r="E18" s="434"/>
      <c r="F18" s="450"/>
      <c r="G18" s="766"/>
    </row>
    <row r="19" spans="2:6" ht="15.75">
      <c r="B19" s="440" t="s">
        <v>61</v>
      </c>
      <c r="C19" s="434">
        <v>0</v>
      </c>
      <c r="D19" s="450">
        <v>0</v>
      </c>
      <c r="E19" s="450">
        <v>0</v>
      </c>
      <c r="F19" s="450">
        <v>0</v>
      </c>
    </row>
    <row r="20" spans="2:6" ht="15.75">
      <c r="B20" s="441" t="s">
        <v>629</v>
      </c>
      <c r="C20" s="442">
        <f>IF(C21*0.1&lt;C19,"Exceed 10% Rule","")</f>
      </c>
      <c r="D20" s="442"/>
      <c r="E20" s="442">
        <f>IF(E21*0.1&lt;E19,"Exceed 10% Rule","")</f>
      </c>
      <c r="F20" s="443">
        <f>IF(F21*0.1+F39&lt;F19,"Exceed 10% Rule","")</f>
      </c>
    </row>
    <row r="21" spans="2:6" ht="15.75">
      <c r="B21" s="444" t="s">
        <v>149</v>
      </c>
      <c r="C21" s="445">
        <f>SUM(C8:C19)</f>
        <v>29460</v>
      </c>
      <c r="D21" s="445">
        <f>SUM(D8:D19)</f>
        <v>0</v>
      </c>
      <c r="E21" s="445">
        <f>SUM(E8:E19)</f>
        <v>9700</v>
      </c>
      <c r="F21" s="446">
        <f>SUM(F8:F19)</f>
        <v>0</v>
      </c>
    </row>
    <row r="22" spans="2:6" ht="15.75">
      <c r="B22" s="444" t="s">
        <v>150</v>
      </c>
      <c r="C22" s="445">
        <f>C6+C21</f>
        <v>34011</v>
      </c>
      <c r="D22" s="445">
        <f>D6+D21</f>
        <v>0</v>
      </c>
      <c r="E22" s="445">
        <f>E6+E21</f>
        <v>31449</v>
      </c>
      <c r="F22" s="446">
        <f>F6+F21</f>
        <v>0</v>
      </c>
    </row>
    <row r="23" spans="2:6" ht="15.75">
      <c r="B23" s="455" t="s">
        <v>153</v>
      </c>
      <c r="C23" s="440"/>
      <c r="D23" s="440"/>
      <c r="E23" s="440"/>
      <c r="F23" s="511"/>
    </row>
    <row r="24" spans="2:7" ht="15.75">
      <c r="B24" s="346" t="s">
        <v>893</v>
      </c>
      <c r="C24" s="432">
        <v>0</v>
      </c>
      <c r="D24" s="450">
        <v>0</v>
      </c>
      <c r="E24" s="450">
        <v>0</v>
      </c>
      <c r="F24" s="450">
        <v>0</v>
      </c>
      <c r="G24" s="346" t="s">
        <v>893</v>
      </c>
    </row>
    <row r="25" spans="2:11" ht="15.75">
      <c r="B25" s="346" t="s">
        <v>897</v>
      </c>
      <c r="C25" s="432">
        <v>0</v>
      </c>
      <c r="D25" s="450">
        <v>0</v>
      </c>
      <c r="E25" s="450">
        <v>0</v>
      </c>
      <c r="F25" s="450">
        <v>0</v>
      </c>
      <c r="G25" s="346" t="s">
        <v>897</v>
      </c>
      <c r="H25" s="895" t="str">
        <f>CONCATENATE("Desired Carryover Into ",F1+1,"")</f>
        <v>Desired Carryover Into 2014</v>
      </c>
      <c r="I25" s="896"/>
      <c r="J25" s="896"/>
      <c r="K25" s="897"/>
    </row>
    <row r="26" spans="2:11" ht="15.75">
      <c r="B26" s="595" t="s">
        <v>896</v>
      </c>
      <c r="C26" s="432">
        <v>0</v>
      </c>
      <c r="D26" s="450">
        <v>0</v>
      </c>
      <c r="E26" s="450">
        <v>0</v>
      </c>
      <c r="F26" s="450">
        <v>0</v>
      </c>
      <c r="G26" s="595" t="s">
        <v>896</v>
      </c>
      <c r="H26" s="290"/>
      <c r="I26" s="291"/>
      <c r="J26" s="292"/>
      <c r="K26" s="293"/>
    </row>
    <row r="27" spans="2:11" ht="15.75">
      <c r="B27" s="344" t="s">
        <v>956</v>
      </c>
      <c r="C27" s="432">
        <v>0</v>
      </c>
      <c r="D27" s="450">
        <v>0</v>
      </c>
      <c r="E27" s="450">
        <v>0</v>
      </c>
      <c r="F27" s="450">
        <v>0</v>
      </c>
      <c r="G27" s="344" t="s">
        <v>956</v>
      </c>
      <c r="H27" s="294" t="s">
        <v>633</v>
      </c>
      <c r="I27" s="292"/>
      <c r="J27" s="292"/>
      <c r="K27" s="295">
        <v>0</v>
      </c>
    </row>
    <row r="28" spans="2:11" ht="15.75">
      <c r="B28" s="595" t="s">
        <v>63</v>
      </c>
      <c r="C28" s="432">
        <v>0</v>
      </c>
      <c r="D28" s="450">
        <v>0</v>
      </c>
      <c r="E28" s="450">
        <v>0</v>
      </c>
      <c r="F28" s="450">
        <v>0</v>
      </c>
      <c r="G28" s="595" t="s">
        <v>63</v>
      </c>
      <c r="H28" s="290" t="s">
        <v>634</v>
      </c>
      <c r="I28" s="291"/>
      <c r="J28" s="291"/>
      <c r="K28" s="296">
        <f>IF(K27=0,"",ROUND((K27+F39-H38)/inputOth!E6*1000,3)-H43)</f>
      </c>
    </row>
    <row r="29" spans="2:11" ht="15.75">
      <c r="B29" s="595" t="s">
        <v>957</v>
      </c>
      <c r="C29" s="432">
        <v>12262</v>
      </c>
      <c r="D29" s="450">
        <v>0</v>
      </c>
      <c r="E29" s="450">
        <v>31449</v>
      </c>
      <c r="F29" s="450">
        <v>0</v>
      </c>
      <c r="G29" s="595" t="s">
        <v>957</v>
      </c>
      <c r="H29" s="297" t="str">
        <f>CONCATENATE("",F1," Tot Exp/Non-Appr Must Be:")</f>
        <v>2013 Tot Exp/Non-Appr Must Be:</v>
      </c>
      <c r="I29" s="298"/>
      <c r="J29" s="299"/>
      <c r="K29" s="300">
        <f>IF(K27&gt;0,IF(F36&lt;F22,IF(K27=H38,F36,((K27-H38)*(1-E38))+F22),F36+(K27-H38)),0)</f>
        <v>0</v>
      </c>
    </row>
    <row r="30" spans="2:11" ht="15.75">
      <c r="B30" s="440" t="s">
        <v>61</v>
      </c>
      <c r="C30" s="432"/>
      <c r="D30" s="450">
        <v>0</v>
      </c>
      <c r="E30" s="450">
        <v>0</v>
      </c>
      <c r="F30" s="450">
        <v>0</v>
      </c>
      <c r="G30" s="440" t="s">
        <v>61</v>
      </c>
      <c r="H30" s="895" t="str">
        <f>CONCATENATE("Projected Carryover Into ",F1+1,"")</f>
        <v>Projected Carryover Into 2014</v>
      </c>
      <c r="I30" s="898"/>
      <c r="J30" s="898"/>
      <c r="K30" s="899"/>
    </row>
    <row r="31" spans="2:11" ht="15.75">
      <c r="B31" s="441" t="s">
        <v>628</v>
      </c>
      <c r="C31" s="442">
        <f>IF(C32*0.1&lt;C30,"Exceed 10% Rule","")</f>
      </c>
      <c r="D31" s="442"/>
      <c r="E31" s="442">
        <f>IF(E32*0.1&lt;E30,"Exceed 10% Rule","")</f>
      </c>
      <c r="F31" s="443">
        <f>IF(F32*0.1&lt;F30,"Exceed 10% Rule","")</f>
      </c>
      <c r="H31" s="290"/>
      <c r="I31" s="292"/>
      <c r="J31" s="292"/>
      <c r="K31" s="315"/>
    </row>
    <row r="32" spans="2:11" ht="15.75">
      <c r="B32" s="444" t="s">
        <v>154</v>
      </c>
      <c r="C32" s="445">
        <f>SUM(C24:C30)</f>
        <v>12262</v>
      </c>
      <c r="D32" s="445">
        <f>SUM(D24:D30)</f>
        <v>0</v>
      </c>
      <c r="E32" s="445">
        <f>SUM(E24:E30)</f>
        <v>31449</v>
      </c>
      <c r="F32" s="446">
        <f>SUM(F24:F30)</f>
        <v>0</v>
      </c>
      <c r="H32" s="316">
        <f>E33</f>
        <v>0</v>
      </c>
      <c r="I32" s="306" t="str">
        <f>CONCATENATE("",F1-1," Ending Cash Balance (est.)")</f>
        <v>2012 Ending Cash Balance (est.)</v>
      </c>
      <c r="J32" s="317"/>
      <c r="K32" s="315"/>
    </row>
    <row r="33" spans="2:11" ht="15.75">
      <c r="B33" s="455" t="s">
        <v>247</v>
      </c>
      <c r="C33" s="433">
        <f>C22-C32</f>
        <v>21749</v>
      </c>
      <c r="D33" s="433">
        <f>D22-D32</f>
        <v>0</v>
      </c>
      <c r="E33" s="433">
        <f>E22-E32</f>
        <v>0</v>
      </c>
      <c r="F33" s="496" t="s">
        <v>132</v>
      </c>
      <c r="H33" s="316">
        <f>F21</f>
        <v>0</v>
      </c>
      <c r="I33" s="292" t="str">
        <f>CONCATENATE("",F1," Non-AV Receipts (est.)")</f>
        <v>2013 Non-AV Receipts (est.)</v>
      </c>
      <c r="J33" s="317"/>
      <c r="K33" s="315"/>
    </row>
    <row r="34" spans="2:12" ht="15.75">
      <c r="B34" s="458" t="str">
        <f>CONCATENATE("",F$1-2,"/",F$1-1," Budget Authority Amount:")</f>
        <v>2011/2012 Budget Authority Amount:</v>
      </c>
      <c r="C34" s="459">
        <f>inputOth!B37</f>
        <v>12262</v>
      </c>
      <c r="D34" s="459"/>
      <c r="E34" s="459">
        <f>inputPrYr!D23</f>
        <v>31449</v>
      </c>
      <c r="F34" s="496" t="s">
        <v>132</v>
      </c>
      <c r="G34" s="129"/>
      <c r="H34" s="318">
        <f>IF(F38&gt;0,F37,F39)</f>
        <v>0</v>
      </c>
      <c r="I34" s="292" t="str">
        <f>CONCATENATE("",F1," Ad Valorem Tax (est.)")</f>
        <v>2013 Ad Valorem Tax (est.)</v>
      </c>
      <c r="J34" s="317"/>
      <c r="K34" s="315"/>
      <c r="L34" s="304">
        <f>IF(H34=F39,"","Note: Does not include Delinquent Taxes")</f>
      </c>
    </row>
    <row r="35" spans="2:11" ht="15.75">
      <c r="B35" s="458"/>
      <c r="C35" s="866" t="s">
        <v>630</v>
      </c>
      <c r="D35" s="866"/>
      <c r="E35" s="867"/>
      <c r="F35" s="450">
        <v>0</v>
      </c>
      <c r="G35" s="187">
        <f>IF(F32/0.95-F32&lt;F35,"Exceeds 5%","")</f>
      </c>
      <c r="H35" s="316">
        <f>SUM(H32:H34)</f>
        <v>0</v>
      </c>
      <c r="I35" s="292" t="str">
        <f>CONCATENATE("Total ",F1," Resources Available")</f>
        <v>Total 2013 Resources Available</v>
      </c>
      <c r="J35" s="317"/>
      <c r="K35" s="315"/>
    </row>
    <row r="36" spans="2:11" ht="15.75">
      <c r="B36" s="463" t="str">
        <f>CONCATENATE(C108,"     ",E108)</f>
        <v>     </v>
      </c>
      <c r="C36" s="868" t="s">
        <v>631</v>
      </c>
      <c r="D36" s="868"/>
      <c r="E36" s="869"/>
      <c r="F36" s="434">
        <f>F32+F35</f>
        <v>0</v>
      </c>
      <c r="H36" s="319"/>
      <c r="I36" s="292"/>
      <c r="J36" s="292"/>
      <c r="K36" s="315"/>
    </row>
    <row r="37" spans="2:11" ht="15.75">
      <c r="B37" s="463" t="str">
        <f>CONCATENATE(C109,"     ",E109)</f>
        <v>     </v>
      </c>
      <c r="C37" s="464"/>
      <c r="D37" s="464"/>
      <c r="E37" s="421" t="s">
        <v>155</v>
      </c>
      <c r="F37" s="434">
        <f>IF(F36-F22&gt;0,F36-F22,0)</f>
        <v>0</v>
      </c>
      <c r="H37" s="318">
        <f>ROUND(C32*0.05+C32,0)</f>
        <v>12875</v>
      </c>
      <c r="I37" s="292" t="str">
        <f>CONCATENATE("Less ",F1-2," Expenditures + 5%")</f>
        <v>Less 2011 Expenditures + 5%</v>
      </c>
      <c r="J37" s="317"/>
      <c r="K37" s="320"/>
    </row>
    <row r="38" spans="2:11" ht="15.75">
      <c r="B38" s="421"/>
      <c r="C38" s="466" t="s">
        <v>632</v>
      </c>
      <c r="D38" s="466"/>
      <c r="E38" s="467">
        <f>inputOth!$E$23</f>
        <v>0.08</v>
      </c>
      <c r="F38" s="434">
        <f>ROUND(IF(E38&gt;0,($F$37*E38),0),0)</f>
        <v>0</v>
      </c>
      <c r="H38" s="321">
        <f>H35-H37</f>
        <v>-12875</v>
      </c>
      <c r="I38" s="322" t="str">
        <f>CONCATENATE("Projected ",F1+1," carryover (est.)")</f>
        <v>Projected 2014 carryover (est.)</v>
      </c>
      <c r="J38" s="323"/>
      <c r="K38" s="324"/>
    </row>
    <row r="39" spans="2:11" ht="15.75">
      <c r="B39" s="418"/>
      <c r="C39" s="873" t="str">
        <f>CONCATENATE("Amount of  ",$F$1-1," Ad Valorem Tax")</f>
        <v>Amount of  2012 Ad Valorem Tax</v>
      </c>
      <c r="D39" s="873"/>
      <c r="E39" s="874"/>
      <c r="F39" s="468">
        <f>F37+F38</f>
        <v>0</v>
      </c>
      <c r="H39" s="1"/>
      <c r="I39" s="1"/>
      <c r="J39" s="1"/>
      <c r="K39" s="1"/>
    </row>
    <row r="40" spans="2:11" ht="15.75">
      <c r="B40" s="418"/>
      <c r="C40" s="489"/>
      <c r="D40" s="489"/>
      <c r="E40" s="489"/>
      <c r="F40" s="489"/>
      <c r="H40" s="900" t="s">
        <v>782</v>
      </c>
      <c r="I40" s="901"/>
      <c r="J40" s="901"/>
      <c r="K40" s="902"/>
    </row>
    <row r="41" spans="2:11" ht="15.75">
      <c r="B41" s="490" t="s">
        <v>144</v>
      </c>
      <c r="C41" s="425" t="s">
        <v>783</v>
      </c>
      <c r="D41" s="425">
        <v>2012</v>
      </c>
      <c r="E41" s="426" t="s">
        <v>784</v>
      </c>
      <c r="F41" s="427" t="s">
        <v>785</v>
      </c>
      <c r="H41" s="305"/>
      <c r="I41" s="306"/>
      <c r="J41" s="307"/>
      <c r="K41" s="308"/>
    </row>
    <row r="42" spans="2:11" ht="15.75">
      <c r="B42" s="428" t="str">
        <f>inputPrYr!B24</f>
        <v>Consolidated Parks General Fund</v>
      </c>
      <c r="C42" s="429" t="s">
        <v>902</v>
      </c>
      <c r="D42" s="429" t="s">
        <v>840</v>
      </c>
      <c r="E42" s="429" t="s">
        <v>903</v>
      </c>
      <c r="F42" s="430" t="s">
        <v>904</v>
      </c>
      <c r="H42" s="309">
        <f>summ!H23</f>
        <v>0</v>
      </c>
      <c r="I42" s="306" t="str">
        <f>CONCATENATE("",F1," Fund Mill Rate")</f>
        <v>2013 Fund Mill Rate</v>
      </c>
      <c r="J42" s="307"/>
      <c r="K42" s="308"/>
    </row>
    <row r="43" spans="2:11" ht="15.75">
      <c r="B43" s="455" t="s">
        <v>246</v>
      </c>
      <c r="C43" s="432">
        <v>541898</v>
      </c>
      <c r="D43" s="432">
        <v>37669</v>
      </c>
      <c r="E43" s="433">
        <f>C91</f>
        <v>225064</v>
      </c>
      <c r="F43" s="434">
        <f>E91</f>
        <v>182832</v>
      </c>
      <c r="H43" s="310">
        <f>summ!E23</f>
        <v>0</v>
      </c>
      <c r="I43" s="306" t="str">
        <f>CONCATENATE("",F1-1," Fund Mill Rate")</f>
        <v>2012 Fund Mill Rate</v>
      </c>
      <c r="J43" s="307"/>
      <c r="K43" s="308"/>
    </row>
    <row r="44" spans="2:11" ht="15.75">
      <c r="B44" s="435" t="s">
        <v>248</v>
      </c>
      <c r="C44" s="436"/>
      <c r="D44" s="436"/>
      <c r="E44" s="436"/>
      <c r="F44" s="437"/>
      <c r="H44" s="311">
        <f>summ!H30</f>
        <v>36.399</v>
      </c>
      <c r="I44" s="306" t="str">
        <f>CONCATENATE("Total ",F1," Mill Rate")</f>
        <v>Total 2013 Mill Rate</v>
      </c>
      <c r="J44" s="307"/>
      <c r="K44" s="308"/>
    </row>
    <row r="45" spans="2:11" ht="15.75">
      <c r="B45" s="346" t="s">
        <v>145</v>
      </c>
      <c r="C45" s="432">
        <v>1465974</v>
      </c>
      <c r="D45" s="432">
        <v>1357526</v>
      </c>
      <c r="E45" s="433">
        <v>1359300</v>
      </c>
      <c r="F45" s="496" t="s">
        <v>132</v>
      </c>
      <c r="G45" s="346" t="s">
        <v>145</v>
      </c>
      <c r="H45" s="310">
        <f>summ!E30</f>
        <v>36.398999999999994</v>
      </c>
      <c r="I45" s="312" t="str">
        <f>CONCATENATE("Total ",F1-1," Mill Rate")</f>
        <v>Total 2012 Mill Rate</v>
      </c>
      <c r="J45" s="313"/>
      <c r="K45" s="314"/>
    </row>
    <row r="46" spans="2:11" ht="15.75">
      <c r="B46" s="346" t="s">
        <v>146</v>
      </c>
      <c r="C46" s="432">
        <v>93717</v>
      </c>
      <c r="D46" s="432">
        <v>54900</v>
      </c>
      <c r="E46" s="433">
        <v>78900</v>
      </c>
      <c r="F46" s="433">
        <v>52000</v>
      </c>
      <c r="G46" s="346" t="s">
        <v>146</v>
      </c>
      <c r="H46" s="599"/>
      <c r="I46" s="306"/>
      <c r="J46" s="307"/>
      <c r="K46" s="600"/>
    </row>
    <row r="47" spans="2:11" ht="15.75">
      <c r="B47" s="346" t="s">
        <v>147</v>
      </c>
      <c r="C47" s="432">
        <v>160475</v>
      </c>
      <c r="D47" s="432">
        <v>167738</v>
      </c>
      <c r="E47" s="433">
        <v>155500</v>
      </c>
      <c r="F47" s="433">
        <f>mvalloc!E15</f>
        <v>169606</v>
      </c>
      <c r="G47" s="346" t="s">
        <v>147</v>
      </c>
      <c r="H47" s="599"/>
      <c r="I47" s="306"/>
      <c r="J47" s="307"/>
      <c r="K47" s="600"/>
    </row>
    <row r="48" spans="2:11" ht="15.75">
      <c r="B48" s="346" t="s">
        <v>148</v>
      </c>
      <c r="C48" s="432">
        <v>712</v>
      </c>
      <c r="D48" s="432">
        <v>815</v>
      </c>
      <c r="E48" s="433">
        <v>580</v>
      </c>
      <c r="F48" s="433">
        <f>mvalloc!F15</f>
        <v>630</v>
      </c>
      <c r="G48" s="346" t="s">
        <v>148</v>
      </c>
      <c r="H48" s="599"/>
      <c r="I48" s="306"/>
      <c r="J48" s="307"/>
      <c r="K48" s="600"/>
    </row>
    <row r="49" spans="2:11" ht="15.75">
      <c r="B49" s="344" t="s">
        <v>200</v>
      </c>
      <c r="C49" s="432">
        <v>1955</v>
      </c>
      <c r="D49" s="432">
        <v>1491</v>
      </c>
      <c r="E49" s="433">
        <v>1130</v>
      </c>
      <c r="F49" s="433">
        <f>mvalloc!G15</f>
        <v>1247</v>
      </c>
      <c r="G49" s="344" t="s">
        <v>200</v>
      </c>
      <c r="H49" s="599"/>
      <c r="I49" s="306"/>
      <c r="J49" s="307"/>
      <c r="K49" s="600"/>
    </row>
    <row r="50" spans="2:11" ht="15.75">
      <c r="B50" s="344" t="s">
        <v>841</v>
      </c>
      <c r="C50" s="432">
        <v>0</v>
      </c>
      <c r="D50" s="432">
        <v>0</v>
      </c>
      <c r="E50" s="433"/>
      <c r="F50" s="433"/>
      <c r="G50" s="344" t="s">
        <v>841</v>
      </c>
      <c r="H50" s="599"/>
      <c r="I50" s="306"/>
      <c r="J50" s="307"/>
      <c r="K50" s="600"/>
    </row>
    <row r="51" spans="2:11" ht="15.75">
      <c r="B51" s="346" t="s">
        <v>842</v>
      </c>
      <c r="C51" s="432">
        <v>34217</v>
      </c>
      <c r="D51" s="432">
        <v>26440</v>
      </c>
      <c r="E51" s="433">
        <v>32100</v>
      </c>
      <c r="F51" s="433">
        <v>23440</v>
      </c>
      <c r="G51" s="346" t="s">
        <v>842</v>
      </c>
      <c r="H51" s="599"/>
      <c r="I51" s="306"/>
      <c r="J51" s="307"/>
      <c r="K51" s="600"/>
    </row>
    <row r="52" spans="2:11" ht="15.75">
      <c r="B52" s="346" t="s">
        <v>843</v>
      </c>
      <c r="C52" s="432">
        <v>1004</v>
      </c>
      <c r="D52" s="432">
        <v>780</v>
      </c>
      <c r="E52" s="433">
        <v>820</v>
      </c>
      <c r="F52" s="433">
        <v>790</v>
      </c>
      <c r="G52" s="346" t="s">
        <v>843</v>
      </c>
      <c r="H52" s="599"/>
      <c r="I52" s="306"/>
      <c r="J52" s="307"/>
      <c r="K52" s="600"/>
    </row>
    <row r="53" spans="2:11" ht="15.75">
      <c r="B53" s="346" t="s">
        <v>958</v>
      </c>
      <c r="C53" s="432">
        <v>142213</v>
      </c>
      <c r="D53" s="432">
        <v>200000</v>
      </c>
      <c r="E53" s="432">
        <v>200000</v>
      </c>
      <c r="F53" s="432">
        <v>200000</v>
      </c>
      <c r="G53" s="346" t="s">
        <v>958</v>
      </c>
      <c r="H53" s="599"/>
      <c r="I53" s="306"/>
      <c r="J53" s="307"/>
      <c r="K53" s="600"/>
    </row>
    <row r="54" spans="2:11" ht="15.75">
      <c r="B54" s="346" t="s">
        <v>998</v>
      </c>
      <c r="C54" s="432">
        <v>3200000</v>
      </c>
      <c r="D54" s="432"/>
      <c r="E54" s="432"/>
      <c r="F54" s="432"/>
      <c r="G54" s="346"/>
      <c r="H54" s="599"/>
      <c r="I54" s="306"/>
      <c r="J54" s="307"/>
      <c r="K54" s="600"/>
    </row>
    <row r="55" spans="2:11" ht="15.75">
      <c r="B55" s="346" t="s">
        <v>959</v>
      </c>
      <c r="C55" s="432">
        <v>136000</v>
      </c>
      <c r="D55" s="432">
        <v>67000</v>
      </c>
      <c r="E55" s="432">
        <v>67000</v>
      </c>
      <c r="F55" s="432">
        <v>67000</v>
      </c>
      <c r="G55" s="346" t="s">
        <v>959</v>
      </c>
      <c r="H55" s="599"/>
      <c r="I55" s="306"/>
      <c r="J55" s="307"/>
      <c r="K55" s="600"/>
    </row>
    <row r="56" spans="2:11" ht="15.75">
      <c r="B56" s="346" t="s">
        <v>960</v>
      </c>
      <c r="C56" s="432">
        <v>3250</v>
      </c>
      <c r="D56" s="432">
        <v>10000</v>
      </c>
      <c r="E56" s="432">
        <v>5000</v>
      </c>
      <c r="F56" s="432">
        <v>5000</v>
      </c>
      <c r="G56" s="346" t="s">
        <v>960</v>
      </c>
      <c r="H56" s="599"/>
      <c r="I56" s="306"/>
      <c r="J56" s="307"/>
      <c r="K56" s="600"/>
    </row>
    <row r="57" spans="2:11" ht="15.75">
      <c r="B57" s="346" t="s">
        <v>961</v>
      </c>
      <c r="C57" s="432">
        <v>0</v>
      </c>
      <c r="D57" s="432">
        <v>2500</v>
      </c>
      <c r="E57" s="432">
        <v>2500</v>
      </c>
      <c r="F57" s="432">
        <v>2500</v>
      </c>
      <c r="G57" s="346" t="s">
        <v>961</v>
      </c>
      <c r="H57" s="599"/>
      <c r="I57" s="306"/>
      <c r="J57" s="307"/>
      <c r="K57" s="600"/>
    </row>
    <row r="58" spans="2:11" ht="15.75">
      <c r="B58" s="346" t="s">
        <v>962</v>
      </c>
      <c r="C58" s="432">
        <v>9140</v>
      </c>
      <c r="D58" s="432">
        <v>15000</v>
      </c>
      <c r="E58" s="432">
        <v>10000</v>
      </c>
      <c r="F58" s="432">
        <v>10000</v>
      </c>
      <c r="G58" s="346" t="s">
        <v>962</v>
      </c>
      <c r="H58" s="599"/>
      <c r="I58" s="306"/>
      <c r="J58" s="307"/>
      <c r="K58" s="600"/>
    </row>
    <row r="59" spans="2:11" ht="15.75">
      <c r="B59" s="346" t="s">
        <v>963</v>
      </c>
      <c r="C59" s="432">
        <v>4860</v>
      </c>
      <c r="D59" s="432">
        <v>6500</v>
      </c>
      <c r="E59" s="432">
        <v>6500</v>
      </c>
      <c r="F59" s="432">
        <v>6500</v>
      </c>
      <c r="G59" s="346" t="s">
        <v>963</v>
      </c>
      <c r="H59" s="599"/>
      <c r="I59" s="306"/>
      <c r="J59" s="307"/>
      <c r="K59" s="600"/>
    </row>
    <row r="60" spans="2:11" ht="15.75">
      <c r="B60" s="346" t="s">
        <v>964</v>
      </c>
      <c r="C60" s="432">
        <v>11778</v>
      </c>
      <c r="D60" s="432">
        <v>11000</v>
      </c>
      <c r="E60" s="432">
        <v>11000</v>
      </c>
      <c r="F60" s="432">
        <v>11000</v>
      </c>
      <c r="G60" s="346" t="s">
        <v>964</v>
      </c>
      <c r="H60" s="599"/>
      <c r="I60" s="306"/>
      <c r="J60" s="307"/>
      <c r="K60" s="600"/>
    </row>
    <row r="61" spans="2:11" ht="15.75">
      <c r="B61" s="346" t="s">
        <v>965</v>
      </c>
      <c r="C61" s="432">
        <v>3420</v>
      </c>
      <c r="D61" s="432">
        <v>1000</v>
      </c>
      <c r="E61" s="432">
        <v>1000</v>
      </c>
      <c r="F61" s="432">
        <v>1000</v>
      </c>
      <c r="G61" s="346" t="s">
        <v>965</v>
      </c>
      <c r="H61" s="599"/>
      <c r="I61" s="306"/>
      <c r="J61" s="307"/>
      <c r="K61" s="600"/>
    </row>
    <row r="62" spans="2:11" ht="15.75">
      <c r="B62" s="346" t="s">
        <v>966</v>
      </c>
      <c r="C62" s="432">
        <v>4630</v>
      </c>
      <c r="D62" s="432">
        <v>5000</v>
      </c>
      <c r="E62" s="432">
        <v>5000</v>
      </c>
      <c r="F62" s="432">
        <v>5000</v>
      </c>
      <c r="G62" s="346" t="s">
        <v>966</v>
      </c>
      <c r="H62" s="1"/>
      <c r="I62" s="1"/>
      <c r="J62" s="1"/>
      <c r="K62" s="1"/>
    </row>
    <row r="63" spans="2:11" ht="15.75">
      <c r="B63" s="346" t="s">
        <v>967</v>
      </c>
      <c r="C63" s="432">
        <v>18250</v>
      </c>
      <c r="D63" s="432">
        <v>30000</v>
      </c>
      <c r="E63" s="432">
        <v>30000</v>
      </c>
      <c r="F63" s="432">
        <v>30000</v>
      </c>
      <c r="G63" s="346" t="s">
        <v>967</v>
      </c>
      <c r="H63" s="1"/>
      <c r="I63" s="1"/>
      <c r="J63" s="1"/>
      <c r="K63" s="1"/>
    </row>
    <row r="64" spans="2:11" ht="15.75">
      <c r="B64" s="346" t="s">
        <v>968</v>
      </c>
      <c r="C64" s="432">
        <v>7863</v>
      </c>
      <c r="D64" s="432">
        <v>5000</v>
      </c>
      <c r="E64" s="432">
        <v>5000</v>
      </c>
      <c r="F64" s="432">
        <v>5000</v>
      </c>
      <c r="G64" s="346" t="s">
        <v>968</v>
      </c>
      <c r="H64" s="1"/>
      <c r="I64" s="1"/>
      <c r="J64" s="1"/>
      <c r="K64" s="1"/>
    </row>
    <row r="65" spans="2:11" ht="15.75">
      <c r="B65" s="346" t="s">
        <v>969</v>
      </c>
      <c r="C65" s="432">
        <v>18520</v>
      </c>
      <c r="D65" s="432">
        <v>30000</v>
      </c>
      <c r="E65" s="432">
        <v>30000</v>
      </c>
      <c r="F65" s="432">
        <v>30000</v>
      </c>
      <c r="G65" s="346" t="s">
        <v>969</v>
      </c>
      <c r="H65" s="1"/>
      <c r="I65" s="1"/>
      <c r="J65" s="1"/>
      <c r="K65" s="1"/>
    </row>
    <row r="66" spans="2:11" ht="15.75">
      <c r="B66" s="346" t="s">
        <v>970</v>
      </c>
      <c r="C66" s="432">
        <v>6329</v>
      </c>
      <c r="D66" s="432">
        <v>5000</v>
      </c>
      <c r="E66" s="432">
        <v>5000</v>
      </c>
      <c r="F66" s="432">
        <v>5000</v>
      </c>
      <c r="G66" s="346" t="s">
        <v>970</v>
      </c>
      <c r="H66" s="1"/>
      <c r="I66" s="1"/>
      <c r="J66" s="1"/>
      <c r="K66" s="1"/>
    </row>
    <row r="67" spans="2:11" ht="15.75">
      <c r="B67" s="346" t="s">
        <v>971</v>
      </c>
      <c r="C67" s="432">
        <f>34+239971</f>
        <v>240005</v>
      </c>
      <c r="D67" s="432">
        <v>200000</v>
      </c>
      <c r="E67" s="432">
        <v>200000</v>
      </c>
      <c r="F67" s="432">
        <v>200000</v>
      </c>
      <c r="G67" s="346" t="s">
        <v>971</v>
      </c>
      <c r="H67" s="1"/>
      <c r="I67" s="1"/>
      <c r="J67" s="1"/>
      <c r="K67" s="1"/>
    </row>
    <row r="68" spans="2:11" ht="15.75">
      <c r="B68" s="346" t="s">
        <v>972</v>
      </c>
      <c r="C68" s="432">
        <v>8590</v>
      </c>
      <c r="D68" s="432">
        <v>20000</v>
      </c>
      <c r="E68" s="432">
        <v>20000</v>
      </c>
      <c r="F68" s="432">
        <v>20000</v>
      </c>
      <c r="G68" s="346" t="s">
        <v>972</v>
      </c>
      <c r="H68" s="1"/>
      <c r="I68" s="1"/>
      <c r="J68" s="1"/>
      <c r="K68" s="1"/>
    </row>
    <row r="69" spans="2:11" ht="15.75">
      <c r="B69" s="346" t="s">
        <v>999</v>
      </c>
      <c r="C69" s="432">
        <v>16790</v>
      </c>
      <c r="D69" s="432"/>
      <c r="E69" s="432"/>
      <c r="F69" s="432"/>
      <c r="G69" s="346"/>
      <c r="H69" s="1"/>
      <c r="I69" s="1"/>
      <c r="J69" s="1"/>
      <c r="K69" s="1"/>
    </row>
    <row r="70" spans="2:11" ht="15.75">
      <c r="B70" s="346" t="s">
        <v>874</v>
      </c>
      <c r="C70" s="432">
        <v>0</v>
      </c>
      <c r="D70" s="432">
        <v>12000</v>
      </c>
      <c r="E70" s="432">
        <v>0</v>
      </c>
      <c r="F70" s="432">
        <v>0</v>
      </c>
      <c r="G70" s="346" t="s">
        <v>874</v>
      </c>
      <c r="H70" s="1"/>
      <c r="I70" s="1"/>
      <c r="J70" s="1"/>
      <c r="K70" s="1"/>
    </row>
    <row r="71" spans="2:11" ht="15.75">
      <c r="B71" s="346" t="s">
        <v>973</v>
      </c>
      <c r="C71" s="432">
        <v>3800</v>
      </c>
      <c r="D71" s="432">
        <v>1000</v>
      </c>
      <c r="E71" s="432">
        <v>1000</v>
      </c>
      <c r="F71" s="432">
        <v>1000</v>
      </c>
      <c r="G71" s="346" t="s">
        <v>973</v>
      </c>
      <c r="H71" s="1"/>
      <c r="I71" s="1"/>
      <c r="J71" s="1"/>
      <c r="K71" s="1"/>
    </row>
    <row r="72" spans="2:11" ht="15.75">
      <c r="B72" s="346" t="s">
        <v>886</v>
      </c>
      <c r="C72" s="432">
        <v>8592</v>
      </c>
      <c r="D72" s="432">
        <v>0</v>
      </c>
      <c r="E72" s="432">
        <v>0</v>
      </c>
      <c r="F72" s="432">
        <v>0</v>
      </c>
      <c r="G72" s="346" t="s">
        <v>886</v>
      </c>
      <c r="H72" s="1"/>
      <c r="I72" s="1"/>
      <c r="J72" s="1"/>
      <c r="K72" s="1"/>
    </row>
    <row r="73" spans="2:11" ht="15.75">
      <c r="B73" s="440" t="s">
        <v>61</v>
      </c>
      <c r="C73" s="432">
        <v>125</v>
      </c>
      <c r="D73" s="432">
        <v>100000</v>
      </c>
      <c r="E73" s="432">
        <v>100000</v>
      </c>
      <c r="F73" s="432">
        <v>100000</v>
      </c>
      <c r="G73" s="595" t="s">
        <v>61</v>
      </c>
      <c r="H73" s="1"/>
      <c r="I73" s="1"/>
      <c r="J73" s="1"/>
      <c r="K73" s="1"/>
    </row>
    <row r="74" spans="2:11" ht="15.75">
      <c r="B74" s="346" t="s">
        <v>974</v>
      </c>
      <c r="C74" s="432"/>
      <c r="D74" s="432">
        <v>3200000</v>
      </c>
      <c r="E74" s="432">
        <v>3200000</v>
      </c>
      <c r="F74" s="432">
        <v>3200000</v>
      </c>
      <c r="G74" s="346" t="s">
        <v>974</v>
      </c>
      <c r="H74" s="1"/>
      <c r="I74" s="1"/>
      <c r="J74" s="1"/>
      <c r="K74" s="1"/>
    </row>
    <row r="75" spans="2:11" ht="15.75">
      <c r="B75" s="346" t="s">
        <v>975</v>
      </c>
      <c r="C75" s="432"/>
      <c r="D75" s="432">
        <v>0</v>
      </c>
      <c r="E75" s="432"/>
      <c r="F75" s="450"/>
      <c r="G75" s="346" t="s">
        <v>975</v>
      </c>
      <c r="H75" s="1"/>
      <c r="I75" s="1"/>
      <c r="J75" s="1"/>
      <c r="K75" s="1"/>
    </row>
    <row r="76" spans="2:11" ht="15.75">
      <c r="B76" s="441" t="s">
        <v>629</v>
      </c>
      <c r="C76" s="442">
        <f>IF(C77*0.1&lt;C73,"Exceed 10% Rule","")</f>
      </c>
      <c r="D76" s="442"/>
      <c r="E76" s="442">
        <f>IF(E77*0.1&lt;E73,"Exceed 10% Rule","")</f>
      </c>
      <c r="F76" s="443">
        <f>IF(F77*0.1+F97&lt;F73,"Exceed 10% Rule","")</f>
      </c>
      <c r="G76" s="440" t="s">
        <v>62</v>
      </c>
      <c r="H76" s="1"/>
      <c r="I76" s="1"/>
      <c r="J76" s="1"/>
      <c r="K76" s="1"/>
    </row>
    <row r="77" spans="2:11" ht="15.75">
      <c r="B77" s="444" t="s">
        <v>149</v>
      </c>
      <c r="C77" s="445">
        <f>SUM(C45:C73)</f>
        <v>5602209</v>
      </c>
      <c r="D77" s="445">
        <f>SUM(D45:D75)</f>
        <v>5530690</v>
      </c>
      <c r="E77" s="445">
        <f>SUM(E45:E75)</f>
        <v>5527330</v>
      </c>
      <c r="F77" s="446">
        <f>SUM(F45:F75)</f>
        <v>4146713</v>
      </c>
      <c r="H77" s="1"/>
      <c r="I77" s="1"/>
      <c r="J77" s="1"/>
      <c r="K77" s="1"/>
    </row>
    <row r="78" spans="2:11" ht="15.75">
      <c r="B78" s="444" t="s">
        <v>150</v>
      </c>
      <c r="C78" s="445">
        <f>C43+C77</f>
        <v>6144107</v>
      </c>
      <c r="D78" s="445">
        <f>D43+D77</f>
        <v>5568359</v>
      </c>
      <c r="E78" s="445">
        <f>E43+E77</f>
        <v>5752394</v>
      </c>
      <c r="F78" s="446">
        <f>F43+F77</f>
        <v>4329545</v>
      </c>
      <c r="H78" s="1"/>
      <c r="I78" s="1"/>
      <c r="J78" s="1"/>
      <c r="K78" s="1"/>
    </row>
    <row r="79" spans="2:11" ht="15.75">
      <c r="B79" s="455" t="s">
        <v>153</v>
      </c>
      <c r="C79" s="440"/>
      <c r="D79" s="440"/>
      <c r="E79" s="440"/>
      <c r="F79" s="511"/>
      <c r="H79" s="1"/>
      <c r="I79" s="1"/>
      <c r="J79" s="1"/>
      <c r="K79" s="1"/>
    </row>
    <row r="80" spans="2:11" ht="15.75">
      <c r="B80" s="346" t="s">
        <v>893</v>
      </c>
      <c r="C80" s="432">
        <v>4281844</v>
      </c>
      <c r="D80" s="432">
        <v>3547306</v>
      </c>
      <c r="E80" s="432">
        <v>3238774</v>
      </c>
      <c r="F80" s="432">
        <v>3369276</v>
      </c>
      <c r="G80" s="346" t="s">
        <v>893</v>
      </c>
      <c r="H80" s="1"/>
      <c r="I80" s="1"/>
      <c r="J80" s="1"/>
      <c r="K80" s="1"/>
    </row>
    <row r="81" spans="2:11" ht="15.75">
      <c r="B81" s="346" t="s">
        <v>894</v>
      </c>
      <c r="C81" s="432">
        <v>806548</v>
      </c>
      <c r="D81" s="432">
        <v>915698</v>
      </c>
      <c r="E81" s="432">
        <v>924088</v>
      </c>
      <c r="F81" s="450">
        <v>860268</v>
      </c>
      <c r="G81" s="346" t="s">
        <v>894</v>
      </c>
      <c r="H81" s="895" t="str">
        <f>CONCATENATE("Desired Carryover Into ",F1+1,"")</f>
        <v>Desired Carryover Into 2014</v>
      </c>
      <c r="I81" s="896"/>
      <c r="J81" s="896"/>
      <c r="K81" s="897"/>
    </row>
    <row r="82" spans="2:11" ht="15.75">
      <c r="B82" s="346" t="s">
        <v>895</v>
      </c>
      <c r="C82" s="432">
        <v>684721</v>
      </c>
      <c r="D82" s="432">
        <v>480907</v>
      </c>
      <c r="E82" s="432">
        <v>508215</v>
      </c>
      <c r="F82" s="450">
        <v>538017</v>
      </c>
      <c r="G82" s="346" t="s">
        <v>895</v>
      </c>
      <c r="H82" s="290"/>
      <c r="I82" s="291"/>
      <c r="J82" s="292"/>
      <c r="K82" s="293"/>
    </row>
    <row r="83" spans="2:11" ht="15.75">
      <c r="B83" s="346" t="s">
        <v>896</v>
      </c>
      <c r="C83" s="432">
        <v>4275</v>
      </c>
      <c r="D83" s="432">
        <v>5275</v>
      </c>
      <c r="E83" s="432">
        <v>5275</v>
      </c>
      <c r="F83" s="450">
        <v>5275</v>
      </c>
      <c r="G83" s="346" t="s">
        <v>896</v>
      </c>
      <c r="H83" s="294" t="s">
        <v>633</v>
      </c>
      <c r="I83" s="292"/>
      <c r="J83" s="292"/>
      <c r="K83" s="295">
        <v>0</v>
      </c>
    </row>
    <row r="84" spans="2:11" ht="15.75">
      <c r="B84" s="346" t="s">
        <v>897</v>
      </c>
      <c r="C84" s="432">
        <v>140950</v>
      </c>
      <c r="D84" s="432">
        <v>237100</v>
      </c>
      <c r="E84" s="432">
        <v>342100</v>
      </c>
      <c r="F84" s="450">
        <v>467100</v>
      </c>
      <c r="G84" s="346" t="s">
        <v>897</v>
      </c>
      <c r="H84" s="290" t="s">
        <v>634</v>
      </c>
      <c r="I84" s="291"/>
      <c r="J84" s="291"/>
      <c r="K84" s="296">
        <f>IF(K83=0,"",ROUND((K83+F97-H96)/inputOth!E6*1000,3)-H101)</f>
      </c>
    </row>
    <row r="85" spans="2:11" ht="15.75">
      <c r="B85" s="346" t="s">
        <v>976</v>
      </c>
      <c r="C85" s="432">
        <v>0</v>
      </c>
      <c r="D85" s="432">
        <v>200000</v>
      </c>
      <c r="E85" s="432">
        <v>450000</v>
      </c>
      <c r="F85" s="450">
        <v>350000</v>
      </c>
      <c r="G85" s="346" t="s">
        <v>976</v>
      </c>
      <c r="H85" s="297" t="str">
        <f>CONCATENATE("",F1," Tot Exp/Non-Appr Must Be:")</f>
        <v>2013 Tot Exp/Non-Appr Must Be:</v>
      </c>
      <c r="I85" s="298"/>
      <c r="J85" s="299"/>
      <c r="K85" s="300">
        <f>IF(K83&gt;0,IF(F94&lt;F78,IF(K83=H96,F94,((K83-H96)*(1-E96))+F78),F94+(K83-H96)),0)</f>
        <v>0</v>
      </c>
    </row>
    <row r="86" spans="2:11" ht="15.75">
      <c r="B86" s="346" t="s">
        <v>157</v>
      </c>
      <c r="C86" s="432">
        <v>0</v>
      </c>
      <c r="D86" s="432">
        <v>0</v>
      </c>
      <c r="E86" s="432">
        <v>0</v>
      </c>
      <c r="F86" s="450">
        <v>0</v>
      </c>
      <c r="G86" s="346" t="s">
        <v>157</v>
      </c>
      <c r="H86" s="301" t="s">
        <v>781</v>
      </c>
      <c r="I86" s="302"/>
      <c r="J86" s="302"/>
      <c r="K86" s="303">
        <f>IF(K83&gt;0,K85-F94,0)</f>
        <v>0</v>
      </c>
    </row>
    <row r="87" spans="2:11" ht="15.75">
      <c r="B87" s="601" t="s">
        <v>977</v>
      </c>
      <c r="C87" s="602"/>
      <c r="D87" s="602"/>
      <c r="E87" s="602"/>
      <c r="F87" s="603">
        <f>Nhood!E14</f>
      </c>
      <c r="H87" s="1"/>
      <c r="I87" s="1"/>
      <c r="J87" s="1"/>
      <c r="K87" s="1"/>
    </row>
    <row r="88" spans="2:11" ht="15.75">
      <c r="B88" s="440" t="s">
        <v>61</v>
      </c>
      <c r="C88" s="432">
        <v>705</v>
      </c>
      <c r="D88" s="432">
        <v>156210</v>
      </c>
      <c r="E88" s="432">
        <f>51110+50000</f>
        <v>101110</v>
      </c>
      <c r="F88" s="450">
        <f>51110+50000</f>
        <v>101110</v>
      </c>
      <c r="H88" s="895" t="str">
        <f>CONCATENATE("Projected Carryover Into ",F1+1,"")</f>
        <v>Projected Carryover Into 2014</v>
      </c>
      <c r="I88" s="903"/>
      <c r="J88" s="903"/>
      <c r="K88" s="899"/>
    </row>
    <row r="89" spans="2:11" ht="15.75">
      <c r="B89" s="441" t="s">
        <v>628</v>
      </c>
      <c r="C89" s="442">
        <f>IF(C90*0.1&lt;C88,"Exceed 10% Rule","")</f>
      </c>
      <c r="D89" s="442"/>
      <c r="E89" s="442">
        <f>IF(E90*0.1&lt;E88,"Exceed 10% Rule","")</f>
      </c>
      <c r="F89" s="443">
        <f>IF(F90*0.1&lt;F88,"Exceed 10% Rule","")</f>
      </c>
      <c r="H89" s="325"/>
      <c r="I89" s="291"/>
      <c r="J89" s="291"/>
      <c r="K89" s="320"/>
    </row>
    <row r="90" spans="2:11" ht="15.75">
      <c r="B90" s="444" t="s">
        <v>154</v>
      </c>
      <c r="C90" s="445">
        <f>SUM(C80:C88)</f>
        <v>5919043</v>
      </c>
      <c r="D90" s="445">
        <f>SUM(D80:D88)</f>
        <v>5542496</v>
      </c>
      <c r="E90" s="445">
        <f>SUM(E80:E88)</f>
        <v>5569562</v>
      </c>
      <c r="F90" s="446">
        <f>SUM(F80:F88)</f>
        <v>5691046</v>
      </c>
      <c r="H90" s="316">
        <f>E91</f>
        <v>182832</v>
      </c>
      <c r="I90" s="306" t="str">
        <f>CONCATENATE("",F1-1," Ending Cash Balance (est.)")</f>
        <v>2012 Ending Cash Balance (est.)</v>
      </c>
      <c r="J90" s="317"/>
      <c r="K90" s="320"/>
    </row>
    <row r="91" spans="2:11" ht="15.75">
      <c r="B91" s="455" t="s">
        <v>247</v>
      </c>
      <c r="C91" s="433">
        <f>C78-C90</f>
        <v>225064</v>
      </c>
      <c r="D91" s="433">
        <f>D78-D90</f>
        <v>25863</v>
      </c>
      <c r="E91" s="433">
        <f>E78-E90</f>
        <v>182832</v>
      </c>
      <c r="F91" s="496" t="s">
        <v>132</v>
      </c>
      <c r="H91" s="316">
        <f>F77</f>
        <v>4146713</v>
      </c>
      <c r="I91" s="292" t="str">
        <f>CONCATENATE("",F1," Non-AV Receipts (est.)")</f>
        <v>2013 Non-AV Receipts (est.)</v>
      </c>
      <c r="J91" s="317"/>
      <c r="K91" s="320"/>
    </row>
    <row r="92" spans="2:12" ht="15.75">
      <c r="B92" s="458" t="str">
        <f>CONCATENATE("",F$1-2,"/",F$1-1," Budget Authority Amount:")</f>
        <v>2011/2012 Budget Authority Amount:</v>
      </c>
      <c r="C92" s="459">
        <f>inputOth!B38</f>
        <v>6132309</v>
      </c>
      <c r="D92" s="459"/>
      <c r="E92" s="459">
        <f>inputPrYr!D24</f>
        <v>5569562</v>
      </c>
      <c r="F92" s="496" t="s">
        <v>132</v>
      </c>
      <c r="G92" s="129"/>
      <c r="H92" s="318">
        <f>IF(F96&gt;0,F95,F97)</f>
        <v>1379023</v>
      </c>
      <c r="I92" s="292" t="str">
        <f>CONCATENATE("",F1," Ad Valorem Tax (est.)")</f>
        <v>2013 Ad Valorem Tax (est.)</v>
      </c>
      <c r="J92" s="317"/>
      <c r="K92" s="320"/>
      <c r="L92" s="304" t="str">
        <f>IF(H92=F97,"","Note: Does not include Delinquent Taxes")</f>
        <v>Note: Does not include Delinquent Taxes</v>
      </c>
    </row>
    <row r="93" spans="2:11" ht="15.75">
      <c r="B93" s="458"/>
      <c r="C93" s="866" t="s">
        <v>630</v>
      </c>
      <c r="D93" s="866"/>
      <c r="E93" s="867"/>
      <c r="F93" s="450">
        <v>17522</v>
      </c>
      <c r="G93" s="187">
        <f>IF(F90/0.95-F90&lt;F93,"Exceeds 5%","")</f>
      </c>
      <c r="H93" s="326">
        <f>SUM(H90:H92)</f>
        <v>5708568</v>
      </c>
      <c r="I93" s="292" t="str">
        <f>CONCATENATE("Total ",F1," Resources Available")</f>
        <v>Total 2013 Resources Available</v>
      </c>
      <c r="J93" s="327"/>
      <c r="K93" s="320"/>
    </row>
    <row r="94" spans="2:11" ht="15.75">
      <c r="B94" s="586" t="str">
        <f>CONCATENATE(C110,"     ",E110)</f>
        <v>     </v>
      </c>
      <c r="C94" s="868" t="s">
        <v>631</v>
      </c>
      <c r="D94" s="868"/>
      <c r="E94" s="869"/>
      <c r="F94" s="434">
        <f>F90+F93</f>
        <v>5708568</v>
      </c>
      <c r="H94" s="328"/>
      <c r="I94" s="329"/>
      <c r="J94" s="291"/>
      <c r="K94" s="320"/>
    </row>
    <row r="95" spans="2:11" ht="15.75">
      <c r="B95" s="586" t="str">
        <f>CONCATENATE(C111,"     ",E111)</f>
        <v>     </v>
      </c>
      <c r="C95" s="464"/>
      <c r="D95" s="464"/>
      <c r="E95" s="421" t="s">
        <v>155</v>
      </c>
      <c r="F95" s="434">
        <f>IF(F94-F78&gt;0,F94-F78,0)</f>
        <v>1379023</v>
      </c>
      <c r="H95" s="330">
        <f>ROUND(C90*0.05+C90,0)</f>
        <v>6214995</v>
      </c>
      <c r="I95" s="292" t="str">
        <f>CONCATENATE("Less ",F1-2," Expenditures + 5%")</f>
        <v>Less 2011 Expenditures + 5%</v>
      </c>
      <c r="J95" s="327"/>
      <c r="K95" s="320"/>
    </row>
    <row r="96" spans="2:11" ht="15.75">
      <c r="B96" s="421"/>
      <c r="C96" s="466" t="s">
        <v>632</v>
      </c>
      <c r="D96" s="466"/>
      <c r="E96" s="467">
        <f>inputOth!$E$23</f>
        <v>0.08</v>
      </c>
      <c r="F96" s="434">
        <f>ROUND(IF(E96&gt;0,(F95/((100-(100*E96))*0.01)-F95),0),0)</f>
        <v>119915</v>
      </c>
      <c r="H96" s="331">
        <f>H93-H95</f>
        <v>-506427</v>
      </c>
      <c r="I96" s="322" t="str">
        <f>CONCATENATE("Projected ",F1+1," carryover (est.)")</f>
        <v>Projected 2014 carryover (est.)</v>
      </c>
      <c r="J96" s="332"/>
      <c r="K96" s="333"/>
    </row>
    <row r="97" spans="2:11" ht="15.75">
      <c r="B97" s="418"/>
      <c r="C97" s="873" t="str">
        <f>CONCATENATE("Amount of  ",$F$1-1," Ad Valorem Tax")</f>
        <v>Amount of  2012 Ad Valorem Tax</v>
      </c>
      <c r="D97" s="873"/>
      <c r="E97" s="874"/>
      <c r="F97" s="598">
        <f>F95+F96</f>
        <v>1498938</v>
      </c>
      <c r="H97" s="1"/>
      <c r="I97" s="1"/>
      <c r="J97" s="1"/>
      <c r="K97" s="1"/>
    </row>
    <row r="98" spans="2:11" ht="15.75">
      <c r="B98" s="604"/>
      <c r="C98" s="605"/>
      <c r="D98" s="605"/>
      <c r="E98" s="606"/>
      <c r="F98" s="606"/>
      <c r="H98" s="900" t="s">
        <v>782</v>
      </c>
      <c r="I98" s="901"/>
      <c r="J98" s="901"/>
      <c r="K98" s="902"/>
    </row>
    <row r="99" spans="8:11" ht="15.75">
      <c r="H99" s="305"/>
      <c r="I99" s="306"/>
      <c r="J99" s="307"/>
      <c r="K99" s="308"/>
    </row>
    <row r="100" spans="8:11" ht="15.75">
      <c r="H100" s="309">
        <f>summ!H24</f>
        <v>1.369</v>
      </c>
      <c r="I100" s="306" t="str">
        <f>CONCATENATE("",F1," Fund Mill Rate")</f>
        <v>2013 Fund Mill Rate</v>
      </c>
      <c r="J100" s="307"/>
      <c r="K100" s="308"/>
    </row>
    <row r="101" spans="8:11" ht="15.75">
      <c r="H101" s="310">
        <f>summ!E24</f>
        <v>1.369</v>
      </c>
      <c r="I101" s="306" t="str">
        <f>CONCATENATE("",F1-1," Fund Mill Rate")</f>
        <v>2012 Fund Mill Rate</v>
      </c>
      <c r="J101" s="307"/>
      <c r="K101" s="308"/>
    </row>
    <row r="102" spans="8:11" ht="15.75">
      <c r="H102" s="311">
        <f>summ!H30</f>
        <v>36.399</v>
      </c>
      <c r="I102" s="306" t="str">
        <f>CONCATENATE("Total ",F1," Mill Rate")</f>
        <v>Total 2013 Mill Rate</v>
      </c>
      <c r="J102" s="307"/>
      <c r="K102" s="308"/>
    </row>
    <row r="103" spans="8:11" ht="15.75">
      <c r="H103" s="310">
        <f>summ!E30</f>
        <v>36.398999999999994</v>
      </c>
      <c r="I103" s="312" t="str">
        <f>CONCATENATE("Total ",F1-1," Mill Rate")</f>
        <v>Total 2012 Mill Rate</v>
      </c>
      <c r="J103" s="313"/>
      <c r="K103" s="314"/>
    </row>
    <row r="108" spans="3:5" ht="15.75" hidden="1">
      <c r="C108" s="72">
        <f>IF(C32&gt;C34,"See Tab A","")</f>
      </c>
      <c r="E108" s="72">
        <f>IF(E32&gt;E34,"See Tab C","")</f>
      </c>
    </row>
    <row r="109" spans="3:5" ht="15.75" hidden="1">
      <c r="C109" s="72">
        <f>IF(C33&lt;0,"See Tab B","")</f>
      </c>
      <c r="E109" s="72">
        <f>IF(E33&lt;0,"See Tab D","")</f>
      </c>
    </row>
    <row r="110" spans="3:5" ht="15.75" hidden="1">
      <c r="C110" s="72">
        <f>IF(C90&gt;C92,"See Tab A","")</f>
      </c>
      <c r="E110" s="72">
        <f>IF(E90&gt;E92,"See Tab C","")</f>
      </c>
    </row>
    <row r="111" spans="3:5" ht="15.75" hidden="1">
      <c r="C111" s="72">
        <f>IF(C91&lt;0,"See Tab B","")</f>
      </c>
      <c r="E111" s="72">
        <f>IF(E91&lt;0,"See Tab D","")</f>
      </c>
    </row>
  </sheetData>
  <sheetProtection/>
  <mergeCells count="12">
    <mergeCell ref="C35:E35"/>
    <mergeCell ref="C36:E36"/>
    <mergeCell ref="C93:E93"/>
    <mergeCell ref="C94:E94"/>
    <mergeCell ref="C97:E97"/>
    <mergeCell ref="C39:E39"/>
    <mergeCell ref="H25:K25"/>
    <mergeCell ref="H30:K30"/>
    <mergeCell ref="H40:K40"/>
    <mergeCell ref="H81:K81"/>
    <mergeCell ref="H88:K88"/>
    <mergeCell ref="H98:K98"/>
  </mergeCells>
  <conditionalFormatting sqref="F88">
    <cfRule type="cellIs" priority="7" dxfId="42" operator="greaterThan" stopIfTrue="1">
      <formula>$F$90*0.1</formula>
    </cfRule>
  </conditionalFormatting>
  <conditionalFormatting sqref="F93">
    <cfRule type="cellIs" priority="8" dxfId="42" operator="greaterThan" stopIfTrue="1">
      <formula>$F$90/0.95-$F$90</formula>
    </cfRule>
  </conditionalFormatting>
  <conditionalFormatting sqref="F35">
    <cfRule type="cellIs" priority="9" dxfId="42" operator="greaterThan" stopIfTrue="1">
      <formula>$F$32/0.95-$F$32</formula>
    </cfRule>
  </conditionalFormatting>
  <conditionalFormatting sqref="F30">
    <cfRule type="cellIs" priority="10" dxfId="42" operator="greaterThan" stopIfTrue="1">
      <formula>$F$32*0.1</formula>
    </cfRule>
  </conditionalFormatting>
  <conditionalFormatting sqref="F75">
    <cfRule type="cellIs" priority="16" dxfId="42" operator="greaterThan" stopIfTrue="1">
      <formula>$F$77*0.1+F99</formula>
    </cfRule>
  </conditionalFormatting>
  <conditionalFormatting sqref="F19">
    <cfRule type="cellIs" priority="23" dxfId="42" operator="greaterThan" stopIfTrue="1">
      <formula>$F$21*0.1+F39</formula>
    </cfRule>
  </conditionalFormatting>
  <conditionalFormatting sqref="E19">
    <cfRule type="cellIs" priority="4" dxfId="42" operator="greaterThan" stopIfTrue="1">
      <formula>$F$22*0.1+E39</formula>
    </cfRule>
  </conditionalFormatting>
  <conditionalFormatting sqref="E30">
    <cfRule type="cellIs" priority="3" dxfId="42" operator="greaterThan" stopIfTrue="1">
      <formula>$F$33*0.1</formula>
    </cfRule>
  </conditionalFormatting>
  <conditionalFormatting sqref="D19">
    <cfRule type="cellIs" priority="2" dxfId="42" operator="greaterThan" stopIfTrue="1">
      <formula>$F$22*0.1+D39</formula>
    </cfRule>
  </conditionalFormatting>
  <conditionalFormatting sqref="D30">
    <cfRule type="cellIs" priority="1" dxfId="42" operator="greaterThan" stopIfTrue="1">
      <formula>$F$33*0.1</formula>
    </cfRule>
  </conditionalFormatting>
  <printOptions/>
  <pageMargins left="1.12" right="0.5" top="0.48" bottom="0.34" header="0.27" footer="0"/>
  <pageSetup blackAndWhite="1" fitToHeight="1" fitToWidth="1" horizontalDpi="120" verticalDpi="120" orientation="portrait" scale="52" r:id="rId1"/>
  <headerFooter alignWithMargins="0">
    <oddHeader>&amp;RState of Kansas
County
</oddHeader>
    <oddFooter>&amp;C&amp;"Arial,Regular"&amp;11WY-&amp;P</oddFooter>
  </headerFooter>
</worksheet>
</file>

<file path=xl/worksheets/sheet14.xml><?xml version="1.0" encoding="utf-8"?>
<worksheet xmlns="http://schemas.openxmlformats.org/spreadsheetml/2006/main" xmlns:r="http://schemas.openxmlformats.org/officeDocument/2006/relationships">
  <sheetPr>
    <tabColor theme="9" tint="-0.24997000396251678"/>
    <pageSetUpPr fitToPage="1"/>
  </sheetPr>
  <dimension ref="B1:F60"/>
  <sheetViews>
    <sheetView zoomScale="80" zoomScaleNormal="80" zoomScalePageLayoutView="0" workbookViewId="0" topLeftCell="A1">
      <selection activeCell="E57" sqref="E57"/>
    </sheetView>
  </sheetViews>
  <sheetFormatPr defaultColWidth="8.796875" defaultRowHeight="15"/>
  <cols>
    <col min="1" max="1" width="2.3984375" style="420" customWidth="1"/>
    <col min="2" max="2" width="31.09765625" style="420" customWidth="1"/>
    <col min="3" max="5" width="15.796875" style="420" customWidth="1"/>
    <col min="6" max="6" width="16.09765625" style="420" customWidth="1"/>
    <col min="7" max="7" width="15" style="420" customWidth="1"/>
    <col min="8" max="16384" width="8.8984375" style="420" customWidth="1"/>
  </cols>
  <sheetData>
    <row r="1" spans="2:6" ht="14.25">
      <c r="B1" s="417" t="str">
        <f>(inputPrYr!C2)</f>
        <v>Wyandotte County</v>
      </c>
      <c r="C1" s="418"/>
      <c r="D1" s="418"/>
      <c r="E1" s="418"/>
      <c r="F1" s="419">
        <f>inputPrYr!C4</f>
        <v>2013</v>
      </c>
    </row>
    <row r="2" spans="2:6" ht="14.25">
      <c r="B2" s="418"/>
      <c r="C2" s="418"/>
      <c r="D2" s="418"/>
      <c r="E2" s="418"/>
      <c r="F2" s="421"/>
    </row>
    <row r="3" spans="2:6" ht="15">
      <c r="B3" s="422" t="s">
        <v>207</v>
      </c>
      <c r="C3" s="487"/>
      <c r="D3" s="487"/>
      <c r="E3" s="487"/>
      <c r="F3" s="488"/>
    </row>
    <row r="4" spans="2:6" ht="14.25">
      <c r="B4" s="418"/>
      <c r="C4" s="489"/>
      <c r="D4" s="489"/>
      <c r="E4" s="489"/>
      <c r="F4" s="489"/>
    </row>
    <row r="5" spans="2:6" ht="14.25">
      <c r="B5" s="490" t="s">
        <v>144</v>
      </c>
      <c r="C5" s="425" t="s">
        <v>783</v>
      </c>
      <c r="D5" s="425">
        <v>2012</v>
      </c>
      <c r="E5" s="426" t="s">
        <v>784</v>
      </c>
      <c r="F5" s="427" t="s">
        <v>785</v>
      </c>
    </row>
    <row r="6" spans="2:6" ht="15">
      <c r="B6" s="428" t="str">
        <f>inputPrYr!B27</f>
        <v>Court Trustee</v>
      </c>
      <c r="C6" s="429" t="s">
        <v>902</v>
      </c>
      <c r="D6" s="429" t="s">
        <v>840</v>
      </c>
      <c r="E6" s="429" t="s">
        <v>903</v>
      </c>
      <c r="F6" s="430" t="s">
        <v>904</v>
      </c>
    </row>
    <row r="7" spans="2:6" ht="14.25">
      <c r="B7" s="455" t="s">
        <v>246</v>
      </c>
      <c r="C7" s="450">
        <v>713354</v>
      </c>
      <c r="D7" s="450">
        <v>682152</v>
      </c>
      <c r="E7" s="434">
        <f>C26</f>
        <v>753915</v>
      </c>
      <c r="F7" s="434">
        <f>E26</f>
        <v>667000</v>
      </c>
    </row>
    <row r="8" spans="2:6" ht="14.25">
      <c r="B8" s="494" t="s">
        <v>248</v>
      </c>
      <c r="C8" s="511"/>
      <c r="D8" s="511"/>
      <c r="E8" s="511"/>
      <c r="F8" s="511"/>
    </row>
    <row r="9" spans="2:6" ht="14.25">
      <c r="B9" s="346" t="s">
        <v>978</v>
      </c>
      <c r="C9" s="450">
        <v>401872</v>
      </c>
      <c r="D9" s="434">
        <v>400000</v>
      </c>
      <c r="E9" s="434">
        <v>400000</v>
      </c>
      <c r="F9" s="434">
        <v>400000</v>
      </c>
    </row>
    <row r="10" spans="2:6" ht="14.25">
      <c r="B10" s="346" t="s">
        <v>877</v>
      </c>
      <c r="C10" s="450">
        <v>0</v>
      </c>
      <c r="D10" s="764">
        <v>0</v>
      </c>
      <c r="E10" s="764">
        <v>0</v>
      </c>
      <c r="F10" s="764">
        <v>0</v>
      </c>
    </row>
    <row r="11" spans="2:6" ht="14.25">
      <c r="B11" s="346" t="s">
        <v>880</v>
      </c>
      <c r="C11" s="450">
        <v>0</v>
      </c>
      <c r="D11" s="764">
        <v>0</v>
      </c>
      <c r="E11" s="764">
        <v>0</v>
      </c>
      <c r="F11" s="764">
        <v>0</v>
      </c>
    </row>
    <row r="12" spans="2:6" ht="14.25">
      <c r="B12" s="346" t="s">
        <v>1002</v>
      </c>
      <c r="C12" s="450">
        <v>5</v>
      </c>
      <c r="D12" s="764">
        <v>0</v>
      </c>
      <c r="E12" s="764">
        <v>0</v>
      </c>
      <c r="F12" s="764">
        <v>0</v>
      </c>
    </row>
    <row r="13" spans="2:6" ht="14.25">
      <c r="B13" s="440" t="s">
        <v>61</v>
      </c>
      <c r="C13" s="450">
        <v>0</v>
      </c>
      <c r="D13" s="764">
        <v>0</v>
      </c>
      <c r="E13" s="764">
        <v>0</v>
      </c>
      <c r="F13" s="764">
        <v>0</v>
      </c>
    </row>
    <row r="14" spans="2:6" ht="14.25">
      <c r="B14" s="441" t="s">
        <v>629</v>
      </c>
      <c r="C14" s="611">
        <f>IF(C15*0.1&lt;C13,"Exceed 10% Rule","")</f>
      </c>
      <c r="D14" s="612"/>
      <c r="E14" s="612">
        <f>IF(E15*0.1&lt;E13,"Exceed 10% Rule","")</f>
      </c>
      <c r="F14" s="612">
        <f>IF(F15*0.1&lt;F13,"Exceed 10% Rule","")</f>
      </c>
    </row>
    <row r="15" spans="2:6" ht="15">
      <c r="B15" s="444" t="s">
        <v>149</v>
      </c>
      <c r="C15" s="446">
        <f>SUM(C9:C13)</f>
        <v>401877</v>
      </c>
      <c r="D15" s="446">
        <f>SUM(D9:D13)</f>
        <v>400000</v>
      </c>
      <c r="E15" s="446">
        <f>SUM(E9:E13)</f>
        <v>400000</v>
      </c>
      <c r="F15" s="446">
        <f>SUM(F9:F13)</f>
        <v>400000</v>
      </c>
    </row>
    <row r="16" spans="2:6" ht="15">
      <c r="B16" s="444" t="s">
        <v>150</v>
      </c>
      <c r="C16" s="446">
        <f>C15+C7</f>
        <v>1115231</v>
      </c>
      <c r="D16" s="446">
        <f>D15+D7</f>
        <v>1082152</v>
      </c>
      <c r="E16" s="446">
        <f>E15+E7</f>
        <v>1153915</v>
      </c>
      <c r="F16" s="446">
        <f>F15+F7</f>
        <v>1067000</v>
      </c>
    </row>
    <row r="17" spans="2:6" ht="14.25">
      <c r="B17" s="455" t="s">
        <v>153</v>
      </c>
      <c r="C17" s="434"/>
      <c r="D17" s="434"/>
      <c r="E17" s="434"/>
      <c r="F17" s="434"/>
    </row>
    <row r="18" spans="2:6" ht="14.25">
      <c r="B18" s="608" t="s">
        <v>893</v>
      </c>
      <c r="C18" s="450">
        <v>316545</v>
      </c>
      <c r="D18" s="434">
        <v>320000</v>
      </c>
      <c r="E18" s="450">
        <v>370713</v>
      </c>
      <c r="F18" s="450">
        <v>382624</v>
      </c>
    </row>
    <row r="19" spans="2:6" ht="14.25">
      <c r="B19" s="608" t="s">
        <v>894</v>
      </c>
      <c r="C19" s="450">
        <v>39527</v>
      </c>
      <c r="D19" s="434">
        <v>65610</v>
      </c>
      <c r="E19" s="450">
        <v>65610</v>
      </c>
      <c r="F19" s="450">
        <v>65610</v>
      </c>
    </row>
    <row r="20" spans="2:6" ht="14.25">
      <c r="B20" s="608" t="s">
        <v>895</v>
      </c>
      <c r="C20" s="450">
        <v>5244</v>
      </c>
      <c r="D20" s="434">
        <v>5592</v>
      </c>
      <c r="E20" s="450">
        <v>5592</v>
      </c>
      <c r="F20" s="450">
        <v>5592</v>
      </c>
    </row>
    <row r="21" spans="2:6" ht="14.25">
      <c r="B21" s="608" t="s">
        <v>896</v>
      </c>
      <c r="C21" s="450">
        <v>0</v>
      </c>
      <c r="D21" s="434">
        <v>0</v>
      </c>
      <c r="E21" s="450">
        <v>0</v>
      </c>
      <c r="F21" s="450">
        <v>0</v>
      </c>
    </row>
    <row r="22" spans="2:6" ht="14.25">
      <c r="B22" s="595" t="s">
        <v>897</v>
      </c>
      <c r="C22" s="450">
        <v>0</v>
      </c>
      <c r="D22" s="434">
        <v>0</v>
      </c>
      <c r="E22" s="450">
        <v>0</v>
      </c>
      <c r="F22" s="450">
        <v>0</v>
      </c>
    </row>
    <row r="23" spans="2:6" ht="14.25">
      <c r="B23" s="440" t="s">
        <v>61</v>
      </c>
      <c r="C23" s="450">
        <v>0</v>
      </c>
      <c r="D23" s="434">
        <v>40000</v>
      </c>
      <c r="E23" s="610">
        <v>45000</v>
      </c>
      <c r="F23" s="610">
        <v>45000</v>
      </c>
    </row>
    <row r="24" spans="2:6" ht="14.25">
      <c r="B24" s="441" t="s">
        <v>628</v>
      </c>
      <c r="C24" s="611">
        <f>IF(C25*0.1&lt;C23,"Exceed 10% Rule","")</f>
      </c>
      <c r="D24" s="612"/>
      <c r="E24" s="612">
        <f>IF(E25*0.1&lt;E23,"Exceed 10% Rule","")</f>
      </c>
      <c r="F24" s="612">
        <f>IF(F25*0.1&lt;F23,"Exceed 10% Rule","")</f>
      </c>
    </row>
    <row r="25" spans="2:6" ht="15">
      <c r="B25" s="444" t="s">
        <v>154</v>
      </c>
      <c r="C25" s="446">
        <f>SUM(C18:C23)</f>
        <v>361316</v>
      </c>
      <c r="D25" s="446">
        <f>SUM(D18:D23)</f>
        <v>431202</v>
      </c>
      <c r="E25" s="446">
        <f>SUM(E18:E23)</f>
        <v>486915</v>
      </c>
      <c r="F25" s="446">
        <f>SUM(F18:F23)</f>
        <v>498826</v>
      </c>
    </row>
    <row r="26" spans="2:6" ht="14.25">
      <c r="B26" s="455" t="s">
        <v>247</v>
      </c>
      <c r="C26" s="434">
        <f>C16-C25</f>
        <v>753915</v>
      </c>
      <c r="D26" s="434">
        <f>D16-D25</f>
        <v>650950</v>
      </c>
      <c r="E26" s="434">
        <f>E16-E25</f>
        <v>667000</v>
      </c>
      <c r="F26" s="434">
        <f>F16-F25</f>
        <v>568174</v>
      </c>
    </row>
    <row r="27" spans="2:6" ht="15">
      <c r="B27" s="458" t="str">
        <f>CONCATENATE("",F$1-2,"/",F$1-1," Budget Authority Amount:")</f>
        <v>2011/2012 Budget Authority Amount:</v>
      </c>
      <c r="C27" s="459">
        <f>inputOth!B39</f>
        <v>431202</v>
      </c>
      <c r="D27" s="459"/>
      <c r="E27" s="459">
        <f>inputPrYr!D27</f>
        <v>486915</v>
      </c>
      <c r="F27" s="613">
        <f>IF(F26&lt;0,"See Tab E","")</f>
      </c>
    </row>
    <row r="28" spans="2:6" ht="15">
      <c r="B28" s="458"/>
      <c r="C28" s="464">
        <f>IF(C25&gt;C27,"See Tab A","")</f>
      </c>
      <c r="D28" s="464"/>
      <c r="E28" s="464">
        <f>IF(E25&gt;E27,"See Tab C","")</f>
      </c>
      <c r="F28" s="614"/>
    </row>
    <row r="29" spans="2:6" ht="15">
      <c r="B29" s="458"/>
      <c r="C29" s="464">
        <f>IF(C26&lt;0,"See Tab B","")</f>
      </c>
      <c r="D29" s="464"/>
      <c r="E29" s="464">
        <f>IF(E26&lt;0,"See Tab D","")</f>
      </c>
      <c r="F29" s="614"/>
    </row>
    <row r="30" spans="2:6" ht="14.25">
      <c r="B30" s="418"/>
      <c r="C30" s="614"/>
      <c r="D30" s="614"/>
      <c r="E30" s="614"/>
      <c r="F30" s="614"/>
    </row>
    <row r="31" spans="2:6" ht="14.25">
      <c r="B31" s="490" t="s">
        <v>144</v>
      </c>
      <c r="C31" s="489"/>
      <c r="D31" s="489"/>
      <c r="E31" s="489"/>
      <c r="F31" s="489"/>
    </row>
    <row r="32" spans="2:6" ht="14.25">
      <c r="B32" s="418"/>
      <c r="C32" s="425" t="s">
        <v>783</v>
      </c>
      <c r="D32" s="425">
        <v>2012</v>
      </c>
      <c r="E32" s="426" t="s">
        <v>784</v>
      </c>
      <c r="F32" s="427" t="s">
        <v>785</v>
      </c>
    </row>
    <row r="33" spans="2:6" ht="15">
      <c r="B33" s="569" t="str">
        <f>inputPrYr!B28</f>
        <v>Jail Commissary</v>
      </c>
      <c r="C33" s="429" t="s">
        <v>902</v>
      </c>
      <c r="D33" s="429" t="s">
        <v>840</v>
      </c>
      <c r="E33" s="429" t="s">
        <v>903</v>
      </c>
      <c r="F33" s="430" t="s">
        <v>904</v>
      </c>
    </row>
    <row r="34" spans="2:6" ht="14.25">
      <c r="B34" s="455" t="s">
        <v>246</v>
      </c>
      <c r="C34" s="450">
        <v>181705</v>
      </c>
      <c r="D34" s="450">
        <v>134705</v>
      </c>
      <c r="E34" s="434">
        <f>C55</f>
        <v>149765</v>
      </c>
      <c r="F34" s="434">
        <f>E55</f>
        <v>109765</v>
      </c>
    </row>
    <row r="35" spans="2:6" ht="14.25">
      <c r="B35" s="455" t="s">
        <v>248</v>
      </c>
      <c r="C35" s="511"/>
      <c r="D35" s="511"/>
      <c r="E35" s="511"/>
      <c r="F35" s="511"/>
    </row>
    <row r="36" spans="2:6" ht="14.25">
      <c r="B36" s="615" t="s">
        <v>922</v>
      </c>
      <c r="C36" s="450">
        <v>0</v>
      </c>
      <c r="D36" s="764">
        <v>0</v>
      </c>
      <c r="E36" s="450">
        <v>0</v>
      </c>
      <c r="F36" s="450">
        <v>0</v>
      </c>
    </row>
    <row r="37" spans="2:6" ht="14.25">
      <c r="B37" s="615" t="s">
        <v>979</v>
      </c>
      <c r="C37" s="450">
        <v>19420</v>
      </c>
      <c r="D37" s="764">
        <v>13000</v>
      </c>
      <c r="E37" s="450">
        <v>20000</v>
      </c>
      <c r="F37" s="450">
        <v>20000</v>
      </c>
    </row>
    <row r="38" spans="2:6" ht="14.25">
      <c r="B38" s="615" t="s">
        <v>980</v>
      </c>
      <c r="C38" s="450">
        <v>0</v>
      </c>
      <c r="D38" s="764">
        <v>0</v>
      </c>
      <c r="E38" s="450">
        <v>0</v>
      </c>
      <c r="F38" s="450">
        <v>0</v>
      </c>
    </row>
    <row r="39" spans="2:6" ht="14.25">
      <c r="B39" s="615" t="s">
        <v>981</v>
      </c>
      <c r="C39" s="450">
        <v>0</v>
      </c>
      <c r="D39" s="764">
        <v>0</v>
      </c>
      <c r="E39" s="450">
        <v>0</v>
      </c>
      <c r="F39" s="450">
        <v>0</v>
      </c>
    </row>
    <row r="40" spans="2:6" ht="14.25">
      <c r="B40" s="440" t="s">
        <v>61</v>
      </c>
      <c r="C40" s="450">
        <v>0</v>
      </c>
      <c r="D40" s="764">
        <v>0</v>
      </c>
      <c r="E40" s="450">
        <v>0</v>
      </c>
      <c r="F40" s="450">
        <v>0</v>
      </c>
    </row>
    <row r="41" spans="2:6" ht="14.25">
      <c r="B41" s="441" t="s">
        <v>629</v>
      </c>
      <c r="C41" s="611">
        <f>IF(C42*0.1&lt;C40,"Exceed 10% Rule","")</f>
      </c>
      <c r="D41" s="612"/>
      <c r="E41" s="612">
        <f>IF(E42*0.1&lt;E40,"Exceed 10% Rule","")</f>
      </c>
      <c r="F41" s="612">
        <f>IF(F42*0.1&lt;F40,"Exceed 10% Rule","")</f>
      </c>
    </row>
    <row r="42" spans="2:6" ht="15">
      <c r="B42" s="444" t="s">
        <v>149</v>
      </c>
      <c r="C42" s="446">
        <f>SUM(C36:C40)</f>
        <v>19420</v>
      </c>
      <c r="D42" s="446">
        <f>SUM(D36:D40)</f>
        <v>13000</v>
      </c>
      <c r="E42" s="446">
        <f>SUM(E36:E40)</f>
        <v>20000</v>
      </c>
      <c r="F42" s="446">
        <f>SUM(F36:F40)</f>
        <v>20000</v>
      </c>
    </row>
    <row r="43" spans="2:6" ht="15">
      <c r="B43" s="444" t="s">
        <v>150</v>
      </c>
      <c r="C43" s="446">
        <f>C34+C42</f>
        <v>201125</v>
      </c>
      <c r="D43" s="446">
        <f>D34+D42</f>
        <v>147705</v>
      </c>
      <c r="E43" s="446">
        <f>E34+E42</f>
        <v>169765</v>
      </c>
      <c r="F43" s="446">
        <f>F34+F42</f>
        <v>129765</v>
      </c>
    </row>
    <row r="44" spans="2:6" ht="14.25">
      <c r="B44" s="455" t="s">
        <v>153</v>
      </c>
      <c r="C44" s="434"/>
      <c r="D44" s="434"/>
      <c r="E44" s="434"/>
      <c r="F44" s="434"/>
    </row>
    <row r="45" spans="2:6" ht="14.25">
      <c r="B45" s="607" t="s">
        <v>893</v>
      </c>
      <c r="C45" s="450">
        <v>0</v>
      </c>
      <c r="D45" s="764">
        <v>0</v>
      </c>
      <c r="E45" s="764">
        <v>0</v>
      </c>
      <c r="F45" s="764">
        <v>0</v>
      </c>
    </row>
    <row r="46" spans="2:6" ht="14.25">
      <c r="B46" s="607" t="s">
        <v>894</v>
      </c>
      <c r="C46" s="450">
        <v>2065</v>
      </c>
      <c r="D46" s="764">
        <v>0</v>
      </c>
      <c r="E46" s="764">
        <v>0</v>
      </c>
      <c r="F46" s="764">
        <v>0</v>
      </c>
    </row>
    <row r="47" spans="2:6" ht="14.25">
      <c r="B47" s="607" t="s">
        <v>895</v>
      </c>
      <c r="C47" s="450">
        <v>49295</v>
      </c>
      <c r="D47" s="764">
        <v>60000</v>
      </c>
      <c r="E47" s="764">
        <v>60000</v>
      </c>
      <c r="F47" s="764">
        <v>60000</v>
      </c>
    </row>
    <row r="48" spans="2:6" ht="14.25">
      <c r="B48" s="346" t="s">
        <v>896</v>
      </c>
      <c r="C48" s="450">
        <v>0</v>
      </c>
      <c r="D48" s="764">
        <v>0</v>
      </c>
      <c r="E48" s="764">
        <v>0</v>
      </c>
      <c r="F48" s="764">
        <v>0</v>
      </c>
    </row>
    <row r="49" spans="2:6" ht="14.25">
      <c r="B49" s="346" t="s">
        <v>930</v>
      </c>
      <c r="C49" s="450">
        <v>0</v>
      </c>
      <c r="D49" s="764">
        <v>0</v>
      </c>
      <c r="E49" s="764">
        <v>0</v>
      </c>
      <c r="F49" s="764">
        <v>0</v>
      </c>
    </row>
    <row r="50" spans="2:6" ht="14.25">
      <c r="B50" s="346" t="s">
        <v>897</v>
      </c>
      <c r="C50" s="450">
        <v>0</v>
      </c>
      <c r="D50" s="764">
        <v>0</v>
      </c>
      <c r="E50" s="764">
        <v>0</v>
      </c>
      <c r="F50" s="764">
        <v>0</v>
      </c>
    </row>
    <row r="51" spans="2:6" ht="14.25">
      <c r="B51" s="346" t="s">
        <v>157</v>
      </c>
      <c r="C51" s="450">
        <v>0</v>
      </c>
      <c r="D51" s="764">
        <v>0</v>
      </c>
      <c r="E51" s="764">
        <v>0</v>
      </c>
      <c r="F51" s="764">
        <v>0</v>
      </c>
    </row>
    <row r="52" spans="2:6" ht="14.25">
      <c r="B52" s="440" t="s">
        <v>61</v>
      </c>
      <c r="C52" s="450">
        <v>0</v>
      </c>
      <c r="D52" s="764">
        <v>0</v>
      </c>
      <c r="E52" s="764">
        <v>0</v>
      </c>
      <c r="F52" s="764">
        <v>0</v>
      </c>
    </row>
    <row r="53" spans="2:6" ht="14.25">
      <c r="B53" s="441" t="s">
        <v>628</v>
      </c>
      <c r="C53" s="611">
        <f>IF(C54*0.1&lt;C52,"Exceed 10% Rule","")</f>
      </c>
      <c r="D53" s="612"/>
      <c r="E53" s="612">
        <f>IF(E54*0.1&lt;E52,"Exceed 10% Rule","")</f>
      </c>
      <c r="F53" s="612">
        <f>IF(F54*0.1&lt;F52,"Exceed 10% Rule","")</f>
      </c>
    </row>
    <row r="54" spans="2:6" ht="15">
      <c r="B54" s="444" t="s">
        <v>154</v>
      </c>
      <c r="C54" s="446">
        <f>SUM(C45:C52)</f>
        <v>51360</v>
      </c>
      <c r="D54" s="446">
        <f>SUM(D45:D52)</f>
        <v>60000</v>
      </c>
      <c r="E54" s="446">
        <f>SUM(E45:E52)</f>
        <v>60000</v>
      </c>
      <c r="F54" s="446">
        <f>SUM(F45:F52)</f>
        <v>60000</v>
      </c>
    </row>
    <row r="55" spans="2:6" ht="14.25">
      <c r="B55" s="455" t="s">
        <v>247</v>
      </c>
      <c r="C55" s="434">
        <f>C43-C54</f>
        <v>149765</v>
      </c>
      <c r="D55" s="434">
        <f>D43-D54</f>
        <v>87705</v>
      </c>
      <c r="E55" s="434">
        <f>E43-E54</f>
        <v>109765</v>
      </c>
      <c r="F55" s="434">
        <f>F43-F54</f>
        <v>69765</v>
      </c>
    </row>
    <row r="56" spans="2:6" ht="15">
      <c r="B56" s="458" t="str">
        <f>CONCATENATE("",F$1-2,"/",F$1-1," Budget Authority Amount:")</f>
        <v>2011/2012 Budget Authority Amount:</v>
      </c>
      <c r="C56" s="616">
        <f>inputOth!B40</f>
        <v>60000</v>
      </c>
      <c r="D56" s="616"/>
      <c r="E56" s="616">
        <f>inputPrYr!D28</f>
        <v>60000</v>
      </c>
      <c r="F56" s="617">
        <f>IF(F55&lt;0,"See Tab E","")</f>
      </c>
    </row>
    <row r="57" spans="2:6" ht="15">
      <c r="B57" s="596"/>
      <c r="C57" s="618">
        <f>IF(C54&gt;C56,"See Tab A","")</f>
      </c>
      <c r="D57" s="618"/>
      <c r="E57" s="618">
        <f>IF(E54&gt;E56,"See Tab C","")</f>
      </c>
      <c r="F57" s="540"/>
    </row>
    <row r="58" spans="2:6" ht="15">
      <c r="B58" s="596"/>
      <c r="C58" s="618">
        <f>IF(C55&lt;0,"See Tab B","")</f>
      </c>
      <c r="D58" s="618"/>
      <c r="E58" s="618">
        <f>IF(E55&lt;0,"See Tab D","")</f>
      </c>
      <c r="F58" s="540"/>
    </row>
    <row r="59" spans="2:6" ht="14.25">
      <c r="B59" s="540"/>
      <c r="C59" s="540"/>
      <c r="D59" s="540"/>
      <c r="E59" s="540"/>
      <c r="F59" s="540"/>
    </row>
    <row r="60" spans="2:6" ht="14.25">
      <c r="B60" s="596" t="s">
        <v>161</v>
      </c>
      <c r="C60" s="597"/>
      <c r="D60" s="597"/>
      <c r="E60" s="540"/>
      <c r="F60" s="540"/>
    </row>
  </sheetData>
  <sheetProtection/>
  <conditionalFormatting sqref="C23">
    <cfRule type="cellIs" priority="8" dxfId="42" operator="greaterThan" stopIfTrue="1">
      <formula>$C$25*0.1</formula>
    </cfRule>
  </conditionalFormatting>
  <conditionalFormatting sqref="E23">
    <cfRule type="cellIs" priority="9" dxfId="42" operator="greaterThan" stopIfTrue="1">
      <formula>$E$25*0.1</formula>
    </cfRule>
  </conditionalFormatting>
  <conditionalFormatting sqref="F23">
    <cfRule type="cellIs" priority="10" dxfId="42" operator="greaterThan" stopIfTrue="1">
      <formula>$F$25*0.1</formula>
    </cfRule>
  </conditionalFormatting>
  <conditionalFormatting sqref="C13">
    <cfRule type="cellIs" priority="11" dxfId="42" operator="greaterThan" stopIfTrue="1">
      <formula>$C$15*0.1</formula>
    </cfRule>
  </conditionalFormatting>
  <conditionalFormatting sqref="C40:D40">
    <cfRule type="cellIs" priority="14" dxfId="42" operator="greaterThan" stopIfTrue="1">
      <formula>$C$42*0.1</formula>
    </cfRule>
  </conditionalFormatting>
  <conditionalFormatting sqref="C52">
    <cfRule type="cellIs" priority="17" dxfId="42" operator="greaterThan" stopIfTrue="1">
      <formula>$C$54*0.1</formula>
    </cfRule>
  </conditionalFormatting>
  <conditionalFormatting sqref="D40">
    <cfRule type="cellIs" priority="1" dxfId="42" operator="greaterThan" stopIfTrue="1">
      <formula>$D$16*0.1</formula>
    </cfRule>
  </conditionalFormatting>
  <printOptions/>
  <pageMargins left="0.78" right="0.5" top="0.74" bottom="0.34" header="0.5" footer="0"/>
  <pageSetup blackAndWhite="1" fitToHeight="1" fitToWidth="1" horizontalDpi="120" verticalDpi="120" orientation="portrait" scale="81" r:id="rId1"/>
  <headerFooter alignWithMargins="0">
    <oddHeader>&amp;RState of Kansas
County
</oddHeader>
    <oddFooter>&amp;C&amp;"Arial,Regular"&amp;11WY-&amp;P</oddFooter>
  </headerFooter>
</worksheet>
</file>

<file path=xl/worksheets/sheet15.xml><?xml version="1.0" encoding="utf-8"?>
<worksheet xmlns="http://schemas.openxmlformats.org/spreadsheetml/2006/main" xmlns:r="http://schemas.openxmlformats.org/officeDocument/2006/relationships">
  <sheetPr>
    <tabColor theme="9" tint="-0.24997000396251678"/>
    <pageSetUpPr fitToPage="1"/>
  </sheetPr>
  <dimension ref="B1:G30"/>
  <sheetViews>
    <sheetView zoomScale="80" zoomScaleNormal="80" zoomScalePageLayoutView="0" workbookViewId="0" topLeftCell="A1">
      <selection activeCell="B1" sqref="B1:F30"/>
    </sheetView>
  </sheetViews>
  <sheetFormatPr defaultColWidth="8.796875" defaultRowHeight="15"/>
  <cols>
    <col min="1" max="1" width="2.3984375" style="420" customWidth="1"/>
    <col min="2" max="2" width="31.09765625" style="420" customWidth="1"/>
    <col min="3" max="5" width="15.796875" style="420" customWidth="1"/>
    <col min="6" max="6" width="16.09765625" style="420" customWidth="1"/>
    <col min="7" max="7" width="28.09765625" style="420" customWidth="1"/>
    <col min="8" max="16384" width="8.8984375" style="420" customWidth="1"/>
  </cols>
  <sheetData>
    <row r="1" spans="2:6" ht="14.25">
      <c r="B1" s="417" t="str">
        <f>(inputPrYr!C2)</f>
        <v>Wyandotte County</v>
      </c>
      <c r="C1" s="418"/>
      <c r="D1" s="418"/>
      <c r="E1" s="418"/>
      <c r="F1" s="419">
        <f>inputPrYr!C4</f>
        <v>2013</v>
      </c>
    </row>
    <row r="2" spans="2:6" ht="14.25">
      <c r="B2" s="418"/>
      <c r="C2" s="418"/>
      <c r="D2" s="418"/>
      <c r="E2" s="418"/>
      <c r="F2" s="421"/>
    </row>
    <row r="3" spans="2:6" ht="15">
      <c r="B3" s="422" t="s">
        <v>207</v>
      </c>
      <c r="C3" s="487"/>
      <c r="D3" s="487"/>
      <c r="E3" s="487"/>
      <c r="F3" s="488"/>
    </row>
    <row r="4" spans="2:6" ht="14.25">
      <c r="B4" s="418"/>
      <c r="C4" s="489"/>
      <c r="D4" s="489"/>
      <c r="E4" s="489"/>
      <c r="F4" s="489"/>
    </row>
    <row r="5" spans="2:6" ht="14.25">
      <c r="B5" s="490" t="s">
        <v>144</v>
      </c>
      <c r="C5" s="425" t="s">
        <v>783</v>
      </c>
      <c r="D5" s="425">
        <v>2012</v>
      </c>
      <c r="E5" s="426" t="s">
        <v>784</v>
      </c>
      <c r="F5" s="427" t="s">
        <v>785</v>
      </c>
    </row>
    <row r="6" spans="2:6" ht="15">
      <c r="B6" s="428" t="str">
        <f>inputPrYr!B29</f>
        <v>Register of Deeds Technology</v>
      </c>
      <c r="C6" s="429" t="s">
        <v>902</v>
      </c>
      <c r="D6" s="429" t="s">
        <v>840</v>
      </c>
      <c r="E6" s="429" t="s">
        <v>903</v>
      </c>
      <c r="F6" s="430" t="s">
        <v>904</v>
      </c>
    </row>
    <row r="7" spans="2:6" ht="14.25">
      <c r="B7" s="455" t="s">
        <v>246</v>
      </c>
      <c r="C7" s="450">
        <v>121286</v>
      </c>
      <c r="D7" s="450">
        <v>62886</v>
      </c>
      <c r="E7" s="434">
        <f>C29</f>
        <v>67476</v>
      </c>
      <c r="F7" s="434">
        <f>E29</f>
        <v>37976</v>
      </c>
    </row>
    <row r="8" spans="2:6" ht="14.25">
      <c r="B8" s="494" t="s">
        <v>248</v>
      </c>
      <c r="C8" s="511"/>
      <c r="D8" s="511"/>
      <c r="E8" s="511"/>
      <c r="F8" s="511"/>
    </row>
    <row r="9" spans="2:7" ht="14.25">
      <c r="B9" s="415" t="s">
        <v>863</v>
      </c>
      <c r="C9" s="450">
        <v>123724</v>
      </c>
      <c r="D9" s="450">
        <v>130000</v>
      </c>
      <c r="E9" s="450">
        <v>135000</v>
      </c>
      <c r="F9" s="450">
        <v>135000</v>
      </c>
      <c r="G9" s="414" t="s">
        <v>863</v>
      </c>
    </row>
    <row r="10" spans="2:7" ht="14.25">
      <c r="B10" s="415" t="s">
        <v>869</v>
      </c>
      <c r="C10" s="450">
        <v>919</v>
      </c>
      <c r="D10" s="450">
        <v>1600</v>
      </c>
      <c r="E10" s="450">
        <v>500</v>
      </c>
      <c r="F10" s="450">
        <v>500</v>
      </c>
      <c r="G10" s="414" t="s">
        <v>869</v>
      </c>
    </row>
    <row r="11" spans="2:7" ht="14.25">
      <c r="B11" s="415" t="s">
        <v>981</v>
      </c>
      <c r="C11" s="450">
        <v>0</v>
      </c>
      <c r="D11" s="450">
        <v>0</v>
      </c>
      <c r="E11" s="450">
        <v>0</v>
      </c>
      <c r="F11" s="450">
        <v>0</v>
      </c>
      <c r="G11" s="414" t="s">
        <v>981</v>
      </c>
    </row>
    <row r="12" spans="2:7" ht="14.25">
      <c r="B12" s="415" t="s">
        <v>1001</v>
      </c>
      <c r="C12" s="450">
        <v>1869</v>
      </c>
      <c r="D12" s="450">
        <v>0</v>
      </c>
      <c r="E12" s="450">
        <v>0</v>
      </c>
      <c r="F12" s="450">
        <v>0</v>
      </c>
      <c r="G12" s="414"/>
    </row>
    <row r="13" spans="2:7" ht="14.25">
      <c r="B13" s="415" t="s">
        <v>955</v>
      </c>
      <c r="C13" s="450">
        <v>0</v>
      </c>
      <c r="D13" s="450">
        <v>0</v>
      </c>
      <c r="E13" s="450">
        <v>0</v>
      </c>
      <c r="F13" s="450">
        <v>0</v>
      </c>
      <c r="G13" s="414" t="s">
        <v>955</v>
      </c>
    </row>
    <row r="14" spans="2:7" ht="14.25">
      <c r="B14" s="440" t="s">
        <v>61</v>
      </c>
      <c r="C14" s="450">
        <v>0</v>
      </c>
      <c r="D14" s="450">
        <v>0</v>
      </c>
      <c r="E14" s="450">
        <v>0</v>
      </c>
      <c r="F14" s="450">
        <v>0</v>
      </c>
      <c r="G14" s="765" t="s">
        <v>61</v>
      </c>
    </row>
    <row r="15" spans="2:6" ht="14.25">
      <c r="B15" s="441" t="s">
        <v>629</v>
      </c>
      <c r="C15" s="611">
        <f>IF(C16*0.1&lt;C14,"Exceed 10% Rule","")</f>
      </c>
      <c r="D15" s="612"/>
      <c r="E15" s="612">
        <f>IF(E16*0.1&lt;E14,"Exceed 10% Rule","")</f>
      </c>
      <c r="F15" s="612">
        <f>IF(F16*0.1&lt;F14,"Exceed 10% Rule","")</f>
      </c>
    </row>
    <row r="16" spans="2:6" ht="15">
      <c r="B16" s="444" t="s">
        <v>149</v>
      </c>
      <c r="C16" s="446">
        <f>SUM(C9:C14)</f>
        <v>126512</v>
      </c>
      <c r="D16" s="446">
        <f>SUM(D9:D14)</f>
        <v>131600</v>
      </c>
      <c r="E16" s="446">
        <f>SUM(E9:E14)</f>
        <v>135500</v>
      </c>
      <c r="F16" s="446">
        <f>SUM(F9:F14)</f>
        <v>135500</v>
      </c>
    </row>
    <row r="17" spans="2:6" ht="15">
      <c r="B17" s="444" t="s">
        <v>150</v>
      </c>
      <c r="C17" s="446">
        <f>C16+C7</f>
        <v>247798</v>
      </c>
      <c r="D17" s="446">
        <f>D16+D7</f>
        <v>194486</v>
      </c>
      <c r="E17" s="446">
        <f>E16+E7</f>
        <v>202976</v>
      </c>
      <c r="F17" s="446">
        <f>F16+F7</f>
        <v>173476</v>
      </c>
    </row>
    <row r="18" spans="2:6" ht="14.25">
      <c r="B18" s="455" t="s">
        <v>153</v>
      </c>
      <c r="C18" s="434"/>
      <c r="D18" s="434"/>
      <c r="E18" s="434"/>
      <c r="F18" s="434"/>
    </row>
    <row r="19" spans="2:7" ht="14.25">
      <c r="B19" s="619" t="s">
        <v>893</v>
      </c>
      <c r="C19" s="450">
        <v>50000</v>
      </c>
      <c r="D19" s="450">
        <v>45000</v>
      </c>
      <c r="E19" s="450">
        <v>45000</v>
      </c>
      <c r="F19" s="450">
        <v>50000</v>
      </c>
      <c r="G19" s="619" t="s">
        <v>893</v>
      </c>
    </row>
    <row r="20" spans="2:7" ht="14.25">
      <c r="B20" s="619" t="s">
        <v>894</v>
      </c>
      <c r="C20" s="450">
        <v>0</v>
      </c>
      <c r="D20" s="450">
        <v>0</v>
      </c>
      <c r="E20" s="450">
        <v>0</v>
      </c>
      <c r="F20" s="450">
        <v>120000</v>
      </c>
      <c r="G20" s="619" t="s">
        <v>894</v>
      </c>
    </row>
    <row r="21" spans="2:7" ht="14.25">
      <c r="B21" s="619" t="s">
        <v>895</v>
      </c>
      <c r="C21" s="450">
        <v>0</v>
      </c>
      <c r="D21" s="450">
        <v>0</v>
      </c>
      <c r="E21" s="450">
        <v>0</v>
      </c>
      <c r="F21" s="450">
        <v>0</v>
      </c>
      <c r="G21" s="619" t="s">
        <v>895</v>
      </c>
    </row>
    <row r="22" spans="2:7" ht="14.25">
      <c r="B22" s="619" t="s">
        <v>896</v>
      </c>
      <c r="C22" s="450">
        <v>0</v>
      </c>
      <c r="D22" s="450">
        <v>0</v>
      </c>
      <c r="E22" s="450">
        <v>0</v>
      </c>
      <c r="F22" s="450">
        <v>0</v>
      </c>
      <c r="G22" s="619" t="s">
        <v>896</v>
      </c>
    </row>
    <row r="23" spans="2:7" ht="14.25">
      <c r="B23" s="619" t="s">
        <v>901</v>
      </c>
      <c r="C23" s="450">
        <v>25000</v>
      </c>
      <c r="D23" s="450">
        <v>0</v>
      </c>
      <c r="E23" s="450">
        <v>0</v>
      </c>
      <c r="F23" s="450">
        <v>0</v>
      </c>
      <c r="G23" s="619" t="s">
        <v>901</v>
      </c>
    </row>
    <row r="24" spans="2:7" ht="14.25">
      <c r="B24" s="619" t="s">
        <v>897</v>
      </c>
      <c r="C24" s="450">
        <v>105322</v>
      </c>
      <c r="D24" s="450">
        <v>120000</v>
      </c>
      <c r="E24" s="450">
        <v>120000</v>
      </c>
      <c r="F24" s="450">
        <v>0</v>
      </c>
      <c r="G24" s="619" t="s">
        <v>897</v>
      </c>
    </row>
    <row r="25" spans="2:7" ht="14.25">
      <c r="B25" s="619" t="s">
        <v>157</v>
      </c>
      <c r="C25" s="450">
        <v>0</v>
      </c>
      <c r="D25" s="450">
        <v>0</v>
      </c>
      <c r="E25" s="450"/>
      <c r="F25" s="450">
        <v>0</v>
      </c>
      <c r="G25" s="619" t="s">
        <v>157</v>
      </c>
    </row>
    <row r="26" spans="2:7" ht="14.25">
      <c r="B26" s="440" t="s">
        <v>61</v>
      </c>
      <c r="C26" s="450">
        <v>0</v>
      </c>
      <c r="D26" s="450">
        <v>0</v>
      </c>
      <c r="E26" s="610"/>
      <c r="F26" s="450">
        <v>0</v>
      </c>
      <c r="G26" s="440" t="s">
        <v>61</v>
      </c>
    </row>
    <row r="27" spans="2:6" ht="14.25">
      <c r="B27" s="441" t="s">
        <v>628</v>
      </c>
      <c r="C27" s="611">
        <f>IF(C28*0.1&lt;C26,"Exceed 10% Rule","")</f>
      </c>
      <c r="D27" s="612"/>
      <c r="E27" s="612">
        <f>IF(E28*0.1&lt;E26,"Exceed 10% Rule","")</f>
      </c>
      <c r="F27" s="612">
        <f>IF(F28*0.1&lt;F26,"Exceed 10% Rule","")</f>
      </c>
    </row>
    <row r="28" spans="2:6" ht="15">
      <c r="B28" s="444" t="s">
        <v>154</v>
      </c>
      <c r="C28" s="446">
        <f>SUM(C19:C26)</f>
        <v>180322</v>
      </c>
      <c r="D28" s="446">
        <f>SUM(D19:D26)</f>
        <v>165000</v>
      </c>
      <c r="E28" s="446">
        <f>SUM(E19:E26)</f>
        <v>165000</v>
      </c>
      <c r="F28" s="446">
        <f>SUM(F19:F26)</f>
        <v>170000</v>
      </c>
    </row>
    <row r="29" spans="2:6" ht="14.25">
      <c r="B29" s="455" t="s">
        <v>247</v>
      </c>
      <c r="C29" s="434">
        <f>C17-C28</f>
        <v>67476</v>
      </c>
      <c r="D29" s="434">
        <f>D17-D28</f>
        <v>29486</v>
      </c>
      <c r="E29" s="434">
        <f>E17-E28</f>
        <v>37976</v>
      </c>
      <c r="F29" s="434">
        <f>F17-F28</f>
        <v>3476</v>
      </c>
    </row>
    <row r="30" spans="2:6" ht="15">
      <c r="B30" s="458" t="str">
        <f>CONCATENATE("",F$1-2,"/",F$1-1," Budget Authority Amount:")</f>
        <v>2011/2012 Budget Authority Amount:</v>
      </c>
      <c r="C30" s="459">
        <f>inputOth!B41</f>
        <v>185000</v>
      </c>
      <c r="D30" s="459"/>
      <c r="E30" s="459">
        <f>inputPrYr!D29</f>
        <v>165000</v>
      </c>
      <c r="F30" s="613">
        <f>IF(F29&lt;0,"See Tab E","")</f>
      </c>
    </row>
  </sheetData>
  <sheetProtection/>
  <conditionalFormatting sqref="E26">
    <cfRule type="cellIs" priority="4" dxfId="42" operator="greaterThan" stopIfTrue="1">
      <formula>$E$28*0.1</formula>
    </cfRule>
  </conditionalFormatting>
  <conditionalFormatting sqref="C14">
    <cfRule type="cellIs" priority="6" dxfId="42" operator="greaterThan" stopIfTrue="1">
      <formula>$C$16*0.1</formula>
    </cfRule>
  </conditionalFormatting>
  <printOptions/>
  <pageMargins left="1.12" right="0.5" top="0.74" bottom="0.34" header="0.5" footer="0"/>
  <pageSetup blackAndWhite="1" fitToHeight="1" fitToWidth="1" horizontalDpi="120" verticalDpi="120" orientation="portrait" scale="77" r:id="rId1"/>
  <headerFooter alignWithMargins="0">
    <oddHeader>&amp;RState of Kansas
County
</oddHeader>
    <oddFooter>&amp;C&amp;"Arial,Regular"&amp;11WY-&amp;P</oddFooter>
  </headerFooter>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L35"/>
  <sheetViews>
    <sheetView zoomScale="90" zoomScaleNormal="90" zoomScalePageLayoutView="0" workbookViewId="0" topLeftCell="C2">
      <selection activeCell="D41" sqref="D41"/>
    </sheetView>
  </sheetViews>
  <sheetFormatPr defaultColWidth="8.796875" defaultRowHeight="15"/>
  <cols>
    <col min="1" max="1" width="16.09765625" style="564" customWidth="1"/>
    <col min="2" max="2" width="9.3984375" style="788" customWidth="1"/>
    <col min="3" max="3" width="14.796875" style="564" customWidth="1"/>
    <col min="4" max="4" width="9.796875" style="788" customWidth="1"/>
    <col min="5" max="5" width="15.19921875" style="564" customWidth="1"/>
    <col min="6" max="6" width="11.8984375" style="788" customWidth="1"/>
    <col min="7" max="7" width="15.69921875" style="564" customWidth="1"/>
    <col min="8" max="8" width="10.09765625" style="564" customWidth="1"/>
    <col min="9" max="9" width="16.09765625" style="564" customWidth="1"/>
    <col min="10" max="10" width="11.19921875" style="788" bestFit="1" customWidth="1"/>
    <col min="11" max="16384" width="8.8984375" style="564" customWidth="1"/>
  </cols>
  <sheetData>
    <row r="1" spans="1:11" ht="12.75">
      <c r="A1" s="622" t="str">
        <f>inputPrYr!$C$2</f>
        <v>Wyandotte County</v>
      </c>
      <c r="B1" s="780"/>
      <c r="C1" s="624"/>
      <c r="D1" s="781"/>
      <c r="E1" s="624"/>
      <c r="F1" s="789" t="s">
        <v>9</v>
      </c>
      <c r="G1" s="624"/>
      <c r="H1" s="624"/>
      <c r="I1" s="624"/>
      <c r="J1" s="781"/>
      <c r="K1" s="624">
        <f>inputPrYr!$C$4</f>
        <v>2013</v>
      </c>
    </row>
    <row r="2" spans="1:11" ht="12.75">
      <c r="A2" s="624"/>
      <c r="B2" s="781"/>
      <c r="C2" s="624"/>
      <c r="D2" s="781"/>
      <c r="E2" s="624"/>
      <c r="F2" s="790" t="str">
        <f>CONCATENATE("(Only the actual budget year for ",K1-2," is to be shown)")</f>
        <v>(Only the actual budget year for 2011 is to be shown)</v>
      </c>
      <c r="G2" s="624"/>
      <c r="H2" s="624"/>
      <c r="I2" s="624"/>
      <c r="J2" s="781"/>
      <c r="K2" s="624"/>
    </row>
    <row r="3" spans="1:11" ht="12.75">
      <c r="A3" s="624" t="s">
        <v>10</v>
      </c>
      <c r="B3" s="781"/>
      <c r="C3" s="624"/>
      <c r="D3" s="781"/>
      <c r="E3" s="624"/>
      <c r="F3" s="780"/>
      <c r="G3" s="624"/>
      <c r="H3" s="624"/>
      <c r="I3" s="624"/>
      <c r="J3" s="781"/>
      <c r="K3" s="624"/>
    </row>
    <row r="4" spans="1:11" ht="12.75">
      <c r="A4" s="624" t="s">
        <v>11</v>
      </c>
      <c r="B4" s="781"/>
      <c r="C4" s="624" t="s">
        <v>12</v>
      </c>
      <c r="D4" s="781"/>
      <c r="E4" s="624" t="s">
        <v>13</v>
      </c>
      <c r="F4" s="780"/>
      <c r="G4" s="624" t="s">
        <v>14</v>
      </c>
      <c r="H4" s="624"/>
      <c r="I4" s="624" t="s">
        <v>15</v>
      </c>
      <c r="J4" s="781"/>
      <c r="K4" s="624"/>
    </row>
    <row r="5" spans="1:11" ht="12.75">
      <c r="A5" s="906" t="str">
        <f>IF(inputPrYr!B33&gt;" ",(inputPrYr!B33)," ")</f>
        <v>Special Prosecutor's Trust</v>
      </c>
      <c r="B5" s="907"/>
      <c r="C5" s="906" t="str">
        <f>IF(inputPrYr!B34&gt;" ",(inputPrYr!B34)," ")</f>
        <v>Aging Grants</v>
      </c>
      <c r="D5" s="907"/>
      <c r="E5" s="904" t="str">
        <f>IF(inputPrYr!B35&gt;" ",(inputPrYr!B35)," ")</f>
        <v>Community Corrections Grants</v>
      </c>
      <c r="F5" s="905"/>
      <c r="G5" s="904" t="str">
        <f>IF(inputPrYr!B36&gt;" ",(inputPrYr!B36)," ")</f>
        <v>Developmental Disabilities Grants</v>
      </c>
      <c r="H5" s="905"/>
      <c r="I5" s="904" t="str">
        <f>IF(inputPrYr!B37&gt;" ",(inputPrYr!B37)," ")</f>
        <v>County Grants</v>
      </c>
      <c r="J5" s="905"/>
      <c r="K5" s="628"/>
    </row>
    <row r="6" spans="1:11" ht="12.75">
      <c r="A6" s="629" t="s">
        <v>16</v>
      </c>
      <c r="B6" s="782"/>
      <c r="C6" s="630" t="s">
        <v>16</v>
      </c>
      <c r="D6" s="793"/>
      <c r="E6" s="630" t="s">
        <v>16</v>
      </c>
      <c r="F6" s="782"/>
      <c r="G6" s="630" t="s">
        <v>16</v>
      </c>
      <c r="H6" s="632"/>
      <c r="I6" s="630" t="s">
        <v>16</v>
      </c>
      <c r="J6" s="781"/>
      <c r="K6" s="631" t="s">
        <v>117</v>
      </c>
    </row>
    <row r="7" spans="1:11" ht="12.75">
      <c r="A7" s="633" t="s">
        <v>72</v>
      </c>
      <c r="B7" s="783">
        <v>55072</v>
      </c>
      <c r="C7" s="628" t="s">
        <v>72</v>
      </c>
      <c r="D7" s="783">
        <v>612962</v>
      </c>
      <c r="E7" s="628" t="s">
        <v>72</v>
      </c>
      <c r="F7" s="783">
        <v>97345</v>
      </c>
      <c r="G7" s="628" t="s">
        <v>72</v>
      </c>
      <c r="H7" s="634">
        <v>501999</v>
      </c>
      <c r="I7" s="628" t="s">
        <v>72</v>
      </c>
      <c r="J7" s="783">
        <v>149046</v>
      </c>
      <c r="K7" s="635">
        <f>SUM(B7+D7+F7+H7+J7)</f>
        <v>1416424</v>
      </c>
    </row>
    <row r="8" spans="1:11" ht="12.75">
      <c r="A8" s="624" t="s">
        <v>248</v>
      </c>
      <c r="B8" s="780"/>
      <c r="C8" s="624" t="s">
        <v>248</v>
      </c>
      <c r="D8" s="780"/>
      <c r="E8" s="624" t="s">
        <v>248</v>
      </c>
      <c r="F8" s="780"/>
      <c r="G8" s="624" t="s">
        <v>248</v>
      </c>
      <c r="H8" s="624"/>
      <c r="I8" s="624" t="s">
        <v>248</v>
      </c>
      <c r="J8" s="781"/>
      <c r="K8" s="623"/>
    </row>
    <row r="9" spans="1:11" ht="12.75">
      <c r="A9" s="620" t="s">
        <v>982</v>
      </c>
      <c r="B9" s="784">
        <v>0</v>
      </c>
      <c r="C9" s="620" t="s">
        <v>982</v>
      </c>
      <c r="D9" s="784">
        <v>2558061</v>
      </c>
      <c r="E9" s="620" t="s">
        <v>982</v>
      </c>
      <c r="F9" s="784">
        <v>2467152</v>
      </c>
      <c r="G9" s="647" t="s">
        <v>991</v>
      </c>
      <c r="H9" s="641"/>
      <c r="I9" s="620" t="s">
        <v>982</v>
      </c>
      <c r="J9" s="784">
        <v>2339909</v>
      </c>
      <c r="K9" s="642"/>
    </row>
    <row r="10" spans="1:11" ht="12.75">
      <c r="A10" s="620" t="s">
        <v>983</v>
      </c>
      <c r="B10" s="784">
        <v>0</v>
      </c>
      <c r="C10" s="620" t="s">
        <v>983</v>
      </c>
      <c r="D10" s="784">
        <v>66790</v>
      </c>
      <c r="E10" s="620" t="s">
        <v>983</v>
      </c>
      <c r="F10" s="784">
        <v>0</v>
      </c>
      <c r="G10" s="620" t="s">
        <v>982</v>
      </c>
      <c r="H10" s="641">
        <v>603303</v>
      </c>
      <c r="I10" s="620" t="s">
        <v>983</v>
      </c>
      <c r="J10" s="784">
        <v>0</v>
      </c>
      <c r="K10" s="642"/>
    </row>
    <row r="11" spans="1:11" ht="12.75">
      <c r="A11" s="620" t="s">
        <v>984</v>
      </c>
      <c r="B11" s="784">
        <v>0</v>
      </c>
      <c r="C11" s="620" t="s">
        <v>984</v>
      </c>
      <c r="D11" s="784">
        <v>0</v>
      </c>
      <c r="E11" s="620" t="s">
        <v>984</v>
      </c>
      <c r="F11" s="784">
        <v>0</v>
      </c>
      <c r="G11" s="620" t="s">
        <v>983</v>
      </c>
      <c r="H11" s="641">
        <v>0</v>
      </c>
      <c r="I11" s="620" t="s">
        <v>984</v>
      </c>
      <c r="J11" s="784">
        <v>0</v>
      </c>
      <c r="K11" s="642"/>
    </row>
    <row r="12" spans="1:11" ht="12.75">
      <c r="A12" s="620" t="s">
        <v>955</v>
      </c>
      <c r="B12" s="784">
        <v>0</v>
      </c>
      <c r="C12" s="620" t="s">
        <v>955</v>
      </c>
      <c r="D12" s="784">
        <v>0</v>
      </c>
      <c r="E12" s="620" t="s">
        <v>955</v>
      </c>
      <c r="F12" s="784">
        <v>0</v>
      </c>
      <c r="G12" s="620" t="s">
        <v>984</v>
      </c>
      <c r="H12" s="641">
        <v>0</v>
      </c>
      <c r="I12" s="620" t="s">
        <v>955</v>
      </c>
      <c r="J12" s="784">
        <v>146221</v>
      </c>
      <c r="K12" s="642"/>
    </row>
    <row r="13" spans="1:11" ht="12.75">
      <c r="A13" s="620" t="s">
        <v>985</v>
      </c>
      <c r="B13" s="784">
        <v>306439</v>
      </c>
      <c r="C13" s="620" t="s">
        <v>985</v>
      </c>
      <c r="D13" s="784">
        <v>0</v>
      </c>
      <c r="E13" s="620" t="s">
        <v>985</v>
      </c>
      <c r="F13" s="784">
        <v>0</v>
      </c>
      <c r="G13" s="620" t="s">
        <v>955</v>
      </c>
      <c r="H13" s="641">
        <v>765</v>
      </c>
      <c r="I13" s="620" t="s">
        <v>985</v>
      </c>
      <c r="J13" s="784">
        <v>12059</v>
      </c>
      <c r="K13" s="642"/>
    </row>
    <row r="14" spans="1:11" ht="12.75">
      <c r="A14" s="620" t="s">
        <v>61</v>
      </c>
      <c r="B14" s="784">
        <v>1530</v>
      </c>
      <c r="C14" s="620" t="s">
        <v>61</v>
      </c>
      <c r="D14" s="784">
        <v>13158</v>
      </c>
      <c r="E14" s="620" t="s">
        <v>61</v>
      </c>
      <c r="F14" s="784">
        <v>172136</v>
      </c>
      <c r="G14" s="620" t="s">
        <v>985</v>
      </c>
      <c r="H14" s="641">
        <v>0</v>
      </c>
      <c r="I14" s="620" t="s">
        <v>61</v>
      </c>
      <c r="J14" s="784">
        <v>86248</v>
      </c>
      <c r="K14" s="642"/>
    </row>
    <row r="15" spans="1:11" ht="12.75">
      <c r="A15" s="620" t="s">
        <v>991</v>
      </c>
      <c r="B15" s="784">
        <v>172941</v>
      </c>
      <c r="C15" s="620"/>
      <c r="D15" s="784">
        <v>0</v>
      </c>
      <c r="E15" s="620"/>
      <c r="F15" s="784">
        <v>0</v>
      </c>
      <c r="G15" s="620"/>
      <c r="H15" s="641">
        <v>0</v>
      </c>
      <c r="I15" s="620"/>
      <c r="J15" s="784">
        <v>0</v>
      </c>
      <c r="K15" s="642"/>
    </row>
    <row r="16" spans="1:11" ht="12.75">
      <c r="A16" s="620" t="s">
        <v>986</v>
      </c>
      <c r="B16" s="784">
        <v>0</v>
      </c>
      <c r="C16" s="620" t="s">
        <v>986</v>
      </c>
      <c r="D16" s="784">
        <v>0</v>
      </c>
      <c r="E16" s="620" t="s">
        <v>986</v>
      </c>
      <c r="F16" s="784">
        <v>0</v>
      </c>
      <c r="G16" s="620" t="s">
        <v>61</v>
      </c>
      <c r="H16" s="641">
        <v>550</v>
      </c>
      <c r="I16" s="620" t="s">
        <v>986</v>
      </c>
      <c r="J16" s="784">
        <v>89461</v>
      </c>
      <c r="K16" s="642"/>
    </row>
    <row r="17" spans="1:11" ht="12.75">
      <c r="A17" s="621"/>
      <c r="B17" s="784"/>
      <c r="C17" s="621"/>
      <c r="D17" s="784"/>
      <c r="E17" s="621"/>
      <c r="F17" s="784"/>
      <c r="G17" s="620" t="s">
        <v>986</v>
      </c>
      <c r="H17" s="641">
        <v>0</v>
      </c>
      <c r="I17" s="621"/>
      <c r="J17" s="784"/>
      <c r="K17" s="642"/>
    </row>
    <row r="18" spans="1:11" ht="12.75">
      <c r="A18" s="624" t="s">
        <v>149</v>
      </c>
      <c r="B18" s="793">
        <f>SUM(B9:B17)</f>
        <v>480910</v>
      </c>
      <c r="C18" s="624" t="s">
        <v>149</v>
      </c>
      <c r="D18" s="785">
        <f>SUM(D9:D17)</f>
        <v>2638009</v>
      </c>
      <c r="E18" s="624" t="s">
        <v>149</v>
      </c>
      <c r="F18" s="791">
        <f>SUM(F9:F17)</f>
        <v>2639288</v>
      </c>
      <c r="G18" s="624" t="s">
        <v>149</v>
      </c>
      <c r="H18" s="635">
        <f>SUM(H9:H17)</f>
        <v>604618</v>
      </c>
      <c r="I18" s="624" t="s">
        <v>149</v>
      </c>
      <c r="J18" s="785">
        <f>SUM(J9:J17)</f>
        <v>2673898</v>
      </c>
      <c r="K18" s="635">
        <f>SUM(B18+D18+F18+H18+J18)</f>
        <v>9036723</v>
      </c>
    </row>
    <row r="19" spans="1:11" ht="12.75">
      <c r="A19" s="624" t="s">
        <v>150</v>
      </c>
      <c r="B19" s="793">
        <f>SUM(B7+B18)</f>
        <v>535982</v>
      </c>
      <c r="C19" s="624" t="s">
        <v>150</v>
      </c>
      <c r="D19" s="785">
        <f>SUM(D7+D18)</f>
        <v>3250971</v>
      </c>
      <c r="E19" s="624" t="s">
        <v>150</v>
      </c>
      <c r="F19" s="785">
        <f>SUM(F7+F18)</f>
        <v>2736633</v>
      </c>
      <c r="G19" s="624" t="s">
        <v>150</v>
      </c>
      <c r="H19" s="635">
        <f>SUM(H7+H18)</f>
        <v>1106617</v>
      </c>
      <c r="I19" s="624" t="s">
        <v>150</v>
      </c>
      <c r="J19" s="785">
        <f>SUM(J7+J18)</f>
        <v>2822944</v>
      </c>
      <c r="K19" s="635">
        <f>SUM(B19+D19+F19+H19+J19)</f>
        <v>10453147</v>
      </c>
    </row>
    <row r="20" spans="1:11" ht="12.75">
      <c r="A20" s="624" t="s">
        <v>153</v>
      </c>
      <c r="B20" s="780"/>
      <c r="C20" s="624" t="s">
        <v>153</v>
      </c>
      <c r="D20" s="780"/>
      <c r="E20" s="624" t="s">
        <v>153</v>
      </c>
      <c r="F20" s="780"/>
      <c r="G20" s="624" t="s">
        <v>153</v>
      </c>
      <c r="H20" s="624"/>
      <c r="I20" s="624" t="s">
        <v>153</v>
      </c>
      <c r="J20" s="781"/>
      <c r="K20" s="623"/>
    </row>
    <row r="21" spans="1:11" ht="12.75">
      <c r="A21" s="779" t="s">
        <v>893</v>
      </c>
      <c r="B21" s="784">
        <v>0</v>
      </c>
      <c r="C21" s="779" t="s">
        <v>893</v>
      </c>
      <c r="D21" s="784">
        <v>740493</v>
      </c>
      <c r="E21" s="779" t="s">
        <v>893</v>
      </c>
      <c r="F21" s="784">
        <v>2223843</v>
      </c>
      <c r="G21" s="779" t="s">
        <v>893</v>
      </c>
      <c r="H21" s="641">
        <v>433752</v>
      </c>
      <c r="I21" s="779" t="s">
        <v>893</v>
      </c>
      <c r="J21" s="784">
        <v>868612</v>
      </c>
      <c r="K21" s="642"/>
    </row>
    <row r="22" spans="1:11" ht="12.75">
      <c r="A22" s="620" t="s">
        <v>987</v>
      </c>
      <c r="B22" s="784">
        <v>56834</v>
      </c>
      <c r="C22" s="620" t="s">
        <v>987</v>
      </c>
      <c r="D22" s="784">
        <v>1150743</v>
      </c>
      <c r="E22" s="620" t="s">
        <v>987</v>
      </c>
      <c r="F22" s="784">
        <v>207168</v>
      </c>
      <c r="G22" s="620" t="s">
        <v>987</v>
      </c>
      <c r="H22" s="641">
        <v>466813</v>
      </c>
      <c r="I22" s="620" t="s">
        <v>987</v>
      </c>
      <c r="J22" s="784">
        <v>1379674</v>
      </c>
      <c r="K22" s="642"/>
    </row>
    <row r="23" spans="1:11" ht="12.75">
      <c r="A23" s="620" t="s">
        <v>988</v>
      </c>
      <c r="B23" s="784">
        <v>21875</v>
      </c>
      <c r="C23" s="620" t="s">
        <v>988</v>
      </c>
      <c r="D23" s="784">
        <v>573421</v>
      </c>
      <c r="E23" s="620" t="s">
        <v>988</v>
      </c>
      <c r="F23" s="784">
        <v>100820</v>
      </c>
      <c r="G23" s="620" t="s">
        <v>988</v>
      </c>
      <c r="H23" s="641">
        <v>12598</v>
      </c>
      <c r="I23" s="620" t="s">
        <v>988</v>
      </c>
      <c r="J23" s="784">
        <v>953202</v>
      </c>
      <c r="K23" s="642"/>
    </row>
    <row r="24" spans="1:11" ht="12.75">
      <c r="A24" s="620" t="s">
        <v>897</v>
      </c>
      <c r="B24" s="784">
        <v>229307</v>
      </c>
      <c r="C24" s="620" t="s">
        <v>897</v>
      </c>
      <c r="D24" s="784">
        <v>0</v>
      </c>
      <c r="E24" s="620" t="s">
        <v>897</v>
      </c>
      <c r="F24" s="784">
        <v>43920</v>
      </c>
      <c r="G24" s="620" t="s">
        <v>897</v>
      </c>
      <c r="H24" s="641">
        <v>15002</v>
      </c>
      <c r="I24" s="620" t="s">
        <v>897</v>
      </c>
      <c r="J24" s="784">
        <v>1070015</v>
      </c>
      <c r="K24" s="642"/>
    </row>
    <row r="25" spans="1:11" ht="12.75">
      <c r="A25" s="620" t="s">
        <v>989</v>
      </c>
      <c r="B25" s="784">
        <v>0</v>
      </c>
      <c r="C25" s="620" t="s">
        <v>989</v>
      </c>
      <c r="D25" s="784">
        <v>0</v>
      </c>
      <c r="E25" s="620" t="s">
        <v>989</v>
      </c>
      <c r="F25" s="784">
        <v>0</v>
      </c>
      <c r="G25" s="620" t="s">
        <v>989</v>
      </c>
      <c r="H25" s="641">
        <v>0</v>
      </c>
      <c r="I25" s="620" t="s">
        <v>989</v>
      </c>
      <c r="J25" s="784">
        <v>1977</v>
      </c>
      <c r="K25" s="642"/>
    </row>
    <row r="26" spans="1:11" ht="12.75">
      <c r="A26" s="620" t="s">
        <v>990</v>
      </c>
      <c r="B26" s="784">
        <v>0</v>
      </c>
      <c r="C26" s="620" t="s">
        <v>990</v>
      </c>
      <c r="D26" s="784">
        <v>0</v>
      </c>
      <c r="E26" s="620" t="s">
        <v>990</v>
      </c>
      <c r="F26" s="784">
        <v>172136</v>
      </c>
      <c r="G26" s="620" t="s">
        <v>990</v>
      </c>
      <c r="H26" s="641">
        <v>0</v>
      </c>
      <c r="I26" s="620" t="s">
        <v>990</v>
      </c>
      <c r="J26" s="784">
        <v>89461</v>
      </c>
      <c r="K26" s="642"/>
    </row>
    <row r="27" spans="1:11" ht="12.75">
      <c r="A27" s="621" t="s">
        <v>160</v>
      </c>
      <c r="B27" s="784">
        <v>0</v>
      </c>
      <c r="C27" s="621" t="s">
        <v>160</v>
      </c>
      <c r="D27" s="784">
        <v>0</v>
      </c>
      <c r="E27" s="621" t="s">
        <v>160</v>
      </c>
      <c r="F27" s="784">
        <v>0</v>
      </c>
      <c r="G27" s="621" t="s">
        <v>160</v>
      </c>
      <c r="H27" s="641">
        <v>0</v>
      </c>
      <c r="I27" s="621" t="s">
        <v>160</v>
      </c>
      <c r="J27" s="784">
        <v>150000</v>
      </c>
      <c r="K27" s="642"/>
    </row>
    <row r="28" spans="1:11" ht="12.75">
      <c r="A28" s="621"/>
      <c r="B28" s="784"/>
      <c r="C28" s="645"/>
      <c r="D28" s="784"/>
      <c r="E28" s="645"/>
      <c r="F28" s="784"/>
      <c r="G28" s="645"/>
      <c r="H28" s="641"/>
      <c r="I28" s="645"/>
      <c r="J28" s="784"/>
      <c r="K28" s="642"/>
    </row>
    <row r="29" spans="1:11" ht="12.75">
      <c r="A29" s="621"/>
      <c r="B29" s="784"/>
      <c r="C29" s="621"/>
      <c r="D29" s="784"/>
      <c r="E29" s="621"/>
      <c r="F29" s="784"/>
      <c r="G29" s="645"/>
      <c r="H29" s="641"/>
      <c r="I29" s="645"/>
      <c r="J29" s="784"/>
      <c r="K29" s="642"/>
    </row>
    <row r="30" spans="1:11" ht="12.75">
      <c r="A30" s="624" t="s">
        <v>154</v>
      </c>
      <c r="B30" s="785">
        <f>SUM(B21:B29)</f>
        <v>308016</v>
      </c>
      <c r="C30" s="624" t="s">
        <v>154</v>
      </c>
      <c r="D30" s="785">
        <f>SUM(D21:D29)</f>
        <v>2464657</v>
      </c>
      <c r="E30" s="624" t="s">
        <v>154</v>
      </c>
      <c r="F30" s="791">
        <f>SUM(F21:F29)</f>
        <v>2747887</v>
      </c>
      <c r="G30" s="624" t="s">
        <v>154</v>
      </c>
      <c r="H30" s="636">
        <f>SUM(H21:H29)</f>
        <v>928165</v>
      </c>
      <c r="I30" s="624" t="s">
        <v>154</v>
      </c>
      <c r="J30" s="785">
        <f>SUM(J21:J29)</f>
        <v>4512941</v>
      </c>
      <c r="K30" s="635">
        <f>SUM(B30+D30+F30+H30+J30)</f>
        <v>10961666</v>
      </c>
    </row>
    <row r="31" spans="1:12" ht="12.75">
      <c r="A31" s="624" t="s">
        <v>17</v>
      </c>
      <c r="B31" s="785">
        <f>B19-B30</f>
        <v>227966</v>
      </c>
      <c r="C31" s="624" t="s">
        <v>17</v>
      </c>
      <c r="D31" s="785">
        <f>D19-D30</f>
        <v>786314</v>
      </c>
      <c r="E31" s="624" t="s">
        <v>17</v>
      </c>
      <c r="F31" s="785">
        <f>F19-F30</f>
        <v>-11254</v>
      </c>
      <c r="G31" s="624" t="s">
        <v>17</v>
      </c>
      <c r="H31" s="635">
        <f>H19-H30</f>
        <v>178452</v>
      </c>
      <c r="I31" s="624" t="s">
        <v>17</v>
      </c>
      <c r="J31" s="785">
        <f>J19-J30</f>
        <v>-1689997</v>
      </c>
      <c r="K31" s="637">
        <f>SUM(B31+D31+F31+H31+J31)</f>
        <v>-508519</v>
      </c>
      <c r="L31" s="564" t="s">
        <v>49</v>
      </c>
    </row>
    <row r="32" spans="1:12" ht="12.75">
      <c r="A32" s="624"/>
      <c r="B32" s="786">
        <f>IF(B31&lt;0,"See Tab B","")</f>
      </c>
      <c r="C32" s="624"/>
      <c r="D32" s="786">
        <f>IF(D31&lt;0,"See Tab B","")</f>
      </c>
      <c r="E32" s="624"/>
      <c r="F32" s="786" t="str">
        <f>IF(F31&lt;0,"See Tab B","")</f>
        <v>See Tab B</v>
      </c>
      <c r="G32" s="624"/>
      <c r="H32" s="638">
        <f>IF(H31&lt;0,"See Tab B","")</f>
      </c>
      <c r="I32" s="624"/>
      <c r="J32" s="786" t="str">
        <f>IF(J31&lt;0,"See Tab B","")</f>
        <v>See Tab B</v>
      </c>
      <c r="K32" s="637">
        <f>SUM(K7+K18-K30)</f>
        <v>-508519</v>
      </c>
      <c r="L32" s="564" t="s">
        <v>49</v>
      </c>
    </row>
    <row r="33" spans="1:11" ht="12.75">
      <c r="A33" s="624"/>
      <c r="B33" s="781"/>
      <c r="C33" s="624"/>
      <c r="D33" s="780"/>
      <c r="E33" s="624"/>
      <c r="F33" s="781"/>
      <c r="G33" s="639" t="s">
        <v>50</v>
      </c>
      <c r="H33" s="639"/>
      <c r="I33" s="639"/>
      <c r="J33" s="792"/>
      <c r="K33" s="624"/>
    </row>
    <row r="34" spans="1:11" ht="12.75">
      <c r="A34" s="624"/>
      <c r="B34" s="781"/>
      <c r="C34" s="624"/>
      <c r="D34" s="781"/>
      <c r="E34" s="624"/>
      <c r="F34" s="781"/>
      <c r="G34" s="624"/>
      <c r="H34" s="624"/>
      <c r="I34" s="624"/>
      <c r="J34" s="781"/>
      <c r="K34" s="624"/>
    </row>
    <row r="35" spans="1:11" ht="12.75">
      <c r="A35" s="624"/>
      <c r="B35" s="781"/>
      <c r="C35" s="624"/>
      <c r="D35" s="781"/>
      <c r="E35" s="640"/>
      <c r="F35" s="781"/>
      <c r="G35" s="624"/>
      <c r="H35" s="624"/>
      <c r="I35" s="624"/>
      <c r="J35" s="781"/>
      <c r="K35" s="624"/>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68" r:id="rId1"/>
  <headerFooter alignWithMargins="0">
    <oddHeader>&amp;RState of Kansas
County</oddHeader>
    <oddFooter>&amp;C&amp;"Arial,Regular"&amp;11WY-&amp;P</oddFooter>
  </headerFooter>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L33"/>
  <sheetViews>
    <sheetView zoomScale="90" zoomScaleNormal="90" zoomScalePageLayoutView="0" workbookViewId="0" topLeftCell="A1">
      <selection activeCell="C32" sqref="C32"/>
    </sheetView>
  </sheetViews>
  <sheetFormatPr defaultColWidth="8.796875" defaultRowHeight="15"/>
  <cols>
    <col min="1" max="1" width="16.09765625" style="564" customWidth="1"/>
    <col min="2" max="2" width="11.59765625" style="788" customWidth="1"/>
    <col min="3" max="3" width="11.59765625" style="564" customWidth="1"/>
    <col min="4" max="4" width="7.3984375" style="564" customWidth="1"/>
    <col min="5" max="5" width="11.59765625" style="564" customWidth="1"/>
    <col min="6" max="6" width="7.3984375" style="564" customWidth="1"/>
    <col min="7" max="7" width="11.59765625" style="564" customWidth="1"/>
    <col min="8" max="8" width="7.3984375" style="564" customWidth="1"/>
    <col min="9" max="9" width="11.59765625" style="564" customWidth="1"/>
    <col min="10" max="16384" width="8.8984375" style="564" customWidth="1"/>
  </cols>
  <sheetData>
    <row r="1" spans="1:11" ht="12.75">
      <c r="A1" s="622" t="str">
        <f>inputPrYr!$C$2</f>
        <v>Wyandotte County</v>
      </c>
      <c r="B1" s="780"/>
      <c r="C1" s="624"/>
      <c r="D1" s="624"/>
      <c r="E1" s="624"/>
      <c r="F1" s="625" t="s">
        <v>18</v>
      </c>
      <c r="G1" s="624"/>
      <c r="H1" s="624"/>
      <c r="I1" s="624"/>
      <c r="J1" s="624"/>
      <c r="K1" s="624">
        <f>inputPrYr!$C$4</f>
        <v>2013</v>
      </c>
    </row>
    <row r="2" spans="1:11" ht="12.75">
      <c r="A2" s="624"/>
      <c r="B2" s="781"/>
      <c r="C2" s="624"/>
      <c r="D2" s="624"/>
      <c r="E2" s="624"/>
      <c r="F2" s="626" t="str">
        <f>CONCATENATE("(Only the actual budget year for ",K1-2," is to be shown)")</f>
        <v>(Only the actual budget year for 2011 is to be shown)</v>
      </c>
      <c r="G2" s="624"/>
      <c r="H2" s="624"/>
      <c r="I2" s="624"/>
      <c r="J2" s="624"/>
      <c r="K2" s="624"/>
    </row>
    <row r="3" spans="1:11" ht="12.75">
      <c r="A3" s="624" t="s">
        <v>19</v>
      </c>
      <c r="B3" s="781"/>
      <c r="C3" s="624"/>
      <c r="D3" s="624"/>
      <c r="E3" s="624"/>
      <c r="F3" s="623"/>
      <c r="G3" s="624"/>
      <c r="H3" s="624"/>
      <c r="I3" s="624"/>
      <c r="J3" s="624"/>
      <c r="K3" s="624"/>
    </row>
    <row r="4" spans="1:11" ht="12.75">
      <c r="A4" s="624" t="s">
        <v>11</v>
      </c>
      <c r="B4" s="781"/>
      <c r="C4" s="624" t="s">
        <v>12</v>
      </c>
      <c r="D4" s="624"/>
      <c r="E4" s="624" t="s">
        <v>13</v>
      </c>
      <c r="F4" s="623"/>
      <c r="G4" s="624" t="s">
        <v>14</v>
      </c>
      <c r="H4" s="624"/>
      <c r="I4" s="624" t="s">
        <v>15</v>
      </c>
      <c r="J4" s="624"/>
      <c r="K4" s="624"/>
    </row>
    <row r="5" spans="1:11" ht="12.75">
      <c r="A5" s="904" t="str">
        <f>IF(inputPrYr!B39&gt;" ",(inputPrYr!B39)," ")</f>
        <v>Health Grants</v>
      </c>
      <c r="B5" s="905"/>
      <c r="C5" s="904" t="str">
        <f>IF(inputPrYr!B40&gt;" ",(inputPrYr!B40)," ")</f>
        <v> </v>
      </c>
      <c r="D5" s="905"/>
      <c r="E5" s="904" t="str">
        <f>IF(inputPrYr!B41&gt;" ",(inputPrYr!B41)," ")</f>
        <v> </v>
      </c>
      <c r="F5" s="905"/>
      <c r="G5" s="904" t="str">
        <f>IF(inputPrYr!B42&gt;" ",(inputPrYr!B42)," ")</f>
        <v> </v>
      </c>
      <c r="H5" s="905"/>
      <c r="I5" s="904" t="str">
        <f>IF(inputPrYr!B43&gt;" ",(inputPrYr!B43)," ")</f>
        <v> </v>
      </c>
      <c r="J5" s="905"/>
      <c r="K5" s="628"/>
    </row>
    <row r="6" spans="1:11" ht="12.75">
      <c r="A6" s="629" t="s">
        <v>16</v>
      </c>
      <c r="B6" s="782"/>
      <c r="C6" s="630" t="s">
        <v>16</v>
      </c>
      <c r="D6" s="631"/>
      <c r="E6" s="630" t="s">
        <v>16</v>
      </c>
      <c r="F6" s="627"/>
      <c r="G6" s="630" t="s">
        <v>16</v>
      </c>
      <c r="H6" s="632"/>
      <c r="I6" s="630" t="s">
        <v>16</v>
      </c>
      <c r="J6" s="624"/>
      <c r="K6" s="631" t="s">
        <v>117</v>
      </c>
    </row>
    <row r="7" spans="1:11" ht="12.75">
      <c r="A7" s="633" t="s">
        <v>72</v>
      </c>
      <c r="B7" s="783">
        <v>-959161</v>
      </c>
      <c r="C7" s="628" t="s">
        <v>72</v>
      </c>
      <c r="D7" s="634"/>
      <c r="E7" s="628" t="s">
        <v>72</v>
      </c>
      <c r="F7" s="634"/>
      <c r="G7" s="628" t="s">
        <v>72</v>
      </c>
      <c r="H7" s="634"/>
      <c r="I7" s="628" t="s">
        <v>72</v>
      </c>
      <c r="J7" s="634"/>
      <c r="K7" s="635">
        <f>SUM(B7+D7+F7+H7+J7)</f>
        <v>-959161</v>
      </c>
    </row>
    <row r="8" spans="1:11" ht="12.75">
      <c r="A8" s="624" t="s">
        <v>248</v>
      </c>
      <c r="B8" s="780"/>
      <c r="C8" s="624" t="s">
        <v>248</v>
      </c>
      <c r="D8" s="623"/>
      <c r="E8" s="624" t="s">
        <v>248</v>
      </c>
      <c r="F8" s="623"/>
      <c r="G8" s="624" t="s">
        <v>248</v>
      </c>
      <c r="H8" s="624"/>
      <c r="I8" s="624" t="s">
        <v>248</v>
      </c>
      <c r="J8" s="624"/>
      <c r="K8" s="623"/>
    </row>
    <row r="9" spans="1:11" ht="12.75">
      <c r="A9" s="620" t="s">
        <v>982</v>
      </c>
      <c r="B9" s="784">
        <v>4182253</v>
      </c>
      <c r="C9" s="621"/>
      <c r="D9" s="641"/>
      <c r="E9" s="621"/>
      <c r="F9" s="641"/>
      <c r="G9" s="621"/>
      <c r="H9" s="641"/>
      <c r="I9" s="621"/>
      <c r="J9" s="641"/>
      <c r="K9" s="642"/>
    </row>
    <row r="10" spans="1:11" ht="12.75">
      <c r="A10" s="620" t="s">
        <v>983</v>
      </c>
      <c r="B10" s="784">
        <v>0</v>
      </c>
      <c r="C10" s="621"/>
      <c r="D10" s="641"/>
      <c r="E10" s="621"/>
      <c r="F10" s="641"/>
      <c r="G10" s="621"/>
      <c r="H10" s="641"/>
      <c r="I10" s="621"/>
      <c r="J10" s="641"/>
      <c r="K10" s="642"/>
    </row>
    <row r="11" spans="1:11" ht="12.75">
      <c r="A11" s="620" t="s">
        <v>984</v>
      </c>
      <c r="B11" s="784">
        <v>0</v>
      </c>
      <c r="C11" s="643"/>
      <c r="D11" s="641"/>
      <c r="E11" s="643"/>
      <c r="F11" s="641"/>
      <c r="G11" s="643"/>
      <c r="H11" s="641"/>
      <c r="I11" s="644"/>
      <c r="J11" s="641"/>
      <c r="K11" s="642"/>
    </row>
    <row r="12" spans="1:11" ht="12.75">
      <c r="A12" s="620" t="s">
        <v>955</v>
      </c>
      <c r="B12" s="784">
        <v>0</v>
      </c>
      <c r="C12" s="621"/>
      <c r="D12" s="641"/>
      <c r="E12" s="645"/>
      <c r="F12" s="641"/>
      <c r="G12" s="645"/>
      <c r="H12" s="641"/>
      <c r="I12" s="645"/>
      <c r="J12" s="641"/>
      <c r="K12" s="642"/>
    </row>
    <row r="13" spans="1:11" ht="12.75">
      <c r="A13" s="620" t="s">
        <v>985</v>
      </c>
      <c r="B13" s="784">
        <v>0</v>
      </c>
      <c r="C13" s="646"/>
      <c r="D13" s="641"/>
      <c r="E13" s="646"/>
      <c r="F13" s="641"/>
      <c r="G13" s="646"/>
      <c r="H13" s="641"/>
      <c r="I13" s="644"/>
      <c r="J13" s="641"/>
      <c r="K13" s="642"/>
    </row>
    <row r="14" spans="1:11" ht="12.75">
      <c r="A14" s="620" t="s">
        <v>61</v>
      </c>
      <c r="B14" s="784">
        <v>623349</v>
      </c>
      <c r="C14" s="645"/>
      <c r="D14" s="641"/>
      <c r="E14" s="645"/>
      <c r="F14" s="641"/>
      <c r="G14" s="645"/>
      <c r="H14" s="641"/>
      <c r="I14" s="645"/>
      <c r="J14" s="641"/>
      <c r="K14" s="642"/>
    </row>
    <row r="15" spans="1:11" ht="12.75">
      <c r="A15" s="620" t="s">
        <v>986</v>
      </c>
      <c r="B15" s="784">
        <v>0</v>
      </c>
      <c r="C15" s="645"/>
      <c r="D15" s="641"/>
      <c r="E15" s="645"/>
      <c r="F15" s="641"/>
      <c r="G15" s="645"/>
      <c r="H15" s="641"/>
      <c r="I15" s="645"/>
      <c r="J15" s="641"/>
      <c r="K15" s="642"/>
    </row>
    <row r="16" spans="1:11" ht="12.75">
      <c r="A16" s="621"/>
      <c r="B16" s="784"/>
      <c r="C16" s="621"/>
      <c r="D16" s="641"/>
      <c r="E16" s="621"/>
      <c r="F16" s="641"/>
      <c r="G16" s="645"/>
      <c r="H16" s="641"/>
      <c r="I16" s="621"/>
      <c r="J16" s="641"/>
      <c r="K16" s="642"/>
    </row>
    <row r="17" spans="1:11" ht="12.75">
      <c r="A17" s="624" t="s">
        <v>149</v>
      </c>
      <c r="B17" s="785">
        <f>SUM(B9:B16)</f>
        <v>4805602</v>
      </c>
      <c r="C17" s="624" t="s">
        <v>149</v>
      </c>
      <c r="D17" s="635">
        <f>SUM(D9:D16)</f>
        <v>0</v>
      </c>
      <c r="E17" s="624" t="s">
        <v>149</v>
      </c>
      <c r="F17" s="636">
        <f>SUM(F9:F16)</f>
        <v>0</v>
      </c>
      <c r="G17" s="624" t="s">
        <v>149</v>
      </c>
      <c r="H17" s="635">
        <f>SUM(H9:H16)</f>
        <v>0</v>
      </c>
      <c r="I17" s="624" t="s">
        <v>149</v>
      </c>
      <c r="J17" s="635">
        <f>SUM(J9:J16)</f>
        <v>0</v>
      </c>
      <c r="K17" s="635">
        <f>SUM(B17+D17+F17+H17+J17)</f>
        <v>4805602</v>
      </c>
    </row>
    <row r="18" spans="1:11" ht="12.75">
      <c r="A18" s="624" t="s">
        <v>150</v>
      </c>
      <c r="B18" s="785">
        <f>SUM(B7+B17)</f>
        <v>3846441</v>
      </c>
      <c r="C18" s="624" t="s">
        <v>150</v>
      </c>
      <c r="D18" s="635">
        <f>SUM(D7+D17)</f>
        <v>0</v>
      </c>
      <c r="E18" s="624" t="s">
        <v>150</v>
      </c>
      <c r="F18" s="635">
        <f>SUM(F7+F17)</f>
        <v>0</v>
      </c>
      <c r="G18" s="624" t="s">
        <v>150</v>
      </c>
      <c r="H18" s="635">
        <f>SUM(H7+H17)</f>
        <v>0</v>
      </c>
      <c r="I18" s="624" t="s">
        <v>150</v>
      </c>
      <c r="J18" s="635">
        <f>SUM(J7+J17)</f>
        <v>0</v>
      </c>
      <c r="K18" s="635">
        <f>SUM(B18+D18+F18+H18+J18)</f>
        <v>3846441</v>
      </c>
    </row>
    <row r="19" spans="1:11" ht="12.75">
      <c r="A19" s="624" t="s">
        <v>153</v>
      </c>
      <c r="B19" s="780"/>
      <c r="C19" s="624" t="s">
        <v>153</v>
      </c>
      <c r="D19" s="623"/>
      <c r="E19" s="624" t="s">
        <v>153</v>
      </c>
      <c r="F19" s="623"/>
      <c r="G19" s="624" t="s">
        <v>153</v>
      </c>
      <c r="H19" s="624"/>
      <c r="I19" s="624" t="s">
        <v>153</v>
      </c>
      <c r="J19" s="624"/>
      <c r="K19" s="623"/>
    </row>
    <row r="20" spans="1:11" ht="12.75">
      <c r="A20" s="620" t="s">
        <v>987</v>
      </c>
      <c r="B20" s="784">
        <v>1268003</v>
      </c>
      <c r="C20" s="645"/>
      <c r="D20" s="641"/>
      <c r="E20" s="645"/>
      <c r="F20" s="641"/>
      <c r="G20" s="645"/>
      <c r="H20" s="641"/>
      <c r="I20" s="645"/>
      <c r="J20" s="641"/>
      <c r="K20" s="642"/>
    </row>
    <row r="21" spans="1:11" ht="12.75">
      <c r="A21" s="620" t="s">
        <v>988</v>
      </c>
      <c r="B21" s="784">
        <v>359880</v>
      </c>
      <c r="C21" s="645"/>
      <c r="D21" s="641"/>
      <c r="E21" s="645"/>
      <c r="F21" s="641"/>
      <c r="G21" s="645"/>
      <c r="H21" s="641"/>
      <c r="I21" s="645"/>
      <c r="J21" s="641"/>
      <c r="K21" s="642"/>
    </row>
    <row r="22" spans="1:11" ht="12.75">
      <c r="A22" s="620" t="s">
        <v>897</v>
      </c>
      <c r="B22" s="784">
        <v>0</v>
      </c>
      <c r="C22" s="646"/>
      <c r="D22" s="641"/>
      <c r="E22" s="646"/>
      <c r="F22" s="641"/>
      <c r="G22" s="646"/>
      <c r="H22" s="641"/>
      <c r="I22" s="644"/>
      <c r="J22" s="641"/>
      <c r="K22" s="642"/>
    </row>
    <row r="23" spans="1:11" ht="12.75">
      <c r="A23" s="620" t="s">
        <v>989</v>
      </c>
      <c r="B23" s="784">
        <v>0</v>
      </c>
      <c r="C23" s="645"/>
      <c r="D23" s="641"/>
      <c r="E23" s="645"/>
      <c r="F23" s="641"/>
      <c r="G23" s="645"/>
      <c r="H23" s="641"/>
      <c r="I23" s="645"/>
      <c r="J23" s="641"/>
      <c r="K23" s="642"/>
    </row>
    <row r="24" spans="1:11" ht="12.75">
      <c r="A24" s="620" t="s">
        <v>990</v>
      </c>
      <c r="B24" s="784">
        <v>0</v>
      </c>
      <c r="C24" s="646"/>
      <c r="D24" s="641"/>
      <c r="E24" s="646"/>
      <c r="F24" s="641"/>
      <c r="G24" s="646"/>
      <c r="H24" s="641"/>
      <c r="I24" s="644"/>
      <c r="J24" s="641"/>
      <c r="K24" s="642"/>
    </row>
    <row r="25" spans="1:11" ht="12.75">
      <c r="A25" s="621" t="s">
        <v>893</v>
      </c>
      <c r="B25" s="784">
        <v>3279757</v>
      </c>
      <c r="C25" s="645"/>
      <c r="D25" s="641"/>
      <c r="E25" s="645"/>
      <c r="F25" s="641"/>
      <c r="G25" s="645"/>
      <c r="H25" s="641"/>
      <c r="I25" s="645"/>
      <c r="J25" s="641"/>
      <c r="K25" s="642"/>
    </row>
    <row r="26" spans="1:11" ht="12.75">
      <c r="A26" s="621"/>
      <c r="B26" s="784"/>
      <c r="C26" s="645"/>
      <c r="D26" s="641"/>
      <c r="E26" s="645"/>
      <c r="F26" s="641"/>
      <c r="G26" s="645"/>
      <c r="H26" s="641"/>
      <c r="I26" s="645"/>
      <c r="J26" s="641"/>
      <c r="K26" s="642"/>
    </row>
    <row r="27" spans="1:11" ht="12.75">
      <c r="A27" s="621"/>
      <c r="B27" s="784"/>
      <c r="C27" s="621"/>
      <c r="D27" s="641"/>
      <c r="E27" s="621"/>
      <c r="F27" s="641"/>
      <c r="G27" s="645"/>
      <c r="H27" s="641"/>
      <c r="I27" s="645"/>
      <c r="J27" s="641"/>
      <c r="K27" s="642"/>
    </row>
    <row r="28" spans="1:11" ht="12.75">
      <c r="A28" s="624" t="s">
        <v>154</v>
      </c>
      <c r="B28" s="785">
        <f>SUM(B20:B27)</f>
        <v>4907640</v>
      </c>
      <c r="C28" s="624" t="s">
        <v>154</v>
      </c>
      <c r="D28" s="635">
        <f>SUM(D20:D27)</f>
        <v>0</v>
      </c>
      <c r="E28" s="624" t="s">
        <v>154</v>
      </c>
      <c r="F28" s="636">
        <f>SUM(F20:F27)</f>
        <v>0</v>
      </c>
      <c r="G28" s="624" t="s">
        <v>154</v>
      </c>
      <c r="H28" s="636">
        <f>SUM(H20:H27)</f>
        <v>0</v>
      </c>
      <c r="I28" s="624" t="s">
        <v>154</v>
      </c>
      <c r="J28" s="635">
        <f>SUM(J20:J27)</f>
        <v>0</v>
      </c>
      <c r="K28" s="635">
        <f>SUM(B28+D28+F28+H28+J28)</f>
        <v>4907640</v>
      </c>
    </row>
    <row r="29" spans="1:12" ht="12.75">
      <c r="A29" s="624" t="s">
        <v>17</v>
      </c>
      <c r="B29" s="785">
        <f>B18-B28</f>
        <v>-1061199</v>
      </c>
      <c r="C29" s="624" t="s">
        <v>17</v>
      </c>
      <c r="D29" s="635">
        <f>D18-D28</f>
        <v>0</v>
      </c>
      <c r="E29" s="624" t="s">
        <v>17</v>
      </c>
      <c r="F29" s="635">
        <f>F18-F28</f>
        <v>0</v>
      </c>
      <c r="G29" s="624" t="s">
        <v>17</v>
      </c>
      <c r="H29" s="635">
        <f>H18-H28</f>
        <v>0</v>
      </c>
      <c r="I29" s="624" t="s">
        <v>17</v>
      </c>
      <c r="J29" s="635">
        <f>J18-J28</f>
        <v>0</v>
      </c>
      <c r="K29" s="637">
        <f>SUM(B29+D29+F29+H29+J29)</f>
        <v>-1061199</v>
      </c>
      <c r="L29" s="564" t="s">
        <v>49</v>
      </c>
    </row>
    <row r="30" spans="1:12" ht="12.75">
      <c r="A30" s="624"/>
      <c r="B30" s="786" t="str">
        <f>IF(B29&lt;0,"See Tab B","")</f>
        <v>See Tab B</v>
      </c>
      <c r="C30" s="624"/>
      <c r="D30" s="638">
        <f>IF(D29&lt;0,"See Tab B","")</f>
      </c>
      <c r="E30" s="624"/>
      <c r="F30" s="638">
        <f>IF(F29&lt;0,"See Tab B","")</f>
      </c>
      <c r="G30" s="624"/>
      <c r="H30" s="638">
        <f>IF(H29&lt;0,"See Tab B","")</f>
      </c>
      <c r="I30" s="624"/>
      <c r="J30" s="638">
        <f>IF(J29&lt;0,"See Tab B","")</f>
      </c>
      <c r="K30" s="637">
        <f>SUM(K7+K17-K28)</f>
        <v>-1061199</v>
      </c>
      <c r="L30" s="564" t="s">
        <v>49</v>
      </c>
    </row>
    <row r="31" spans="1:11" ht="12.75">
      <c r="A31" s="624"/>
      <c r="B31" s="781"/>
      <c r="C31" s="624"/>
      <c r="D31" s="623"/>
      <c r="E31" s="624"/>
      <c r="F31" s="624"/>
      <c r="G31" s="639" t="s">
        <v>50</v>
      </c>
      <c r="H31" s="639"/>
      <c r="I31" s="639"/>
      <c r="J31" s="639"/>
      <c r="K31" s="624"/>
    </row>
    <row r="32" spans="1:11" ht="12.75">
      <c r="A32" s="624"/>
      <c r="B32" s="781"/>
      <c r="C32" s="624"/>
      <c r="D32" s="624"/>
      <c r="E32" s="624"/>
      <c r="F32" s="624"/>
      <c r="G32" s="624"/>
      <c r="H32" s="624"/>
      <c r="I32" s="624"/>
      <c r="J32" s="624"/>
      <c r="K32" s="624"/>
    </row>
    <row r="33" spans="2:6" s="648" customFormat="1" ht="12.75">
      <c r="B33" s="787"/>
      <c r="E33" s="649"/>
      <c r="F33" s="565"/>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County</oddHeader>
    <oddFooter>&amp;C&amp;"Arial,Regular"&amp;11WY-&amp;P</oddFooter>
  </headerFooter>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J38"/>
  <sheetViews>
    <sheetView zoomScale="85" zoomScaleNormal="85" zoomScalePageLayoutView="0" workbookViewId="0" topLeftCell="A1">
      <selection activeCell="Q32" sqref="Q32"/>
    </sheetView>
  </sheetViews>
  <sheetFormatPr defaultColWidth="8.796875" defaultRowHeight="15.75" customHeight="1"/>
  <cols>
    <col min="1" max="2" width="3.296875" style="420" customWidth="1"/>
    <col min="3" max="3" width="31.296875" style="420" customWidth="1"/>
    <col min="4" max="4" width="2.296875" style="420" customWidth="1"/>
    <col min="5" max="5" width="15.796875" style="420" customWidth="1"/>
    <col min="6" max="6" width="2" style="420" customWidth="1"/>
    <col min="7" max="7" width="15.796875" style="420" customWidth="1"/>
    <col min="8" max="8" width="1.8984375" style="420" customWidth="1"/>
    <col min="9" max="9" width="1.796875" style="420" customWidth="1"/>
    <col min="10" max="10" width="15.796875" style="420" customWidth="1"/>
    <col min="11" max="16384" width="8.8984375" style="420" customWidth="1"/>
  </cols>
  <sheetData>
    <row r="1" spans="1:10" ht="15.75" customHeight="1">
      <c r="A1" s="418"/>
      <c r="B1" s="418"/>
      <c r="C1" s="417" t="s">
        <v>995</v>
      </c>
      <c r="D1" s="418"/>
      <c r="E1" s="418"/>
      <c r="F1" s="418"/>
      <c r="G1" s="418"/>
      <c r="H1" s="418"/>
      <c r="I1" s="418"/>
      <c r="J1" s="418">
        <f>inputPrYr!C4</f>
        <v>2013</v>
      </c>
    </row>
    <row r="2" spans="1:10" ht="15.75" customHeight="1">
      <c r="A2" s="418"/>
      <c r="B2" s="418"/>
      <c r="C2" s="418"/>
      <c r="D2" s="418"/>
      <c r="E2" s="418"/>
      <c r="F2" s="418"/>
      <c r="G2" s="418"/>
      <c r="H2" s="418"/>
      <c r="I2" s="418"/>
      <c r="J2" s="418"/>
    </row>
    <row r="3" spans="1:10" ht="15">
      <c r="A3" s="841" t="str">
        <f>CONCATENATE("Computation to Determine Limit for ",J1,"")</f>
        <v>Computation to Determine Limit for 2013</v>
      </c>
      <c r="B3" s="852"/>
      <c r="C3" s="852"/>
      <c r="D3" s="852"/>
      <c r="E3" s="852"/>
      <c r="F3" s="852"/>
      <c r="G3" s="852"/>
      <c r="H3" s="852"/>
      <c r="I3" s="852"/>
      <c r="J3" s="852"/>
    </row>
    <row r="4" spans="1:10" ht="15">
      <c r="A4" s="418"/>
      <c r="B4" s="418"/>
      <c r="C4" s="418"/>
      <c r="D4" s="418"/>
      <c r="E4" s="852"/>
      <c r="F4" s="852"/>
      <c r="G4" s="852"/>
      <c r="H4" s="655"/>
      <c r="I4" s="418"/>
      <c r="J4" s="656" t="s">
        <v>212</v>
      </c>
    </row>
    <row r="5" spans="1:10" ht="14.25">
      <c r="A5" s="657" t="s">
        <v>213</v>
      </c>
      <c r="B5" s="418" t="str">
        <f>CONCATENATE("Total Tax Levy Amount in ",J1-1," Budget")</f>
        <v>Total Tax Levy Amount in 2012 Budget</v>
      </c>
      <c r="C5" s="418"/>
      <c r="D5" s="418"/>
      <c r="E5" s="614"/>
      <c r="F5" s="614"/>
      <c r="G5" s="614"/>
      <c r="H5" s="658" t="s">
        <v>214</v>
      </c>
      <c r="I5" s="614" t="s">
        <v>215</v>
      </c>
      <c r="J5" s="659">
        <v>1761691</v>
      </c>
    </row>
    <row r="6" spans="1:10" ht="14.25">
      <c r="A6" s="657" t="s">
        <v>216</v>
      </c>
      <c r="B6" s="418" t="str">
        <f>CONCATENATE("Debt Service Levy in ",J1-1," Budget")</f>
        <v>Debt Service Levy in 2012 Budget</v>
      </c>
      <c r="C6" s="418"/>
      <c r="D6" s="418"/>
      <c r="E6" s="614"/>
      <c r="F6" s="614"/>
      <c r="G6" s="614"/>
      <c r="H6" s="658" t="s">
        <v>217</v>
      </c>
      <c r="I6" s="614" t="s">
        <v>215</v>
      </c>
      <c r="J6" s="660">
        <v>0</v>
      </c>
    </row>
    <row r="7" spans="1:10" ht="15">
      <c r="A7" s="657" t="s">
        <v>218</v>
      </c>
      <c r="B7" s="422" t="s">
        <v>236</v>
      </c>
      <c r="C7" s="418"/>
      <c r="D7" s="418"/>
      <c r="E7" s="614"/>
      <c r="F7" s="614"/>
      <c r="G7" s="614"/>
      <c r="H7" s="614"/>
      <c r="I7" s="614" t="s">
        <v>215</v>
      </c>
      <c r="J7" s="660">
        <f>J5-J6</f>
        <v>1761691</v>
      </c>
    </row>
    <row r="8" spans="1:10" ht="14.25">
      <c r="A8" s="418"/>
      <c r="B8" s="418"/>
      <c r="C8" s="418"/>
      <c r="D8" s="418"/>
      <c r="E8" s="614"/>
      <c r="F8" s="614"/>
      <c r="G8" s="614"/>
      <c r="H8" s="614"/>
      <c r="I8" s="614"/>
      <c r="J8" s="614"/>
    </row>
    <row r="9" spans="1:10" ht="15">
      <c r="A9" s="418"/>
      <c r="B9" s="422" t="str">
        <f>CONCATENATE("",J1-1," Valuation Information for Valuation Adjustments:")</f>
        <v>2012 Valuation Information for Valuation Adjustments:</v>
      </c>
      <c r="C9" s="418"/>
      <c r="D9" s="418"/>
      <c r="E9" s="614"/>
      <c r="F9" s="614"/>
      <c r="G9" s="614"/>
      <c r="H9" s="614"/>
      <c r="I9" s="614"/>
      <c r="J9" s="614"/>
    </row>
    <row r="10" spans="1:10" ht="15">
      <c r="A10" s="418"/>
      <c r="B10" s="418"/>
      <c r="C10" s="422"/>
      <c r="D10" s="418"/>
      <c r="E10" s="614"/>
      <c r="F10" s="614"/>
      <c r="G10" s="614"/>
      <c r="H10" s="614"/>
      <c r="I10" s="614"/>
      <c r="J10" s="614"/>
    </row>
    <row r="11" spans="1:10" ht="15">
      <c r="A11" s="657" t="s">
        <v>219</v>
      </c>
      <c r="B11" s="422" t="str">
        <f>CONCATENATE("New Improvements for ",J1-1,":")</f>
        <v>New Improvements for 2012:</v>
      </c>
      <c r="C11" s="418"/>
      <c r="D11" s="418"/>
      <c r="E11" s="658"/>
      <c r="F11" s="658" t="s">
        <v>214</v>
      </c>
      <c r="G11" s="659">
        <v>22941595</v>
      </c>
      <c r="H11" s="661"/>
      <c r="I11" s="614"/>
      <c r="J11" s="614"/>
    </row>
    <row r="12" spans="1:10" ht="14.25">
      <c r="A12" s="657"/>
      <c r="B12" s="657"/>
      <c r="C12" s="418"/>
      <c r="D12" s="418"/>
      <c r="E12" s="658"/>
      <c r="F12" s="658"/>
      <c r="G12" s="661"/>
      <c r="H12" s="661"/>
      <c r="I12" s="614"/>
      <c r="J12" s="614"/>
    </row>
    <row r="13" spans="1:10" ht="15">
      <c r="A13" s="657" t="s">
        <v>220</v>
      </c>
      <c r="B13" s="422" t="str">
        <f>CONCATENATE("Increase in Personal Property for ",J1-1,":")</f>
        <v>Increase in Personal Property for 2012:</v>
      </c>
      <c r="C13" s="418"/>
      <c r="D13" s="418"/>
      <c r="E13" s="658"/>
      <c r="F13" s="658"/>
      <c r="G13" s="661"/>
      <c r="H13" s="661"/>
      <c r="I13" s="614"/>
      <c r="J13" s="614"/>
    </row>
    <row r="14" spans="1:10" ht="14.25">
      <c r="A14" s="418"/>
      <c r="B14" s="418" t="s">
        <v>221</v>
      </c>
      <c r="C14" s="418" t="str">
        <f>CONCATENATE("Personal Property ",J1-1,"")</f>
        <v>Personal Property 2012</v>
      </c>
      <c r="D14" s="657" t="s">
        <v>214</v>
      </c>
      <c r="E14" s="659">
        <v>13900021</v>
      </c>
      <c r="F14" s="658"/>
      <c r="G14" s="614"/>
      <c r="H14" s="614"/>
      <c r="I14" s="661"/>
      <c r="J14" s="614"/>
    </row>
    <row r="15" spans="1:10" ht="14.25">
      <c r="A15" s="657"/>
      <c r="B15" s="418" t="s">
        <v>222</v>
      </c>
      <c r="C15" s="418" t="str">
        <f>CONCATENATE("Personal Property ",J1-2,"")</f>
        <v>Personal Property 2011</v>
      </c>
      <c r="D15" s="657" t="s">
        <v>217</v>
      </c>
      <c r="E15" s="660">
        <v>19103291</v>
      </c>
      <c r="F15" s="658"/>
      <c r="G15" s="661"/>
      <c r="H15" s="661"/>
      <c r="I15" s="614"/>
      <c r="J15" s="614"/>
    </row>
    <row r="16" spans="1:10" ht="14.25">
      <c r="A16" s="657"/>
      <c r="B16" s="418" t="s">
        <v>223</v>
      </c>
      <c r="C16" s="418" t="s">
        <v>237</v>
      </c>
      <c r="D16" s="418"/>
      <c r="E16" s="614"/>
      <c r="F16" s="614" t="s">
        <v>214</v>
      </c>
      <c r="G16" s="659">
        <f>IF(E14&gt;E15,E14-E15,0)</f>
        <v>0</v>
      </c>
      <c r="H16" s="661"/>
      <c r="I16" s="614"/>
      <c r="J16" s="614"/>
    </row>
    <row r="17" spans="1:10" ht="14.25">
      <c r="A17" s="657"/>
      <c r="B17" s="657"/>
      <c r="C17" s="418"/>
      <c r="D17" s="418"/>
      <c r="E17" s="614"/>
      <c r="F17" s="614"/>
      <c r="G17" s="661" t="s">
        <v>229</v>
      </c>
      <c r="H17" s="661"/>
      <c r="I17" s="614"/>
      <c r="J17" s="614"/>
    </row>
    <row r="18" spans="1:10" ht="14.25">
      <c r="A18" s="657"/>
      <c r="B18" s="657"/>
      <c r="C18" s="418"/>
      <c r="D18" s="657"/>
      <c r="E18" s="661"/>
      <c r="F18" s="614"/>
      <c r="G18" s="661"/>
      <c r="H18" s="661"/>
      <c r="I18" s="614"/>
      <c r="J18" s="614"/>
    </row>
    <row r="19" spans="1:10" ht="15">
      <c r="A19" s="657" t="s">
        <v>224</v>
      </c>
      <c r="B19" s="422" t="str">
        <f>CONCATENATE("Valuation of Property that has Changed in Use during ",J1-1,":")</f>
        <v>Valuation of Property that has Changed in Use during 2012:</v>
      </c>
      <c r="C19" s="418"/>
      <c r="D19" s="418"/>
      <c r="E19" s="614"/>
      <c r="F19" s="614"/>
      <c r="G19" s="614">
        <v>1694437</v>
      </c>
      <c r="H19" s="614"/>
      <c r="I19" s="614"/>
      <c r="J19" s="614"/>
    </row>
    <row r="20" spans="1:10" ht="14.25">
      <c r="A20" s="657"/>
      <c r="B20" s="418"/>
      <c r="C20" s="418"/>
      <c r="D20" s="657"/>
      <c r="E20" s="661"/>
      <c r="F20" s="614"/>
      <c r="G20" s="662"/>
      <c r="H20" s="661"/>
      <c r="I20" s="614"/>
      <c r="J20" s="614"/>
    </row>
    <row r="21" spans="1:10" ht="15">
      <c r="A21" s="657" t="s">
        <v>232</v>
      </c>
      <c r="B21" s="422" t="s">
        <v>994</v>
      </c>
      <c r="C21" s="418"/>
      <c r="D21" s="418"/>
      <c r="E21" s="614"/>
      <c r="F21" s="614"/>
      <c r="G21" s="659">
        <f>G11+G16+G19</f>
        <v>24636032</v>
      </c>
      <c r="H21" s="661"/>
      <c r="I21" s="614"/>
      <c r="J21" s="614"/>
    </row>
    <row r="22" spans="1:10" ht="15">
      <c r="A22" s="657"/>
      <c r="B22" s="657"/>
      <c r="C22" s="422"/>
      <c r="D22" s="418"/>
      <c r="E22" s="614"/>
      <c r="F22" s="614"/>
      <c r="G22" s="661"/>
      <c r="H22" s="661"/>
      <c r="I22" s="614"/>
      <c r="J22" s="614"/>
    </row>
    <row r="23" spans="1:10" ht="14.25">
      <c r="A23" s="657" t="s">
        <v>233</v>
      </c>
      <c r="B23" s="418" t="str">
        <f>CONCATENATE("Total Estimated Valuation July 1,",J1-1,"")</f>
        <v>Total Estimated Valuation July 1,2012</v>
      </c>
      <c r="C23" s="418"/>
      <c r="D23" s="418"/>
      <c r="E23" s="659">
        <v>364382362</v>
      </c>
      <c r="F23" s="614"/>
      <c r="G23" s="614"/>
      <c r="H23" s="614"/>
      <c r="I23" s="658"/>
      <c r="J23" s="614"/>
    </row>
    <row r="24" spans="1:10" ht="14.25">
      <c r="A24" s="657"/>
      <c r="B24" s="657"/>
      <c r="C24" s="418"/>
      <c r="D24" s="418"/>
      <c r="E24" s="661"/>
      <c r="F24" s="614"/>
      <c r="G24" s="614"/>
      <c r="H24" s="614"/>
      <c r="I24" s="658"/>
      <c r="J24" s="614"/>
    </row>
    <row r="25" spans="1:10" ht="15">
      <c r="A25" s="657" t="s">
        <v>225</v>
      </c>
      <c r="B25" s="422" t="s">
        <v>240</v>
      </c>
      <c r="C25" s="418"/>
      <c r="D25" s="418"/>
      <c r="E25" s="614"/>
      <c r="F25" s="614"/>
      <c r="G25" s="659">
        <f>E23-G21</f>
        <v>339746330</v>
      </c>
      <c r="H25" s="661"/>
      <c r="I25" s="658"/>
      <c r="J25" s="614"/>
    </row>
    <row r="26" spans="1:10" ht="15">
      <c r="A26" s="657"/>
      <c r="B26" s="657"/>
      <c r="C26" s="422"/>
      <c r="D26" s="418"/>
      <c r="E26" s="418"/>
      <c r="F26" s="418"/>
      <c r="G26" s="663"/>
      <c r="H26" s="573"/>
      <c r="I26" s="657"/>
      <c r="J26" s="418"/>
    </row>
    <row r="27" spans="1:10" ht="14.25">
      <c r="A27" s="657" t="s">
        <v>226</v>
      </c>
      <c r="B27" s="418" t="s">
        <v>239</v>
      </c>
      <c r="C27" s="418"/>
      <c r="D27" s="418"/>
      <c r="E27" s="418"/>
      <c r="F27" s="418"/>
      <c r="G27" s="664">
        <f>IF(G21&gt;0,G21/G25,0)</f>
        <v>0.07251301875725928</v>
      </c>
      <c r="H27" s="573"/>
      <c r="I27" s="418"/>
      <c r="J27" s="418"/>
    </row>
    <row r="28" spans="1:10" ht="14.25">
      <c r="A28" s="657"/>
      <c r="B28" s="657"/>
      <c r="C28" s="418"/>
      <c r="D28" s="418"/>
      <c r="E28" s="418"/>
      <c r="F28" s="418"/>
      <c r="G28" s="573"/>
      <c r="H28" s="573"/>
      <c r="I28" s="418"/>
      <c r="J28" s="418"/>
    </row>
    <row r="29" spans="1:10" ht="14.25">
      <c r="A29" s="657" t="s">
        <v>227</v>
      </c>
      <c r="B29" s="418" t="s">
        <v>238</v>
      </c>
      <c r="C29" s="418"/>
      <c r="D29" s="418"/>
      <c r="E29" s="418"/>
      <c r="F29" s="418"/>
      <c r="G29" s="573"/>
      <c r="H29" s="665" t="s">
        <v>214</v>
      </c>
      <c r="I29" s="418" t="s">
        <v>215</v>
      </c>
      <c r="J29" s="659">
        <f>ROUND(G27*J7,0)</f>
        <v>127746</v>
      </c>
    </row>
    <row r="30" spans="1:10" ht="14.25">
      <c r="A30" s="657"/>
      <c r="B30" s="657"/>
      <c r="C30" s="418"/>
      <c r="D30" s="418"/>
      <c r="E30" s="418"/>
      <c r="F30" s="418"/>
      <c r="G30" s="573"/>
      <c r="H30" s="665"/>
      <c r="I30" s="418"/>
      <c r="J30" s="661"/>
    </row>
    <row r="31" spans="1:10" ht="15.75" thickBot="1">
      <c r="A31" s="657" t="s">
        <v>228</v>
      </c>
      <c r="B31" s="422" t="s">
        <v>244</v>
      </c>
      <c r="C31" s="418"/>
      <c r="D31" s="418"/>
      <c r="E31" s="418"/>
      <c r="F31" s="418"/>
      <c r="G31" s="418"/>
      <c r="H31" s="418"/>
      <c r="I31" s="418" t="s">
        <v>215</v>
      </c>
      <c r="J31" s="666">
        <f>J7+J29</f>
        <v>1889437</v>
      </c>
    </row>
    <row r="32" spans="1:10" ht="15" thickTop="1">
      <c r="A32" s="418"/>
      <c r="B32" s="418"/>
      <c r="C32" s="418"/>
      <c r="D32" s="418"/>
      <c r="E32" s="418"/>
      <c r="F32" s="418"/>
      <c r="G32" s="418"/>
      <c r="H32" s="418"/>
      <c r="I32" s="418"/>
      <c r="J32" s="418"/>
    </row>
    <row r="33" spans="1:10" ht="15">
      <c r="A33" s="657" t="s">
        <v>242</v>
      </c>
      <c r="B33" s="422" t="str">
        <f>CONCATENATE("Debt Service Levy in this ",J1," Budget")</f>
        <v>Debt Service Levy in this 2013 Budget</v>
      </c>
      <c r="C33" s="418"/>
      <c r="D33" s="418"/>
      <c r="E33" s="418"/>
      <c r="F33" s="418"/>
      <c r="G33" s="418"/>
      <c r="H33" s="418"/>
      <c r="I33" s="418"/>
      <c r="J33" s="667">
        <v>0</v>
      </c>
    </row>
    <row r="34" spans="1:10" ht="15">
      <c r="A34" s="657"/>
      <c r="B34" s="422"/>
      <c r="C34" s="418"/>
      <c r="D34" s="418"/>
      <c r="E34" s="418"/>
      <c r="F34" s="418"/>
      <c r="G34" s="418"/>
      <c r="H34" s="418"/>
      <c r="I34" s="418"/>
      <c r="J34" s="573"/>
    </row>
    <row r="35" spans="1:10" ht="15.75" thickBot="1">
      <c r="A35" s="657" t="s">
        <v>243</v>
      </c>
      <c r="B35" s="422" t="s">
        <v>245</v>
      </c>
      <c r="C35" s="418"/>
      <c r="D35" s="418"/>
      <c r="E35" s="418"/>
      <c r="F35" s="418"/>
      <c r="G35" s="418"/>
      <c r="H35" s="418"/>
      <c r="I35" s="418"/>
      <c r="J35" s="666">
        <f>J31+J33</f>
        <v>1889437</v>
      </c>
    </row>
    <row r="36" spans="1:10" ht="15" thickTop="1">
      <c r="A36" s="418"/>
      <c r="B36" s="418"/>
      <c r="C36" s="418"/>
      <c r="D36" s="418"/>
      <c r="E36" s="418"/>
      <c r="F36" s="418"/>
      <c r="G36" s="418"/>
      <c r="H36" s="418"/>
      <c r="I36" s="418"/>
      <c r="J36" s="418"/>
    </row>
    <row r="37" spans="1:10" ht="14.25">
      <c r="A37" s="849" t="str">
        <f>CONCATENATE("If the ",J1," budget includes tax levies exceeding the total on line 14, you must")</f>
        <v>If the 2013 budget includes tax levies exceeding the total on line 14, you must</v>
      </c>
      <c r="B37" s="849"/>
      <c r="C37" s="849"/>
      <c r="D37" s="849"/>
      <c r="E37" s="849"/>
      <c r="F37" s="849"/>
      <c r="G37" s="849"/>
      <c r="H37" s="849"/>
      <c r="I37" s="849"/>
      <c r="J37" s="849"/>
    </row>
    <row r="38" spans="1:10" ht="14.25">
      <c r="A38" s="849" t="s">
        <v>241</v>
      </c>
      <c r="B38" s="849"/>
      <c r="C38" s="849"/>
      <c r="D38" s="849"/>
      <c r="E38" s="849"/>
      <c r="F38" s="849"/>
      <c r="G38" s="849"/>
      <c r="H38" s="849"/>
      <c r="I38" s="849"/>
      <c r="J38" s="849"/>
    </row>
  </sheetData>
  <sheetProtection/>
  <mergeCells count="4">
    <mergeCell ref="A3:J3"/>
    <mergeCell ref="E4:G4"/>
    <mergeCell ref="A37:J37"/>
    <mergeCell ref="A38:J38"/>
  </mergeCells>
  <printOptions/>
  <pageMargins left="0.5" right="0.5" top="0.72" bottom="0.23" header="0.5" footer="0"/>
  <pageSetup blackAndWhite="1" fitToHeight="1" fitToWidth="1" horizontalDpi="600" verticalDpi="600" orientation="portrait" scale="85" r:id="rId1"/>
  <headerFooter alignWithMargins="0">
    <oddHeader>&amp;RState of Kansas
County
</oddHeader>
    <oddFooter>&amp;C&amp;"Arial,Regular"&amp;11WY-&amp;P</oddFooter>
  </headerFooter>
</worksheet>
</file>

<file path=xl/worksheets/sheet19.xml><?xml version="1.0" encoding="utf-8"?>
<worksheet xmlns="http://schemas.openxmlformats.org/spreadsheetml/2006/main" xmlns:r="http://schemas.openxmlformats.org/officeDocument/2006/relationships">
  <sheetPr>
    <tabColor rgb="FFFFC000"/>
    <pageSetUpPr fitToPage="1"/>
  </sheetPr>
  <dimension ref="B1:L45"/>
  <sheetViews>
    <sheetView zoomScale="80" zoomScaleNormal="80" zoomScalePageLayoutView="0" workbookViewId="0" topLeftCell="B1">
      <selection activeCell="M24" sqref="M24"/>
    </sheetView>
  </sheetViews>
  <sheetFormatPr defaultColWidth="8.796875" defaultRowHeight="15"/>
  <cols>
    <col min="1" max="1" width="2.3984375" style="72" customWidth="1"/>
    <col min="2" max="2" width="31.09765625" style="72" customWidth="1"/>
    <col min="3" max="5" width="15.796875" style="72" customWidth="1"/>
    <col min="6" max="6" width="16.19921875" style="72" customWidth="1"/>
    <col min="7" max="7" width="21.8984375" style="72" customWidth="1"/>
    <col min="8" max="8" width="10.19921875" style="72" customWidth="1"/>
    <col min="9" max="9" width="8.8984375" style="72" customWidth="1"/>
    <col min="10" max="10" width="5" style="72" customWidth="1"/>
    <col min="11" max="11" width="10" style="72" customWidth="1"/>
    <col min="12" max="16384" width="8.8984375" style="72" customWidth="1"/>
  </cols>
  <sheetData>
    <row r="1" spans="2:6" ht="15.75">
      <c r="B1" s="417" t="str">
        <f>(inputPrYr!C2)</f>
        <v>Wyandotte County</v>
      </c>
      <c r="C1" s="418"/>
      <c r="D1" s="418"/>
      <c r="E1" s="418"/>
      <c r="F1" s="419">
        <f>inputPrYr!C4</f>
        <v>2013</v>
      </c>
    </row>
    <row r="2" spans="2:6" ht="15.75">
      <c r="B2" s="418"/>
      <c r="C2" s="418"/>
      <c r="D2" s="418"/>
      <c r="E2" s="418"/>
      <c r="F2" s="421"/>
    </row>
    <row r="3" spans="2:6" ht="15.75">
      <c r="B3" s="422" t="s">
        <v>206</v>
      </c>
      <c r="C3" s="487"/>
      <c r="D3" s="487"/>
      <c r="E3" s="487"/>
      <c r="F3" s="488"/>
    </row>
    <row r="4" spans="2:6" ht="15.75">
      <c r="B4" s="490" t="s">
        <v>144</v>
      </c>
      <c r="C4" s="425" t="s">
        <v>783</v>
      </c>
      <c r="D4" s="425">
        <v>2012</v>
      </c>
      <c r="E4" s="426" t="s">
        <v>784</v>
      </c>
      <c r="F4" s="427" t="s">
        <v>785</v>
      </c>
    </row>
    <row r="5" spans="2:6" ht="15.75">
      <c r="B5" s="428" t="s">
        <v>158</v>
      </c>
      <c r="C5" s="429" t="s">
        <v>902</v>
      </c>
      <c r="D5" s="429" t="s">
        <v>840</v>
      </c>
      <c r="E5" s="429" t="s">
        <v>903</v>
      </c>
      <c r="F5" s="430" t="s">
        <v>904</v>
      </c>
    </row>
    <row r="6" spans="2:6" ht="15.75">
      <c r="B6" s="455" t="s">
        <v>246</v>
      </c>
      <c r="C6" s="432">
        <v>294594</v>
      </c>
      <c r="D6" s="432">
        <v>275517</v>
      </c>
      <c r="E6" s="433">
        <f>C33</f>
        <v>381678</v>
      </c>
      <c r="F6" s="434">
        <f>E33</f>
        <v>330707</v>
      </c>
    </row>
    <row r="7" spans="2:6" ht="15.75">
      <c r="B7" s="435" t="s">
        <v>248</v>
      </c>
      <c r="C7" s="436"/>
      <c r="D7" s="436"/>
      <c r="E7" s="436"/>
      <c r="F7" s="437"/>
    </row>
    <row r="8" spans="2:7" ht="15.75">
      <c r="B8" s="414" t="s">
        <v>145</v>
      </c>
      <c r="C8" s="432">
        <v>1661233</v>
      </c>
      <c r="D8" s="432">
        <v>1585522</v>
      </c>
      <c r="E8" s="433">
        <v>1691900</v>
      </c>
      <c r="F8" s="496" t="s">
        <v>132</v>
      </c>
      <c r="G8" s="414" t="s">
        <v>145</v>
      </c>
    </row>
    <row r="9" spans="2:11" ht="15.75">
      <c r="B9" s="414" t="s">
        <v>146</v>
      </c>
      <c r="C9" s="432">
        <v>47875</v>
      </c>
      <c r="D9" s="432">
        <v>30000</v>
      </c>
      <c r="E9" s="432">
        <v>40000</v>
      </c>
      <c r="F9" s="450">
        <v>19533.333333333136</v>
      </c>
      <c r="G9" s="414" t="s">
        <v>146</v>
      </c>
      <c r="K9" s="72">
        <f>1942033/364382.362</f>
        <v>5.329656982683481</v>
      </c>
    </row>
    <row r="10" spans="2:7" ht="15.75">
      <c r="B10" s="414" t="s">
        <v>147</v>
      </c>
      <c r="C10" s="432">
        <v>142632</v>
      </c>
      <c r="D10" s="432">
        <v>165899</v>
      </c>
      <c r="E10" s="432">
        <v>160000</v>
      </c>
      <c r="F10" s="434">
        <v>170536</v>
      </c>
      <c r="G10" s="414" t="s">
        <v>147</v>
      </c>
    </row>
    <row r="11" spans="2:7" ht="15.75">
      <c r="B11" s="414" t="s">
        <v>148</v>
      </c>
      <c r="C11" s="432">
        <v>948</v>
      </c>
      <c r="D11" s="432">
        <v>1047</v>
      </c>
      <c r="E11" s="432">
        <v>840</v>
      </c>
      <c r="F11" s="434">
        <v>996</v>
      </c>
      <c r="G11" s="414" t="s">
        <v>148</v>
      </c>
    </row>
    <row r="12" spans="2:7" ht="15.75">
      <c r="B12" s="414" t="s">
        <v>230</v>
      </c>
      <c r="C12" s="432">
        <v>1337</v>
      </c>
      <c r="D12" s="432">
        <v>1522</v>
      </c>
      <c r="E12" s="432">
        <v>1160</v>
      </c>
      <c r="F12" s="434">
        <v>1364</v>
      </c>
      <c r="G12" s="414" t="s">
        <v>230</v>
      </c>
    </row>
    <row r="13" spans="2:7" ht="15.75">
      <c r="B13" s="414" t="s">
        <v>898</v>
      </c>
      <c r="C13" s="432">
        <v>0</v>
      </c>
      <c r="D13" s="432">
        <v>0</v>
      </c>
      <c r="E13" s="432">
        <v>0</v>
      </c>
      <c r="F13" s="450">
        <v>0</v>
      </c>
      <c r="G13" s="414" t="s">
        <v>898</v>
      </c>
    </row>
    <row r="14" spans="2:7" ht="15.75">
      <c r="B14" s="414" t="s">
        <v>842</v>
      </c>
      <c r="C14" s="432">
        <v>41214</v>
      </c>
      <c r="D14" s="432">
        <v>30930</v>
      </c>
      <c r="E14" s="432">
        <v>52400</v>
      </c>
      <c r="F14" s="450">
        <v>17700</v>
      </c>
      <c r="G14" s="414" t="s">
        <v>842</v>
      </c>
    </row>
    <row r="15" spans="2:7" ht="15.75">
      <c r="B15" s="414" t="s">
        <v>843</v>
      </c>
      <c r="C15" s="432">
        <v>124</v>
      </c>
      <c r="D15" s="432">
        <v>250</v>
      </c>
      <c r="E15" s="432">
        <v>200</v>
      </c>
      <c r="F15" s="450">
        <v>200</v>
      </c>
      <c r="G15" s="414" t="s">
        <v>843</v>
      </c>
    </row>
    <row r="16" spans="2:7" ht="15.75">
      <c r="B16" s="414" t="s">
        <v>192</v>
      </c>
      <c r="C16" s="432">
        <v>2976</v>
      </c>
      <c r="D16" s="432">
        <v>3300</v>
      </c>
      <c r="E16" s="432">
        <v>1500</v>
      </c>
      <c r="F16" s="450">
        <v>1500</v>
      </c>
      <c r="G16" s="414" t="s">
        <v>192</v>
      </c>
    </row>
    <row r="17" spans="2:7" ht="15.75">
      <c r="B17" s="346" t="s">
        <v>955</v>
      </c>
      <c r="C17" s="432">
        <v>12989</v>
      </c>
      <c r="D17" s="432">
        <v>0</v>
      </c>
      <c r="E17" s="432">
        <v>0</v>
      </c>
      <c r="F17" s="450">
        <v>0</v>
      </c>
      <c r="G17" s="346"/>
    </row>
    <row r="18" spans="2:7" ht="15.75">
      <c r="B18" s="440" t="s">
        <v>61</v>
      </c>
      <c r="C18" s="432"/>
      <c r="D18" s="432">
        <v>0</v>
      </c>
      <c r="E18" s="432">
        <v>0</v>
      </c>
      <c r="F18" s="450">
        <v>0</v>
      </c>
      <c r="G18" s="440" t="s">
        <v>61</v>
      </c>
    </row>
    <row r="19" spans="2:6" ht="15.75">
      <c r="B19" s="441" t="s">
        <v>629</v>
      </c>
      <c r="C19" s="442">
        <f>IF(C20*0.1&lt;C18,"Exceed 10% Rule","")</f>
      </c>
      <c r="D19" s="442"/>
      <c r="E19" s="442">
        <f>IF(E20*0.1&lt;E18,"Exceed 10% Rule","")</f>
      </c>
      <c r="F19" s="443">
        <f>IF(F20*0.1+F39&lt;F18,"Exceed 10% Rule","")</f>
      </c>
    </row>
    <row r="20" spans="2:6" ht="15.75">
      <c r="B20" s="444" t="s">
        <v>149</v>
      </c>
      <c r="C20" s="445">
        <f>SUM(C8:C18)</f>
        <v>1911328</v>
      </c>
      <c r="D20" s="445">
        <f>SUM(D8:D18)</f>
        <v>1818470</v>
      </c>
      <c r="E20" s="445">
        <f>SUM(E8:E18)</f>
        <v>1948000</v>
      </c>
      <c r="F20" s="446">
        <f>SUM(F8:F18)</f>
        <v>211829.33333333314</v>
      </c>
    </row>
    <row r="21" spans="2:6" ht="15.75">
      <c r="B21" s="444" t="s">
        <v>150</v>
      </c>
      <c r="C21" s="445">
        <f>C6+C20</f>
        <v>2205922</v>
      </c>
      <c r="D21" s="445">
        <f>D6+D20</f>
        <v>2093987</v>
      </c>
      <c r="E21" s="445">
        <f>E6+E20</f>
        <v>2329678</v>
      </c>
      <c r="F21" s="446">
        <f>F6+F20</f>
        <v>542536.3333333331</v>
      </c>
    </row>
    <row r="22" spans="2:6" ht="15.75">
      <c r="B22" s="455" t="s">
        <v>153</v>
      </c>
      <c r="C22" s="440"/>
      <c r="D22" s="440"/>
      <c r="E22" s="440"/>
      <c r="F22" s="511"/>
    </row>
    <row r="23" spans="2:7" ht="15.75">
      <c r="B23" s="344" t="s">
        <v>893</v>
      </c>
      <c r="C23" s="432">
        <v>0</v>
      </c>
      <c r="D23" s="434">
        <v>0</v>
      </c>
      <c r="E23" s="432">
        <v>0</v>
      </c>
      <c r="F23" s="432">
        <v>0</v>
      </c>
      <c r="G23" s="344" t="s">
        <v>893</v>
      </c>
    </row>
    <row r="24" spans="2:11" ht="15.75">
      <c r="B24" s="344" t="s">
        <v>894</v>
      </c>
      <c r="C24" s="432">
        <v>0</v>
      </c>
      <c r="D24" s="434">
        <v>0</v>
      </c>
      <c r="E24" s="432">
        <v>0</v>
      </c>
      <c r="F24" s="432">
        <v>0</v>
      </c>
      <c r="G24" s="344" t="s">
        <v>894</v>
      </c>
      <c r="H24" s="895" t="str">
        <f>CONCATENATE("Desired Carryover Into ",F1+1,"")</f>
        <v>Desired Carryover Into 2014</v>
      </c>
      <c r="I24" s="896"/>
      <c r="J24" s="896"/>
      <c r="K24" s="897"/>
    </row>
    <row r="25" spans="2:11" ht="15.75">
      <c r="B25" s="344" t="s">
        <v>895</v>
      </c>
      <c r="C25" s="432">
        <v>0</v>
      </c>
      <c r="D25" s="434">
        <v>0</v>
      </c>
      <c r="E25" s="432">
        <v>0</v>
      </c>
      <c r="F25" s="432">
        <v>0</v>
      </c>
      <c r="G25" s="344" t="s">
        <v>895</v>
      </c>
      <c r="H25" s="290"/>
      <c r="I25" s="291"/>
      <c r="J25" s="292"/>
      <c r="K25" s="293"/>
    </row>
    <row r="26" spans="2:11" ht="15.75">
      <c r="B26" s="344" t="s">
        <v>896</v>
      </c>
      <c r="C26" s="432">
        <v>0</v>
      </c>
      <c r="D26" s="434">
        <v>1878971</v>
      </c>
      <c r="E26" s="432">
        <v>1878971</v>
      </c>
      <c r="F26" s="450">
        <v>2010499</v>
      </c>
      <c r="G26" s="344" t="s">
        <v>896</v>
      </c>
      <c r="H26" s="294" t="s">
        <v>633</v>
      </c>
      <c r="I26" s="292"/>
      <c r="J26" s="292"/>
      <c r="K26" s="295">
        <v>0</v>
      </c>
    </row>
    <row r="27" spans="2:11" ht="15.75">
      <c r="B27" s="344" t="s">
        <v>930</v>
      </c>
      <c r="C27" s="432">
        <v>1824244</v>
      </c>
      <c r="D27" s="434">
        <v>0</v>
      </c>
      <c r="E27" s="432">
        <v>0</v>
      </c>
      <c r="F27" s="432">
        <v>0</v>
      </c>
      <c r="G27" s="344" t="s">
        <v>930</v>
      </c>
      <c r="H27" s="290" t="s">
        <v>634</v>
      </c>
      <c r="I27" s="291"/>
      <c r="J27" s="291"/>
      <c r="K27" s="296">
        <f>IF(K26=0,"",ROUND((K26+F39-H38)/inputOth!E6*1000,3)-#REF!)</f>
      </c>
    </row>
    <row r="28" spans="2:11" ht="15.75">
      <c r="B28" s="344" t="s">
        <v>897</v>
      </c>
      <c r="C28" s="432">
        <v>0</v>
      </c>
      <c r="D28" s="434">
        <v>0</v>
      </c>
      <c r="E28" s="432">
        <v>0</v>
      </c>
      <c r="F28" s="432">
        <v>0</v>
      </c>
      <c r="G28" s="344" t="s">
        <v>897</v>
      </c>
      <c r="H28" s="297" t="str">
        <f>CONCATENATE("",F1," Tot Exp/Non-Appr Must Be:")</f>
        <v>2013 Tot Exp/Non-Appr Must Be:</v>
      </c>
      <c r="I28" s="298"/>
      <c r="J28" s="299"/>
      <c r="K28" s="300">
        <f>IF(K26&gt;0,IF(F36&lt;F21,IF(K26=H38,F36,((K26-H38)*(1-E38))+F21),F36+(K26-H38)),0)</f>
        <v>0</v>
      </c>
    </row>
    <row r="29" spans="2:11" ht="15.75">
      <c r="B29" s="344" t="s">
        <v>157</v>
      </c>
      <c r="C29" s="432">
        <v>0</v>
      </c>
      <c r="D29" s="434">
        <v>0</v>
      </c>
      <c r="E29" s="432">
        <v>0</v>
      </c>
      <c r="F29" s="432">
        <v>0</v>
      </c>
      <c r="G29" s="344" t="s">
        <v>157</v>
      </c>
      <c r="H29" s="301" t="s">
        <v>781</v>
      </c>
      <c r="I29" s="302"/>
      <c r="J29" s="302"/>
      <c r="K29" s="303">
        <f>IF(K26&gt;0,K28-F36,0)</f>
        <v>0</v>
      </c>
    </row>
    <row r="30" spans="2:11" ht="15.75">
      <c r="B30" s="440" t="s">
        <v>61</v>
      </c>
      <c r="C30" s="432">
        <v>0</v>
      </c>
      <c r="D30" s="434">
        <v>120000</v>
      </c>
      <c r="E30" s="432">
        <v>120000</v>
      </c>
      <c r="F30" s="450">
        <v>170000</v>
      </c>
      <c r="G30" s="440" t="s">
        <v>61</v>
      </c>
      <c r="H30" s="895" t="str">
        <f>CONCATENATE("Projected Carryover Into ",F1+1,"")</f>
        <v>Projected Carryover Into 2014</v>
      </c>
      <c r="I30" s="898"/>
      <c r="J30" s="898"/>
      <c r="K30" s="899"/>
    </row>
    <row r="31" spans="2:11" ht="15.75">
      <c r="B31" s="441" t="s">
        <v>628</v>
      </c>
      <c r="C31" s="442">
        <f>IF(C32*0.1&lt;C30,"Exceed 10% Rule","")</f>
      </c>
      <c r="D31" s="442"/>
      <c r="E31" s="442">
        <f>IF(E32*0.1&lt;E30,"Exceed 10% Rule","")</f>
      </c>
      <c r="F31" s="443">
        <f>IF(F32*0.1&lt;F30,"Exceed 10% Rule","")</f>
      </c>
      <c r="H31" s="290"/>
      <c r="I31" s="292"/>
      <c r="J31" s="292"/>
      <c r="K31" s="315"/>
    </row>
    <row r="32" spans="2:11" ht="15.75">
      <c r="B32" s="444" t="s">
        <v>154</v>
      </c>
      <c r="C32" s="445">
        <f>SUM(C23:C30)</f>
        <v>1824244</v>
      </c>
      <c r="D32" s="445">
        <f>SUM(D23:D30)</f>
        <v>1998971</v>
      </c>
      <c r="E32" s="445">
        <f>SUM(E23:E30)</f>
        <v>1998971</v>
      </c>
      <c r="F32" s="446">
        <f>SUM(F23:F30)</f>
        <v>2180499</v>
      </c>
      <c r="H32" s="316">
        <f>E33</f>
        <v>330707</v>
      </c>
      <c r="I32" s="306" t="str">
        <f>CONCATENATE("",F1-1," Ending Cash Balance (est.)")</f>
        <v>2012 Ending Cash Balance (est.)</v>
      </c>
      <c r="J32" s="317"/>
      <c r="K32" s="315"/>
    </row>
    <row r="33" spans="2:11" ht="15.75">
      <c r="B33" s="455" t="s">
        <v>247</v>
      </c>
      <c r="C33" s="433">
        <f>C21-C32</f>
        <v>381678</v>
      </c>
      <c r="D33" s="433">
        <f>D21-D32</f>
        <v>95016</v>
      </c>
      <c r="E33" s="433">
        <f>E21-E32</f>
        <v>330707</v>
      </c>
      <c r="F33" s="496" t="s">
        <v>132</v>
      </c>
      <c r="H33" s="316">
        <f>F20</f>
        <v>211829.33333333314</v>
      </c>
      <c r="I33" s="292" t="str">
        <f>CONCATENATE("",F1," Non-AV Receipts (est.)")</f>
        <v>2013 Non-AV Receipts (est.)</v>
      </c>
      <c r="J33" s="317"/>
      <c r="K33" s="315"/>
    </row>
    <row r="34" spans="2:12" ht="15.75">
      <c r="B34" s="458" t="str">
        <f>CONCATENATE("",F$1-2,"/",F$1-1," Budget Authority Amount:")</f>
        <v>2011/2012 Budget Authority Amount:</v>
      </c>
      <c r="C34" s="459">
        <v>1944244</v>
      </c>
      <c r="D34" s="459"/>
      <c r="E34" s="459">
        <v>1998971</v>
      </c>
      <c r="F34" s="496" t="s">
        <v>132</v>
      </c>
      <c r="G34" s="129"/>
      <c r="H34" s="318">
        <f>IF(F38&gt;0,F37,F39)</f>
        <v>1728408.666666667</v>
      </c>
      <c r="I34" s="292" t="str">
        <f>CONCATENATE("",F1," Ad Valorem Tax (est.)")</f>
        <v>2013 Ad Valorem Tax (est.)</v>
      </c>
      <c r="J34" s="317"/>
      <c r="K34" s="315"/>
      <c r="L34" s="304" t="str">
        <f>IF(H34=F39,"","Note: Does not include Delinquent Taxes")</f>
        <v>Note: Does not include Delinquent Taxes</v>
      </c>
    </row>
    <row r="35" spans="2:11" ht="15.75">
      <c r="B35" s="458"/>
      <c r="C35" s="866" t="s">
        <v>630</v>
      </c>
      <c r="D35" s="866"/>
      <c r="E35" s="867"/>
      <c r="F35" s="450">
        <v>90446</v>
      </c>
      <c r="G35" s="187">
        <f>IF(F32/0.95-F32&lt;F35,"Exceeds 5%","")</f>
      </c>
      <c r="H35" s="316">
        <f>SUM(H32:H34)</f>
        <v>2270945</v>
      </c>
      <c r="I35" s="292" t="str">
        <f>CONCATENATE("Total ",F1," Resources Available")</f>
        <v>Total 2013 Resources Available</v>
      </c>
      <c r="J35" s="317"/>
      <c r="K35" s="315"/>
    </row>
    <row r="36" spans="2:11" ht="15.75">
      <c r="B36" s="463"/>
      <c r="C36" s="868" t="s">
        <v>631</v>
      </c>
      <c r="D36" s="868"/>
      <c r="E36" s="869"/>
      <c r="F36" s="434">
        <f>F32+F35</f>
        <v>2270945</v>
      </c>
      <c r="H36" s="319"/>
      <c r="I36" s="292"/>
      <c r="J36" s="292"/>
      <c r="K36" s="315"/>
    </row>
    <row r="37" spans="2:11" ht="15.75">
      <c r="B37" s="463"/>
      <c r="C37" s="464"/>
      <c r="D37" s="464"/>
      <c r="E37" s="421" t="s">
        <v>155</v>
      </c>
      <c r="F37" s="434">
        <f>IF(F36-F21&gt;0,F36-F21,0)</f>
        <v>1728408.666666667</v>
      </c>
      <c r="H37" s="318">
        <f>ROUND(C32*0.05+C32,0)</f>
        <v>1915456</v>
      </c>
      <c r="I37" s="292" t="str">
        <f>CONCATENATE("Less ",F1-2," Expenditures + 5%")</f>
        <v>Less 2011 Expenditures + 5%</v>
      </c>
      <c r="J37" s="317"/>
      <c r="K37" s="320"/>
    </row>
    <row r="38" spans="2:11" ht="15.75">
      <c r="B38" s="421"/>
      <c r="C38" s="466" t="s">
        <v>632</v>
      </c>
      <c r="D38" s="466"/>
      <c r="E38" s="467">
        <v>0.11</v>
      </c>
      <c r="F38" s="434">
        <f>ROUND(IF(E38&gt;0,(F37/((100-(100*E38))*0.01)-F37),0),0)</f>
        <v>213624</v>
      </c>
      <c r="H38" s="321">
        <f>H35-H37</f>
        <v>355489</v>
      </c>
      <c r="I38" s="322" t="str">
        <f>CONCATENATE("Projected ",F1+1," carryover (est.)")</f>
        <v>Projected 2014 carryover (est.)</v>
      </c>
      <c r="J38" s="323"/>
      <c r="K38" s="324"/>
    </row>
    <row r="39" spans="2:11" ht="15.75">
      <c r="B39" s="418"/>
      <c r="C39" s="873" t="str">
        <f>CONCATENATE("Amount of  ",$F$1-1," Ad Valorem Tax")</f>
        <v>Amount of  2012 Ad Valorem Tax</v>
      </c>
      <c r="D39" s="873"/>
      <c r="E39" s="874"/>
      <c r="F39" s="468">
        <f>F37+F38</f>
        <v>1942032.666666667</v>
      </c>
      <c r="H39" s="1"/>
      <c r="I39" s="1"/>
      <c r="J39" s="1"/>
      <c r="K39" s="1"/>
    </row>
    <row r="42" spans="3:5" ht="15.75" hidden="1">
      <c r="C42" s="72">
        <f>IF(C32&gt;C34,"See Tab A","")</f>
      </c>
      <c r="E42" s="72">
        <f>IF(E32&gt;E34,"See Tab C","")</f>
      </c>
    </row>
    <row r="43" spans="3:5" ht="15.75" hidden="1">
      <c r="C43" s="72">
        <f>IF(C33&lt;0,"See Tab B","")</f>
      </c>
      <c r="E43" s="72">
        <f>IF(E33&lt;0,"See Tab D","")</f>
      </c>
    </row>
    <row r="44" spans="3:5" ht="15.75" hidden="1">
      <c r="C44" s="72" t="e">
        <f>IF(#REF!&gt;#REF!,"See Tab A","")</f>
        <v>#REF!</v>
      </c>
      <c r="E44" s="72" t="e">
        <f>IF(#REF!&gt;#REF!,"See Tab C","")</f>
        <v>#REF!</v>
      </c>
    </row>
    <row r="45" spans="3:5" ht="15.75" hidden="1">
      <c r="C45" s="72" t="e">
        <f>IF(#REF!&lt;0,"See Tab B","")</f>
        <v>#REF!</v>
      </c>
      <c r="E45" s="72" t="e">
        <f>IF(#REF!&lt;0,"See Tab D","")</f>
        <v>#REF!</v>
      </c>
    </row>
  </sheetData>
  <sheetProtection/>
  <mergeCells count="5">
    <mergeCell ref="H24:K24"/>
    <mergeCell ref="H30:K30"/>
    <mergeCell ref="C35:E35"/>
    <mergeCell ref="C36:E36"/>
    <mergeCell ref="C39:E39"/>
  </mergeCells>
  <conditionalFormatting sqref="F35">
    <cfRule type="cellIs" priority="5" dxfId="42" operator="greaterThan" stopIfTrue="1">
      <formula>$F$32/0.95-$F$32</formula>
    </cfRule>
  </conditionalFormatting>
  <conditionalFormatting sqref="F30">
    <cfRule type="cellIs" priority="6" dxfId="42" operator="greaterThan" stopIfTrue="1">
      <formula>$F$32*0.1</formula>
    </cfRule>
  </conditionalFormatting>
  <conditionalFormatting sqref="F18">
    <cfRule type="cellIs" priority="19" dxfId="42" operator="greaterThan" stopIfTrue="1">
      <formula>$F$20*0.1+F39</formula>
    </cfRule>
  </conditionalFormatting>
  <printOptions/>
  <pageMargins left="1.12" right="0.5" top="0.74" bottom="0.34" header="0.5" footer="0"/>
  <pageSetup blackAndWhite="1" fitToHeight="1" fitToWidth="1" horizontalDpi="120" verticalDpi="120" orientation="portrait" scale="75" r:id="rId1"/>
  <headerFooter alignWithMargins="0">
    <oddHeader>&amp;RState of Kansas
County
</oddHeader>
    <oddFooter>&amp;C&amp;"Arial,Regular"&amp;11WY-&amp;P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8"/>
  <sheetViews>
    <sheetView zoomScale="85" zoomScaleNormal="85" zoomScalePageLayoutView="0" workbookViewId="0" topLeftCell="A10">
      <selection activeCell="D101" sqref="D101"/>
    </sheetView>
  </sheetViews>
  <sheetFormatPr defaultColWidth="8.796875" defaultRowHeight="15.75" customHeight="1"/>
  <cols>
    <col min="1" max="2" width="3.296875" style="420" customWidth="1"/>
    <col min="3" max="3" width="31.296875" style="420" customWidth="1"/>
    <col min="4" max="4" width="2.296875" style="420" customWidth="1"/>
    <col min="5" max="5" width="15.796875" style="420" customWidth="1"/>
    <col min="6" max="6" width="2" style="420" customWidth="1"/>
    <col min="7" max="7" width="15.796875" style="420" customWidth="1"/>
    <col min="8" max="8" width="1.8984375" style="420" customWidth="1"/>
    <col min="9" max="9" width="1.796875" style="420" customWidth="1"/>
    <col min="10" max="10" width="15.796875" style="420" customWidth="1"/>
    <col min="11" max="16384" width="8.8984375" style="420" customWidth="1"/>
  </cols>
  <sheetData>
    <row r="1" spans="1:10" ht="15.75" customHeight="1">
      <c r="A1" s="418"/>
      <c r="B1" s="418"/>
      <c r="C1" s="417" t="s">
        <v>839</v>
      </c>
      <c r="D1" s="418"/>
      <c r="E1" s="418"/>
      <c r="F1" s="418"/>
      <c r="G1" s="418"/>
      <c r="H1" s="418"/>
      <c r="I1" s="418"/>
      <c r="J1" s="418">
        <f>inputPrYr!C4</f>
        <v>2013</v>
      </c>
    </row>
    <row r="2" spans="1:10" ht="15.75" customHeight="1">
      <c r="A2" s="418"/>
      <c r="B2" s="418"/>
      <c r="C2" s="418"/>
      <c r="D2" s="418"/>
      <c r="E2" s="418"/>
      <c r="F2" s="418"/>
      <c r="G2" s="418"/>
      <c r="H2" s="418"/>
      <c r="I2" s="418"/>
      <c r="J2" s="418"/>
    </row>
    <row r="3" spans="1:10" ht="15">
      <c r="A3" s="841" t="str">
        <f>CONCATENATE("Computation to Determine Limit for ",J1,"")</f>
        <v>Computation to Determine Limit for 2013</v>
      </c>
      <c r="B3" s="852"/>
      <c r="C3" s="852"/>
      <c r="D3" s="852"/>
      <c r="E3" s="852"/>
      <c r="F3" s="852"/>
      <c r="G3" s="852"/>
      <c r="H3" s="852"/>
      <c r="I3" s="852"/>
      <c r="J3" s="852"/>
    </row>
    <row r="4" spans="1:10" ht="15">
      <c r="A4" s="418"/>
      <c r="B4" s="418"/>
      <c r="C4" s="418"/>
      <c r="D4" s="418"/>
      <c r="E4" s="852"/>
      <c r="F4" s="852"/>
      <c r="G4" s="852"/>
      <c r="H4" s="655"/>
      <c r="I4" s="418"/>
      <c r="J4" s="656" t="s">
        <v>212</v>
      </c>
    </row>
    <row r="5" spans="1:10" ht="14.25">
      <c r="A5" s="657" t="s">
        <v>213</v>
      </c>
      <c r="B5" s="418" t="str">
        <f>CONCATENATE("Total Tax Levy Amount in ",J1-1," Budget")</f>
        <v>Total Tax Levy Amount in 2012 Budget</v>
      </c>
      <c r="C5" s="418"/>
      <c r="D5" s="418"/>
      <c r="E5" s="614"/>
      <c r="F5" s="614"/>
      <c r="G5" s="614"/>
      <c r="H5" s="658" t="s">
        <v>214</v>
      </c>
      <c r="I5" s="614" t="s">
        <v>215</v>
      </c>
      <c r="J5" s="659">
        <f>inputPrYr!E25</f>
        <v>39226929</v>
      </c>
    </row>
    <row r="6" spans="1:10" ht="14.25">
      <c r="A6" s="657" t="s">
        <v>216</v>
      </c>
      <c r="B6" s="418" t="str">
        <f>CONCATENATE("Debt Service Levy in ",J1-1," Budget")</f>
        <v>Debt Service Levy in 2012 Budget</v>
      </c>
      <c r="C6" s="418"/>
      <c r="D6" s="418"/>
      <c r="E6" s="614"/>
      <c r="F6" s="614"/>
      <c r="G6" s="614"/>
      <c r="H6" s="658" t="s">
        <v>217</v>
      </c>
      <c r="I6" s="614" t="s">
        <v>215</v>
      </c>
      <c r="J6" s="660">
        <f>inputPrYr!E17</f>
        <v>884159</v>
      </c>
    </row>
    <row r="7" spans="1:10" ht="15">
      <c r="A7" s="657" t="s">
        <v>218</v>
      </c>
      <c r="B7" s="422" t="s">
        <v>236</v>
      </c>
      <c r="C7" s="418"/>
      <c r="D7" s="418"/>
      <c r="E7" s="614"/>
      <c r="F7" s="614"/>
      <c r="G7" s="614"/>
      <c r="H7" s="614"/>
      <c r="I7" s="614" t="s">
        <v>215</v>
      </c>
      <c r="J7" s="660">
        <f>J5-J6</f>
        <v>38342770</v>
      </c>
    </row>
    <row r="8" spans="1:10" ht="14.25">
      <c r="A8" s="418"/>
      <c r="B8" s="418"/>
      <c r="C8" s="418"/>
      <c r="D8" s="418"/>
      <c r="E8" s="614"/>
      <c r="F8" s="614"/>
      <c r="G8" s="614"/>
      <c r="H8" s="614"/>
      <c r="I8" s="614"/>
      <c r="J8" s="614"/>
    </row>
    <row r="9" spans="1:10" ht="15">
      <c r="A9" s="418"/>
      <c r="B9" s="422" t="str">
        <f>CONCATENATE("",J1-1," Valuation Information for Valuation Adjustments:")</f>
        <v>2012 Valuation Information for Valuation Adjustments:</v>
      </c>
      <c r="C9" s="418"/>
      <c r="D9" s="418"/>
      <c r="E9" s="614"/>
      <c r="F9" s="614"/>
      <c r="G9" s="614"/>
      <c r="H9" s="614"/>
      <c r="I9" s="614"/>
      <c r="J9" s="614"/>
    </row>
    <row r="10" spans="1:10" ht="15">
      <c r="A10" s="418"/>
      <c r="B10" s="418"/>
      <c r="C10" s="422"/>
      <c r="D10" s="418"/>
      <c r="E10" s="614"/>
      <c r="F10" s="614"/>
      <c r="G10" s="614"/>
      <c r="H10" s="614"/>
      <c r="I10" s="614"/>
      <c r="J10" s="614"/>
    </row>
    <row r="11" spans="1:10" ht="15">
      <c r="A11" s="657" t="s">
        <v>219</v>
      </c>
      <c r="B11" s="422" t="str">
        <f>CONCATENATE("New Improvements for ",J1-1,":")</f>
        <v>New Improvements for 2012:</v>
      </c>
      <c r="C11" s="418"/>
      <c r="D11" s="418"/>
      <c r="E11" s="658"/>
      <c r="F11" s="658" t="s">
        <v>214</v>
      </c>
      <c r="G11" s="659">
        <f>inputOth!E7</f>
        <v>38291686</v>
      </c>
      <c r="H11" s="661"/>
      <c r="I11" s="614"/>
      <c r="J11" s="614"/>
    </row>
    <row r="12" spans="1:10" ht="14.25">
      <c r="A12" s="657"/>
      <c r="B12" s="657"/>
      <c r="C12" s="418"/>
      <c r="D12" s="418"/>
      <c r="E12" s="658"/>
      <c r="F12" s="658"/>
      <c r="G12" s="661"/>
      <c r="H12" s="661"/>
      <c r="I12" s="614"/>
      <c r="J12" s="614"/>
    </row>
    <row r="13" spans="1:10" ht="15">
      <c r="A13" s="657" t="s">
        <v>220</v>
      </c>
      <c r="B13" s="422" t="str">
        <f>CONCATENATE("Increase in Personal Property for ",J1-1,":")</f>
        <v>Increase in Personal Property for 2012:</v>
      </c>
      <c r="C13" s="418"/>
      <c r="D13" s="418"/>
      <c r="E13" s="658"/>
      <c r="F13" s="658"/>
      <c r="G13" s="661"/>
      <c r="H13" s="661"/>
      <c r="I13" s="614"/>
      <c r="J13" s="614"/>
    </row>
    <row r="14" spans="1:10" ht="14.25">
      <c r="A14" s="418"/>
      <c r="B14" s="418" t="s">
        <v>221</v>
      </c>
      <c r="C14" s="418" t="str">
        <f>CONCATENATE("Personal Property ",J1-1,"")</f>
        <v>Personal Property 2012</v>
      </c>
      <c r="D14" s="657" t="s">
        <v>214</v>
      </c>
      <c r="E14" s="659">
        <f>inputOth!E8</f>
        <v>90991848</v>
      </c>
      <c r="F14" s="658"/>
      <c r="G14" s="614"/>
      <c r="H14" s="614"/>
      <c r="I14" s="661"/>
      <c r="J14" s="614"/>
    </row>
    <row r="15" spans="1:10" ht="14.25">
      <c r="A15" s="657"/>
      <c r="B15" s="418" t="s">
        <v>222</v>
      </c>
      <c r="C15" s="418" t="str">
        <f>CONCATENATE("Personal Property ",J1-2,"")</f>
        <v>Personal Property 2011</v>
      </c>
      <c r="D15" s="657" t="s">
        <v>217</v>
      </c>
      <c r="E15" s="660">
        <f>inputOth!E10</f>
        <v>93541906</v>
      </c>
      <c r="F15" s="658"/>
      <c r="G15" s="661"/>
      <c r="H15" s="661"/>
      <c r="I15" s="614"/>
      <c r="J15" s="614"/>
    </row>
    <row r="16" spans="1:10" ht="14.25">
      <c r="A16" s="657"/>
      <c r="B16" s="418" t="s">
        <v>223</v>
      </c>
      <c r="C16" s="418" t="s">
        <v>237</v>
      </c>
      <c r="D16" s="418"/>
      <c r="E16" s="614"/>
      <c r="F16" s="614" t="s">
        <v>214</v>
      </c>
      <c r="G16" s="659">
        <f>IF(E14&gt;E15,E14-E15,0)</f>
        <v>0</v>
      </c>
      <c r="H16" s="661"/>
      <c r="I16" s="614"/>
      <c r="J16" s="614"/>
    </row>
    <row r="17" spans="1:10" ht="14.25">
      <c r="A17" s="657"/>
      <c r="B17" s="657"/>
      <c r="C17" s="418"/>
      <c r="D17" s="418"/>
      <c r="E17" s="614"/>
      <c r="F17" s="614"/>
      <c r="G17" s="661" t="s">
        <v>229</v>
      </c>
      <c r="H17" s="661"/>
      <c r="I17" s="614"/>
      <c r="J17" s="614"/>
    </row>
    <row r="18" spans="1:10" ht="14.25">
      <c r="A18" s="657"/>
      <c r="B18" s="657"/>
      <c r="C18" s="418"/>
      <c r="D18" s="657"/>
      <c r="E18" s="661"/>
      <c r="F18" s="614"/>
      <c r="G18" s="661"/>
      <c r="H18" s="661"/>
      <c r="I18" s="614"/>
      <c r="J18" s="614"/>
    </row>
    <row r="19" spans="1:10" ht="15">
      <c r="A19" s="657" t="s">
        <v>224</v>
      </c>
      <c r="B19" s="422" t="str">
        <f>CONCATENATE("Valuation of Property that has Changed in Use during ",J1-1,":")</f>
        <v>Valuation of Property that has Changed in Use during 2012:</v>
      </c>
      <c r="C19" s="418"/>
      <c r="D19" s="418"/>
      <c r="E19" s="614"/>
      <c r="F19" s="614"/>
      <c r="G19" s="614">
        <f>inputOth!E9</f>
        <v>3143123</v>
      </c>
      <c r="H19" s="614"/>
      <c r="I19" s="614"/>
      <c r="J19" s="614"/>
    </row>
    <row r="20" spans="1:10" ht="14.25">
      <c r="A20" s="657"/>
      <c r="B20" s="418"/>
      <c r="C20" s="418"/>
      <c r="D20" s="657"/>
      <c r="E20" s="661"/>
      <c r="F20" s="614"/>
      <c r="G20" s="662"/>
      <c r="H20" s="661"/>
      <c r="I20" s="614"/>
      <c r="J20" s="614"/>
    </row>
    <row r="21" spans="1:10" ht="15">
      <c r="A21" s="657" t="s">
        <v>232</v>
      </c>
      <c r="B21" s="422" t="s">
        <v>994</v>
      </c>
      <c r="C21" s="418"/>
      <c r="D21" s="418"/>
      <c r="E21" s="614"/>
      <c r="F21" s="614"/>
      <c r="G21" s="659">
        <f>G11+G16+G19</f>
        <v>41434809</v>
      </c>
      <c r="H21" s="661"/>
      <c r="I21" s="614"/>
      <c r="J21" s="614"/>
    </row>
    <row r="22" spans="1:10" ht="15">
      <c r="A22" s="657"/>
      <c r="B22" s="657"/>
      <c r="C22" s="422"/>
      <c r="D22" s="418"/>
      <c r="E22" s="614"/>
      <c r="F22" s="614"/>
      <c r="G22" s="661"/>
      <c r="H22" s="661"/>
      <c r="I22" s="614"/>
      <c r="J22" s="614"/>
    </row>
    <row r="23" spans="1:10" ht="14.25">
      <c r="A23" s="657" t="s">
        <v>233</v>
      </c>
      <c r="B23" s="418" t="str">
        <f>CONCATENATE("Total Estimated Valuation July 1,",J1-1,"")</f>
        <v>Total Estimated Valuation July 1,2012</v>
      </c>
      <c r="C23" s="418"/>
      <c r="D23" s="418"/>
      <c r="E23" s="659">
        <f>inputOth!E6</f>
        <v>1094914441</v>
      </c>
      <c r="F23" s="614"/>
      <c r="G23" s="614"/>
      <c r="H23" s="614"/>
      <c r="I23" s="658"/>
      <c r="J23" s="614"/>
    </row>
    <row r="24" spans="1:10" ht="14.25">
      <c r="A24" s="657"/>
      <c r="B24" s="657"/>
      <c r="C24" s="418"/>
      <c r="D24" s="418"/>
      <c r="E24" s="661"/>
      <c r="F24" s="614"/>
      <c r="G24" s="614"/>
      <c r="H24" s="614"/>
      <c r="I24" s="658"/>
      <c r="J24" s="614"/>
    </row>
    <row r="25" spans="1:10" ht="15">
      <c r="A25" s="657" t="s">
        <v>225</v>
      </c>
      <c r="B25" s="422" t="s">
        <v>240</v>
      </c>
      <c r="C25" s="418"/>
      <c r="D25" s="418"/>
      <c r="E25" s="614"/>
      <c r="F25" s="614"/>
      <c r="G25" s="659">
        <f>E23-G21</f>
        <v>1053479632</v>
      </c>
      <c r="H25" s="661"/>
      <c r="I25" s="658"/>
      <c r="J25" s="614"/>
    </row>
    <row r="26" spans="1:10" ht="15">
      <c r="A26" s="657"/>
      <c r="B26" s="657"/>
      <c r="C26" s="422"/>
      <c r="D26" s="418"/>
      <c r="E26" s="418"/>
      <c r="F26" s="418"/>
      <c r="G26" s="663"/>
      <c r="H26" s="573"/>
      <c r="I26" s="657"/>
      <c r="J26" s="418"/>
    </row>
    <row r="27" spans="1:10" ht="14.25">
      <c r="A27" s="657" t="s">
        <v>226</v>
      </c>
      <c r="B27" s="418" t="s">
        <v>239</v>
      </c>
      <c r="C27" s="418"/>
      <c r="D27" s="418"/>
      <c r="E27" s="418"/>
      <c r="F27" s="418"/>
      <c r="G27" s="664">
        <f>IF(G21&gt;0,G21/G25,0)</f>
        <v>0.03933138120699803</v>
      </c>
      <c r="H27" s="573"/>
      <c r="I27" s="418"/>
      <c r="J27" s="418"/>
    </row>
    <row r="28" spans="1:10" ht="14.25">
      <c r="A28" s="657"/>
      <c r="B28" s="657"/>
      <c r="C28" s="418"/>
      <c r="D28" s="418"/>
      <c r="E28" s="418"/>
      <c r="F28" s="418"/>
      <c r="G28" s="573"/>
      <c r="H28" s="573"/>
      <c r="I28" s="418"/>
      <c r="J28" s="418"/>
    </row>
    <row r="29" spans="1:10" ht="14.25">
      <c r="A29" s="657" t="s">
        <v>227</v>
      </c>
      <c r="B29" s="418" t="s">
        <v>238</v>
      </c>
      <c r="C29" s="418"/>
      <c r="D29" s="418"/>
      <c r="E29" s="418"/>
      <c r="F29" s="418"/>
      <c r="G29" s="573"/>
      <c r="H29" s="665" t="s">
        <v>214</v>
      </c>
      <c r="I29" s="418" t="s">
        <v>215</v>
      </c>
      <c r="J29" s="659">
        <f>ROUND(G27*J7,0)</f>
        <v>1508074</v>
      </c>
    </row>
    <row r="30" spans="1:10" ht="14.25">
      <c r="A30" s="657"/>
      <c r="B30" s="657"/>
      <c r="C30" s="418"/>
      <c r="D30" s="418"/>
      <c r="E30" s="418"/>
      <c r="F30" s="418"/>
      <c r="G30" s="573"/>
      <c r="H30" s="665"/>
      <c r="I30" s="418"/>
      <c r="J30" s="661"/>
    </row>
    <row r="31" spans="1:10" ht="15.75" thickBot="1">
      <c r="A31" s="657" t="s">
        <v>228</v>
      </c>
      <c r="B31" s="422" t="s">
        <v>244</v>
      </c>
      <c r="C31" s="418"/>
      <c r="D31" s="418"/>
      <c r="E31" s="418"/>
      <c r="F31" s="418"/>
      <c r="G31" s="418"/>
      <c r="H31" s="418"/>
      <c r="I31" s="418" t="s">
        <v>215</v>
      </c>
      <c r="J31" s="666">
        <f>J7+J29</f>
        <v>39850844</v>
      </c>
    </row>
    <row r="32" spans="1:10" ht="15" thickTop="1">
      <c r="A32" s="418"/>
      <c r="B32" s="418"/>
      <c r="C32" s="418"/>
      <c r="D32" s="418"/>
      <c r="E32" s="418"/>
      <c r="F32" s="418"/>
      <c r="G32" s="418"/>
      <c r="H32" s="418"/>
      <c r="I32" s="418"/>
      <c r="J32" s="418"/>
    </row>
    <row r="33" spans="1:10" ht="15">
      <c r="A33" s="657" t="s">
        <v>242</v>
      </c>
      <c r="B33" s="422" t="str">
        <f>CONCATENATE("Debt Service Levy in this ",J1," Budget")</f>
        <v>Debt Service Levy in this 2013 Budget</v>
      </c>
      <c r="C33" s="418"/>
      <c r="D33" s="418"/>
      <c r="E33" s="418"/>
      <c r="F33" s="418"/>
      <c r="G33" s="418"/>
      <c r="H33" s="418"/>
      <c r="I33" s="418"/>
      <c r="J33" s="667">
        <f>bondint!F42</f>
        <v>870590.0430769231</v>
      </c>
    </row>
    <row r="34" spans="1:10" ht="15">
      <c r="A34" s="657"/>
      <c r="B34" s="422"/>
      <c r="C34" s="418"/>
      <c r="D34" s="418"/>
      <c r="E34" s="418"/>
      <c r="F34" s="418"/>
      <c r="G34" s="418"/>
      <c r="H34" s="418"/>
      <c r="I34" s="418"/>
      <c r="J34" s="573"/>
    </row>
    <row r="35" spans="1:10" ht="15.75" thickBot="1">
      <c r="A35" s="657" t="s">
        <v>243</v>
      </c>
      <c r="B35" s="422" t="s">
        <v>245</v>
      </c>
      <c r="C35" s="418"/>
      <c r="D35" s="418"/>
      <c r="E35" s="418"/>
      <c r="F35" s="418"/>
      <c r="G35" s="418"/>
      <c r="H35" s="418"/>
      <c r="I35" s="418"/>
      <c r="J35" s="666">
        <f>J31+J33</f>
        <v>40721434.043076925</v>
      </c>
    </row>
    <row r="36" spans="1:10" ht="15" thickTop="1">
      <c r="A36" s="418"/>
      <c r="B36" s="418"/>
      <c r="C36" s="418"/>
      <c r="D36" s="418"/>
      <c r="E36" s="418"/>
      <c r="F36" s="418"/>
      <c r="G36" s="418"/>
      <c r="H36" s="418"/>
      <c r="I36" s="418"/>
      <c r="J36" s="418"/>
    </row>
    <row r="37" spans="1:10" ht="14.25">
      <c r="A37" s="849" t="str">
        <f>CONCATENATE("If the ",J1," budget includes tax levies exceeding the total on line 14, you must")</f>
        <v>If the 2013 budget includes tax levies exceeding the total on line 14, you must</v>
      </c>
      <c r="B37" s="849"/>
      <c r="C37" s="849"/>
      <c r="D37" s="849"/>
      <c r="E37" s="849"/>
      <c r="F37" s="849"/>
      <c r="G37" s="849"/>
      <c r="H37" s="849"/>
      <c r="I37" s="849"/>
      <c r="J37" s="849"/>
    </row>
    <row r="38" spans="1:10" ht="14.25">
      <c r="A38" s="849" t="s">
        <v>241</v>
      </c>
      <c r="B38" s="849"/>
      <c r="C38" s="849"/>
      <c r="D38" s="849"/>
      <c r="E38" s="849"/>
      <c r="F38" s="849"/>
      <c r="G38" s="849"/>
      <c r="H38" s="849"/>
      <c r="I38" s="849"/>
      <c r="J38" s="849"/>
    </row>
  </sheetData>
  <sheetProtection/>
  <mergeCells count="4">
    <mergeCell ref="A37:J37"/>
    <mergeCell ref="A38:J38"/>
    <mergeCell ref="A3:J3"/>
    <mergeCell ref="E4:G4"/>
  </mergeCells>
  <printOptions/>
  <pageMargins left="0.5" right="0.5" top="0.72" bottom="0.23" header="0.5" footer="0"/>
  <pageSetup blackAndWhite="1" fitToHeight="1" fitToWidth="1" horizontalDpi="600" verticalDpi="600" orientation="portrait" scale="85" r:id="rId1"/>
  <headerFooter alignWithMargins="0">
    <oddHeader>&amp;RState of Kansas
County
</oddHeader>
    <oddFooter>&amp;C&amp;"Arial,Regular"&amp;11WY-&amp;P</oddFooter>
  </headerFooter>
</worksheet>
</file>

<file path=xl/worksheets/sheet20.xml><?xml version="1.0" encoding="utf-8"?>
<worksheet xmlns="http://schemas.openxmlformats.org/spreadsheetml/2006/main" xmlns:r="http://schemas.openxmlformats.org/officeDocument/2006/relationships">
  <sheetPr>
    <tabColor rgb="FFFF0000"/>
    <pageSetUpPr fitToPage="1"/>
  </sheetPr>
  <dimension ref="A1:I50"/>
  <sheetViews>
    <sheetView zoomScale="75" zoomScaleNormal="75" zoomScalePageLayoutView="0" workbookViewId="0" topLeftCell="A16">
      <selection activeCell="L51" sqref="L51"/>
    </sheetView>
  </sheetViews>
  <sheetFormatPr defaultColWidth="8.796875" defaultRowHeight="15"/>
  <cols>
    <col min="1" max="1" width="28.8984375" style="420" customWidth="1"/>
    <col min="2" max="2" width="12.3984375" style="420" customWidth="1"/>
    <col min="3" max="3" width="9.3984375" style="420" customWidth="1"/>
    <col min="4" max="4" width="11.8984375" style="420" customWidth="1"/>
    <col min="5" max="5" width="10.69921875" style="420" customWidth="1"/>
    <col min="6" max="6" width="15.796875" style="420" customWidth="1"/>
    <col min="7" max="7" width="13.69921875" style="420" customWidth="1"/>
    <col min="8" max="8" width="9.796875" style="420" customWidth="1"/>
    <col min="9" max="9" width="8.8984375" style="420" customWidth="1"/>
    <col min="10" max="10" width="12.3984375" style="420" customWidth="1"/>
    <col min="11" max="11" width="12.296875" style="420" customWidth="1"/>
    <col min="12" max="12" width="10.59765625" style="420" customWidth="1"/>
    <col min="13" max="13" width="12.09765625" style="420" customWidth="1"/>
    <col min="14" max="16384" width="8.8984375" style="420" customWidth="1"/>
  </cols>
  <sheetData>
    <row r="1" spans="1:8" ht="14.25">
      <c r="A1" s="418"/>
      <c r="B1" s="418"/>
      <c r="C1" s="418"/>
      <c r="D1" s="418"/>
      <c r="E1" s="418"/>
      <c r="F1" s="418"/>
      <c r="G1" s="418"/>
      <c r="H1" s="419">
        <f>inputPrYr!C4</f>
        <v>2013</v>
      </c>
    </row>
    <row r="2" spans="1:9" ht="15">
      <c r="A2" s="841" t="s">
        <v>203</v>
      </c>
      <c r="B2" s="841"/>
      <c r="C2" s="841"/>
      <c r="D2" s="841"/>
      <c r="E2" s="841"/>
      <c r="F2" s="841"/>
      <c r="G2" s="841"/>
      <c r="H2" s="841"/>
      <c r="I2" s="733"/>
    </row>
    <row r="3" spans="1:8" ht="14.25">
      <c r="A3" s="418"/>
      <c r="B3" s="418"/>
      <c r="C3" s="418"/>
      <c r="D3" s="418"/>
      <c r="E3" s="418"/>
      <c r="F3" s="418"/>
      <c r="G3" s="418"/>
      <c r="H3" s="418"/>
    </row>
    <row r="4" spans="1:8" ht="14.25">
      <c r="A4" s="846" t="s">
        <v>231</v>
      </c>
      <c r="B4" s="846"/>
      <c r="C4" s="846"/>
      <c r="D4" s="846"/>
      <c r="E4" s="846"/>
      <c r="F4" s="846"/>
      <c r="G4" s="846"/>
      <c r="H4" s="846"/>
    </row>
    <row r="5" spans="1:8" ht="15">
      <c r="A5" s="844" t="str">
        <f>inputPrYr!C2</f>
        <v>Wyandotte County</v>
      </c>
      <c r="B5" s="844"/>
      <c r="C5" s="844"/>
      <c r="D5" s="844"/>
      <c r="E5" s="844"/>
      <c r="F5" s="844"/>
      <c r="G5" s="844"/>
      <c r="H5" s="844"/>
    </row>
    <row r="6" spans="1:8" ht="14.25">
      <c r="A6" s="909" t="str">
        <f>CONCATENATE("will meet on ",inputBudSum!B5," at ",inputBudSum!B7," at ",inputBudSum!B9," for the purpose of hearing and")</f>
        <v>will meet on July 30, 2012 at 5:00 pm at Commission Chambers of the Municipal Office Building for the purpose of hearing and</v>
      </c>
      <c r="B6" s="909"/>
      <c r="C6" s="909"/>
      <c r="D6" s="909"/>
      <c r="E6" s="909"/>
      <c r="F6" s="909"/>
      <c r="G6" s="909"/>
      <c r="H6" s="909"/>
    </row>
    <row r="7" spans="1:8" ht="14.25">
      <c r="A7" s="846" t="s">
        <v>602</v>
      </c>
      <c r="B7" s="846"/>
      <c r="C7" s="846"/>
      <c r="D7" s="846"/>
      <c r="E7" s="846"/>
      <c r="F7" s="846"/>
      <c r="G7" s="846"/>
      <c r="H7" s="846"/>
    </row>
    <row r="8" spans="1:8" ht="14.25">
      <c r="A8" s="909" t="str">
        <f>CONCATENATE("Detailed budget information is available at ",inputBudSum!B12," and will be available at this hearing.")</f>
        <v>Detailed budget information is available at Unified Government Budget Office, 701 N 7th Street, Room 510 and will be available at this hearing.</v>
      </c>
      <c r="B8" s="909"/>
      <c r="C8" s="909"/>
      <c r="D8" s="909"/>
      <c r="E8" s="909"/>
      <c r="F8" s="909"/>
      <c r="G8" s="909"/>
      <c r="H8" s="909"/>
    </row>
    <row r="9" spans="1:8" ht="15">
      <c r="A9" s="734" t="s">
        <v>204</v>
      </c>
      <c r="B9" s="688"/>
      <c r="C9" s="688"/>
      <c r="D9" s="735"/>
      <c r="E9" s="688"/>
      <c r="F9" s="688"/>
      <c r="G9" s="688"/>
      <c r="H9" s="688"/>
    </row>
    <row r="10" spans="1:8" ht="14.25">
      <c r="A10" s="846" t="str">
        <f>CONCATENATE("Proposed Budget ",H1," Expenditures and Amount of ",H1-1," Ad Valorem Tax establish the maximum limits of the ",H1," budget.")</f>
        <v>Proposed Budget 2013 Expenditures and Amount of 2012 Ad Valorem Tax establish the maximum limits of the 2013 budget.</v>
      </c>
      <c r="B10" s="846"/>
      <c r="C10" s="846"/>
      <c r="D10" s="846"/>
      <c r="E10" s="846"/>
      <c r="F10" s="846"/>
      <c r="G10" s="846"/>
      <c r="H10" s="846"/>
    </row>
    <row r="11" spans="1:8" ht="14.25">
      <c r="A11" s="846" t="s">
        <v>254</v>
      </c>
      <c r="B11" s="846"/>
      <c r="C11" s="846"/>
      <c r="D11" s="846"/>
      <c r="E11" s="846"/>
      <c r="F11" s="846"/>
      <c r="G11" s="846"/>
      <c r="H11" s="846"/>
    </row>
    <row r="12" spans="1:9" ht="14.25">
      <c r="A12" s="418"/>
      <c r="B12" s="418"/>
      <c r="C12" s="418"/>
      <c r="D12" s="418"/>
      <c r="E12" s="418"/>
      <c r="F12" s="418"/>
      <c r="G12" s="418"/>
      <c r="H12" s="418"/>
      <c r="I12" s="486"/>
    </row>
    <row r="13" spans="1:8" ht="18" customHeight="1">
      <c r="A13" s="418"/>
      <c r="B13" s="736" t="str">
        <f>CONCATENATE("Prior Year Actual for ",H1-2,"")</f>
        <v>Prior Year Actual for 2011</v>
      </c>
      <c r="C13" s="737"/>
      <c r="D13" s="738" t="str">
        <f>CONCATENATE("Current Year Estimate for ",H1-1,"")</f>
        <v>Current Year Estimate for 2012</v>
      </c>
      <c r="E13" s="737"/>
      <c r="F13" s="739" t="str">
        <f>CONCATENATE("Proposed Budget Year for ",H1,"")</f>
        <v>Proposed Budget Year for 2013</v>
      </c>
      <c r="G13" s="740"/>
      <c r="H13" s="737"/>
    </row>
    <row r="14" spans="1:8" ht="18" customHeight="1">
      <c r="A14" s="490"/>
      <c r="B14" s="741"/>
      <c r="C14" s="427" t="s">
        <v>163</v>
      </c>
      <c r="D14" s="427"/>
      <c r="E14" s="427" t="s">
        <v>163</v>
      </c>
      <c r="F14" s="742" t="s">
        <v>622</v>
      </c>
      <c r="G14" s="842" t="str">
        <f>CONCATENATE("Amount of ",H1-1,"       Ad Valorem Tax")</f>
        <v>Amount of 2012       Ad Valorem Tax</v>
      </c>
      <c r="H14" s="427" t="s">
        <v>164</v>
      </c>
    </row>
    <row r="15" spans="1:8" ht="18" customHeight="1">
      <c r="A15" s="743" t="s">
        <v>165</v>
      </c>
      <c r="B15" s="695" t="s">
        <v>126</v>
      </c>
      <c r="C15" s="695" t="s">
        <v>166</v>
      </c>
      <c r="D15" s="695" t="s">
        <v>126</v>
      </c>
      <c r="E15" s="695" t="s">
        <v>166</v>
      </c>
      <c r="F15" s="744" t="s">
        <v>623</v>
      </c>
      <c r="G15" s="843"/>
      <c r="H15" s="695" t="s">
        <v>166</v>
      </c>
    </row>
    <row r="16" spans="1:8" ht="18" customHeight="1">
      <c r="A16" s="437" t="str">
        <f>inputPrYr!B16</f>
        <v>General</v>
      </c>
      <c r="B16" s="437">
        <f>IF(general!$C$91&lt;&gt;0,general!$C$91,"  ")</f>
        <v>46604485</v>
      </c>
      <c r="C16" s="745">
        <f>IF(inputPrYr!D49&lt;&gt;0,inputPrYr!D49,"  ")</f>
        <v>27.857</v>
      </c>
      <c r="D16" s="437">
        <f>IF(general!$E$91&lt;&gt;0,general!$E$91,"  ")</f>
        <v>51250646</v>
      </c>
      <c r="E16" s="745">
        <f>IF(inputPrYr!F16&lt;&gt;0,inputPrYr!F16,"  ")</f>
        <v>30.072</v>
      </c>
      <c r="F16" s="437">
        <f>IF(general!$F$91&lt;&gt;0,general!$F$91,"  ")</f>
        <v>52467420</v>
      </c>
      <c r="G16" s="437">
        <f>IF(general!$F$98&lt;&gt;0,general!$F$98,"  ")</f>
        <v>32926267.110000007</v>
      </c>
      <c r="H16" s="745">
        <f>IF(general!F98&lt;&gt;0,ROUND(G16/$F$34*1000,3),"  ")</f>
        <v>30.072</v>
      </c>
    </row>
    <row r="17" spans="1:8" ht="18" customHeight="1">
      <c r="A17" s="437" t="str">
        <f>inputPrYr!B17</f>
        <v>Bond and Interest</v>
      </c>
      <c r="B17" s="437">
        <f>IF(bondint!$C$35&lt;&gt;0,bondint!$C$35,"  ")</f>
        <v>1104344</v>
      </c>
      <c r="C17" s="745">
        <f>IF(inputPrYr!D50&lt;&gt;0,inputPrYr!D50,"  ")</f>
        <v>0.817</v>
      </c>
      <c r="D17" s="437">
        <f>IF(bondint!$E$35&lt;&gt;0,bondint!$E$35,"  ")</f>
        <v>1146950</v>
      </c>
      <c r="E17" s="745">
        <f>IF(inputPrYr!F17&lt;&gt;0,inputPrYr!F17,"  ")</f>
        <v>0.82</v>
      </c>
      <c r="F17" s="437">
        <f>IF(bondint!$F$35&lt;&gt;0,bondint!$F$35,"  ")</f>
        <v>1120305</v>
      </c>
      <c r="G17" s="437">
        <f>IF(bondint!$F$42&lt;&gt;0,bondint!$F$42,"  ")</f>
        <v>870590.0430769231</v>
      </c>
      <c r="H17" s="745">
        <f>IF(bondint!F42&lt;&gt;0,ROUND(G17/$F$34*1000,3),"  ")</f>
        <v>0.795</v>
      </c>
    </row>
    <row r="18" spans="1:8" ht="18" customHeight="1">
      <c r="A18" s="437" t="str">
        <f>inputPrYr!B18</f>
        <v>County Elections</v>
      </c>
      <c r="B18" s="437">
        <f>IF(elections!C$33&lt;&gt;0,elections!C$33,"  ")</f>
        <v>972014</v>
      </c>
      <c r="C18" s="745">
        <f>IF(inputPrYr!D51&lt;&gt;0,inputPrYr!D51,"  ")</f>
        <v>0.856</v>
      </c>
      <c r="D18" s="437">
        <f>IF(elections!E$33&lt;&gt;0,elections!E$33,"  ")</f>
        <v>1419924</v>
      </c>
      <c r="E18" s="745">
        <f>IF(inputPrYr!F18&lt;&gt;0,inputPrYr!F18,"  ")</f>
        <v>0.859</v>
      </c>
      <c r="F18" s="437">
        <f>IF(elections!F$33&lt;&gt;0,elections!F$33,"  ")</f>
        <v>1295308</v>
      </c>
      <c r="G18" s="437">
        <f>IF(elections!F$40&lt;&gt;0,elections!F$40,"  ")</f>
        <v>940532</v>
      </c>
      <c r="H18" s="745">
        <f>IF(elections!F$40&lt;&gt;0,ROUND(G18/$F$34*1000,3),"  ")</f>
        <v>0.859</v>
      </c>
    </row>
    <row r="19" spans="1:8" ht="18" customHeight="1">
      <c r="A19" s="437" t="str">
        <f>IF((inputPrYr!$B19&gt;" "),(inputPrYr!$B19),"  ")</f>
        <v>Aging</v>
      </c>
      <c r="B19" s="437">
        <f>IF(aging!$C$35&lt;&gt;0,aging!$C$35,"  ")</f>
        <v>1156342</v>
      </c>
      <c r="C19" s="745">
        <f>IF(inputPrYr!D52&lt;&gt;0,inputPrYr!D52,"  ")</f>
        <v>0.907</v>
      </c>
      <c r="D19" s="437">
        <f>IF(aging!$E$35&lt;&gt;0,aging!$E$35,"  ")</f>
        <v>1185305</v>
      </c>
      <c r="E19" s="745">
        <f>IF(inputPrYr!F19&lt;&gt;0,inputPrYr!F19,"  ")</f>
        <v>1.011</v>
      </c>
      <c r="F19" s="437">
        <f>IF(aging!$F$35&lt;&gt;0,aging!$F$35,"  ")</f>
        <v>1225305</v>
      </c>
      <c r="G19" s="437">
        <f>IF(aging!F$42&lt;&gt;0,aging!F$42,"  ")</f>
        <v>1106959</v>
      </c>
      <c r="H19" s="745">
        <f>IF(aging!F$42&lt;&gt;0,ROUND(G19/$F$34*1000,3),"  ")</f>
        <v>1.011</v>
      </c>
    </row>
    <row r="20" spans="1:8" ht="18" customHeight="1">
      <c r="A20" s="437" t="str">
        <f>IF((inputPrYr!$B20&gt;" "),(inputPrYr!$B20),"  ")</f>
        <v>Mental Health</v>
      </c>
      <c r="B20" s="437">
        <f>IF('mental.health'!C$30&lt;&gt;0,'mental.health'!C$30,"  ")</f>
        <v>453867</v>
      </c>
      <c r="C20" s="745">
        <f>IF(inputPrYr!D53&lt;&gt;0,inputPrYr!D53,"  ")</f>
        <v>0.332</v>
      </c>
      <c r="D20" s="437">
        <f>IF('mental.health'!E30&lt;&gt;0,'mental.health'!E30,"  ")</f>
        <v>523331</v>
      </c>
      <c r="E20" s="745">
        <f>IF(inputPrYr!F20&lt;&gt;0,inputPrYr!F20,"  ")</f>
        <v>0.418</v>
      </c>
      <c r="F20" s="437">
        <f>IF('mental.health'!F$30&lt;&gt;0,'mental.health'!F$30,"  ")</f>
        <v>548331</v>
      </c>
      <c r="G20" s="437">
        <f>IF('mental.health'!F$37&lt;&gt;0,'mental.health'!F$37,"  ")</f>
        <v>457675</v>
      </c>
      <c r="H20" s="745">
        <f>IF('mental.health'!F$37&lt;&gt;0,ROUND(G20/$F$34*1000,3),"  ")</f>
        <v>0.418</v>
      </c>
    </row>
    <row r="21" spans="1:8" ht="18" customHeight="1">
      <c r="A21" s="437" t="str">
        <f>IF((inputPrYr!$B21&gt;" "),(inputPrYr!$B21),"  ")</f>
        <v>Developmental Disabilities</v>
      </c>
      <c r="B21" s="437">
        <f>IF('dev.dis health'!$C$32&lt;&gt;0,'dev.dis health'!$C$32,"  ")</f>
        <v>515607</v>
      </c>
      <c r="C21" s="745">
        <f>IF(inputPrYr!D54&lt;&gt;0,inputPrYr!D54,"  ")</f>
        <v>0.314</v>
      </c>
      <c r="D21" s="437">
        <f>IF('dev.dis health'!$E$32&lt;&gt;0,'dev.dis health'!$E$32,"  ")</f>
        <v>540101</v>
      </c>
      <c r="E21" s="745">
        <f>IF(inputPrYr!F21&lt;&gt;0,inputPrYr!F21,"  ")</f>
        <v>0.315</v>
      </c>
      <c r="F21" s="437">
        <f>IF('dev.dis health'!$F$32&lt;&gt;0,'dev.dis health'!$F$32,"  ")</f>
        <v>533085</v>
      </c>
      <c r="G21" s="437">
        <f>IF('dev.dis health'!$F$39&lt;&gt;0,'dev.dis health'!$F$39,"  ")</f>
        <v>372271</v>
      </c>
      <c r="H21" s="745">
        <f>IF('dev.dis health'!$F$39&lt;&gt;0,ROUND(G21/$F$34*1000,3),"  ")</f>
        <v>0.34</v>
      </c>
    </row>
    <row r="22" spans="1:8" ht="18" customHeight="1">
      <c r="A22" s="437" t="str">
        <f>IF((inputPrYr!$B22&gt;" "),(inputPrYr!$B22),"  ")</f>
        <v>County Health</v>
      </c>
      <c r="B22" s="437">
        <f>IF('dev.dis health'!$C$87&lt;&gt;0,'dev.dis health'!$C$87,"  ")</f>
        <v>3058177</v>
      </c>
      <c r="C22" s="745">
        <f>IF(inputPrYr!D55&lt;&gt;0,inputPrYr!D55,"  ")</f>
        <v>1.529</v>
      </c>
      <c r="D22" s="437">
        <f>IF('dev.dis health'!$E$87&lt;&gt;0,'dev.dis health'!$E$87,"  ")</f>
        <v>3321784</v>
      </c>
      <c r="E22" s="745">
        <f>IF(inputPrYr!F22&lt;&gt;0,inputPrYr!F22,"  ")</f>
        <v>1.535</v>
      </c>
      <c r="F22" s="437">
        <f>IF('dev.dis health'!$F$87&lt;&gt;0,'dev.dis health'!$F$87,"  ")</f>
        <v>3585377</v>
      </c>
      <c r="G22" s="437">
        <f>IF('dev.dis health'!$F$94&lt;&gt;0,'dev.dis health'!$F$94,"  ")</f>
        <v>1680693</v>
      </c>
      <c r="H22" s="745">
        <f>IF('dev.dis health'!$F$94&lt;&gt;0,ROUND(G22/$F$34*1000,3),"  ")</f>
        <v>1.535</v>
      </c>
    </row>
    <row r="23" spans="1:8" ht="18" customHeight="1">
      <c r="A23" s="437" t="str">
        <f>IF((inputPrYr!$B23&gt;" "),(inputPrYr!$B23),"  ")</f>
        <v>County Initiative for Funding Infrastructure</v>
      </c>
      <c r="B23" s="437">
        <f>IF('cifi cons.parks'!$C$32&lt;&gt;0,'cifi cons.parks'!$C$32,"  ")</f>
        <v>12262</v>
      </c>
      <c r="C23" s="745">
        <v>0</v>
      </c>
      <c r="D23" s="437">
        <f>IF('cifi cons.parks'!$E$32&lt;&gt;0,'cifi cons.parks'!$E$32,"  ")</f>
        <v>31449</v>
      </c>
      <c r="E23" s="745">
        <v>0</v>
      </c>
      <c r="F23" s="437">
        <v>0</v>
      </c>
      <c r="G23" s="437">
        <v>0</v>
      </c>
      <c r="H23" s="745">
        <v>0</v>
      </c>
    </row>
    <row r="24" spans="1:8" ht="18" customHeight="1">
      <c r="A24" s="437" t="str">
        <f>IF((inputPrYr!$B24&gt;" "),(inputPrYr!$B24),"  ")</f>
        <v>Consolidated Parks General Fund</v>
      </c>
      <c r="B24" s="437">
        <f>IF('cifi cons.parks'!$C$90&lt;&gt;0,'cifi cons.parks'!$C$90,"  ")</f>
        <v>5919043</v>
      </c>
      <c r="C24" s="745">
        <f>IF(inputPrYr!D57&lt;&gt;0,inputPrYr!D57,"  ")</f>
        <v>1.464</v>
      </c>
      <c r="D24" s="437">
        <f>IF('cifi cons.parks'!$E$90&lt;&gt;0,'cifi cons.parks'!$E$90,"  ")</f>
        <v>5569562</v>
      </c>
      <c r="E24" s="745">
        <f>IF(inputPrYr!F24&lt;&gt;0,inputPrYr!F24,"  ")</f>
        <v>1.369</v>
      </c>
      <c r="F24" s="437">
        <f>IF('cifi cons.parks'!$F$90&lt;&gt;0,'cifi cons.parks'!$F$90,"  ")</f>
        <v>5691046</v>
      </c>
      <c r="G24" s="437">
        <f>IF('cifi cons.parks'!$F$97&lt;&gt;0,'cifi cons.parks'!$F$97,"  ")</f>
        <v>1498938</v>
      </c>
      <c r="H24" s="745">
        <f>IF('cifi cons.parks'!$F$97&lt;&gt;0,ROUND(G24/$F$34*1000,3),"  ")</f>
        <v>1.369</v>
      </c>
    </row>
    <row r="25" spans="1:8" ht="18" customHeight="1">
      <c r="A25" s="437" t="str">
        <f>IF((inputPrYr!$B27&gt;" "),(inputPrYr!$B27),"  ")</f>
        <v>Court Trustee</v>
      </c>
      <c r="B25" s="437">
        <f>IF('trustee jail.com'!$C$25&lt;&gt;0,'trustee jail.com'!$C$25,"  ")</f>
        <v>361316</v>
      </c>
      <c r="C25" s="511"/>
      <c r="D25" s="437">
        <f>IF('trustee jail.com'!$E$25&lt;&gt;0,'trustee jail.com'!$E$25,"  ")</f>
        <v>486915</v>
      </c>
      <c r="E25" s="511"/>
      <c r="F25" s="437">
        <f>IF('trustee jail.com'!F$25&lt;&gt;0,'trustee jail.com'!F$25,"  ")</f>
        <v>498826</v>
      </c>
      <c r="G25" s="437">
        <v>0</v>
      </c>
      <c r="H25" s="593"/>
    </row>
    <row r="26" spans="1:8" ht="18" customHeight="1">
      <c r="A26" s="437" t="str">
        <f>IF((inputPrYr!$B28&gt;" "),(inputPrYr!$B28),"  ")</f>
        <v>Jail Commissary</v>
      </c>
      <c r="B26" s="437">
        <f>IF('trustee jail.com'!$C$54&lt;&gt;0,'trustee jail.com'!$C$54,"  ")</f>
        <v>51360</v>
      </c>
      <c r="C26" s="511"/>
      <c r="D26" s="437">
        <f>IF('trustee jail.com'!$E$54&lt;&gt;0,'trustee jail.com'!$E$54,"  ")</f>
        <v>60000</v>
      </c>
      <c r="E26" s="511"/>
      <c r="F26" s="437">
        <f>IF('trustee jail.com'!$F$54&lt;&gt;0,'trustee jail.com'!$F$54,"  ")</f>
        <v>60000</v>
      </c>
      <c r="G26" s="437">
        <v>0</v>
      </c>
      <c r="H26" s="593"/>
    </row>
    <row r="27" spans="1:8" ht="18" customHeight="1">
      <c r="A27" s="437" t="str">
        <f>IF((inputPrYr!$B29&gt;" "),(inputPrYr!$B29),"  ")</f>
        <v>Register of Deeds Technology</v>
      </c>
      <c r="B27" s="437">
        <f>IF('reg deeds'!$C$28&lt;&gt;0,'reg deeds'!$C$28,"  ")</f>
        <v>180322</v>
      </c>
      <c r="C27" s="511"/>
      <c r="D27" s="437">
        <f>IF('reg deeds'!$E$28&lt;&gt;0,'reg deeds'!$E$28,"  ")</f>
        <v>165000</v>
      </c>
      <c r="E27" s="511"/>
      <c r="F27" s="437">
        <f>IF('reg deeds'!$F$28&lt;&gt;0,'reg deeds'!$F$28,"  ")</f>
        <v>170000</v>
      </c>
      <c r="G27" s="437">
        <v>0</v>
      </c>
      <c r="H27" s="593"/>
    </row>
    <row r="28" spans="1:8" ht="18" customHeight="1">
      <c r="A28" s="437" t="str">
        <f>IF((inputPrYr!$B33&gt;"  "),(nonbudA!$A3),"  ")</f>
        <v>Non-Budgeted Funds-A</v>
      </c>
      <c r="B28" s="437">
        <f>IF(nonbudA!$K$30&lt;&gt;0,nonbudA!$K$30,"  ")</f>
        <v>10961666</v>
      </c>
      <c r="C28" s="511"/>
      <c r="D28" s="437"/>
      <c r="E28" s="511"/>
      <c r="F28" s="437"/>
      <c r="G28" s="437"/>
      <c r="H28" s="593"/>
    </row>
    <row r="29" spans="1:8" ht="18" customHeight="1">
      <c r="A29" s="437" t="str">
        <f>IF((inputPrYr!$B39&gt;"  "),(nonbudB!$A3),"  ")</f>
        <v>Non-Budgeted Funds-B</v>
      </c>
      <c r="B29" s="437">
        <f>IF(nonbudB!$K$28&lt;&gt;0,nonbudB!$K$28,"  ")</f>
        <v>4907640</v>
      </c>
      <c r="C29" s="511"/>
      <c r="D29" s="437"/>
      <c r="E29" s="511"/>
      <c r="F29" s="437"/>
      <c r="G29" s="437"/>
      <c r="H29" s="593"/>
    </row>
    <row r="30" spans="1:8" ht="18" customHeight="1">
      <c r="A30" s="746" t="s">
        <v>143</v>
      </c>
      <c r="B30" s="747">
        <f>SUM(B16:B29)</f>
        <v>76258445</v>
      </c>
      <c r="C30" s="748">
        <f>SUM(C16:C24)</f>
        <v>34.076</v>
      </c>
      <c r="D30" s="747">
        <f>SUM(D16:D29)</f>
        <v>65700967</v>
      </c>
      <c r="E30" s="748">
        <f>SUM(E16:E24)</f>
        <v>36.398999999999994</v>
      </c>
      <c r="F30" s="747">
        <f>SUM(F16:F29)</f>
        <v>67195003</v>
      </c>
      <c r="G30" s="747">
        <f>SUM(G16:G24)</f>
        <v>39853925.15307693</v>
      </c>
      <c r="H30" s="748">
        <f>SUM(H16:H24)</f>
        <v>36.399</v>
      </c>
    </row>
    <row r="31" spans="1:8" ht="18" customHeight="1">
      <c r="A31" s="490" t="s">
        <v>167</v>
      </c>
      <c r="B31" s="439">
        <f>transfers!C29</f>
        <v>287262</v>
      </c>
      <c r="C31" s="749"/>
      <c r="D31" s="439">
        <f>transfers!D29</f>
        <v>481449</v>
      </c>
      <c r="E31" s="487"/>
      <c r="F31" s="439">
        <f>transfers!E29</f>
        <v>350000</v>
      </c>
      <c r="G31" s="418"/>
      <c r="H31" s="750"/>
    </row>
    <row r="32" spans="1:8" ht="18" customHeight="1" thickBot="1">
      <c r="A32" s="490" t="s">
        <v>168</v>
      </c>
      <c r="B32" s="751">
        <f>B30-B31</f>
        <v>75971183</v>
      </c>
      <c r="C32" s="418"/>
      <c r="D32" s="751">
        <f>D30-D31</f>
        <v>65219518</v>
      </c>
      <c r="E32" s="749"/>
      <c r="F32" s="751">
        <f>F30-F31</f>
        <v>66845003</v>
      </c>
      <c r="G32" s="418"/>
      <c r="H32" s="750"/>
    </row>
    <row r="33" spans="1:8" ht="18" customHeight="1" thickTop="1">
      <c r="A33" s="490" t="s">
        <v>169</v>
      </c>
      <c r="B33" s="747">
        <f>inputPrYr!F60</f>
        <v>37448393</v>
      </c>
      <c r="C33" s="418"/>
      <c r="D33" s="747">
        <f>inputPrYr!E25</f>
        <v>39226929</v>
      </c>
      <c r="E33" s="418"/>
      <c r="F33" s="752" t="s">
        <v>54</v>
      </c>
      <c r="G33" s="418"/>
      <c r="H33" s="750"/>
    </row>
    <row r="34" spans="1:8" ht="18" customHeight="1">
      <c r="A34" s="490" t="s">
        <v>170</v>
      </c>
      <c r="B34" s="437">
        <f>inputPrYr!F61</f>
        <v>1098921073</v>
      </c>
      <c r="C34" s="418"/>
      <c r="D34" s="437">
        <f>inputPrYr!F44</f>
        <v>1077678389</v>
      </c>
      <c r="E34" s="418"/>
      <c r="F34" s="437">
        <f>inputOth!E6</f>
        <v>1094914441</v>
      </c>
      <c r="G34" s="418"/>
      <c r="H34" s="750"/>
    </row>
    <row r="35" spans="1:8" ht="18" customHeight="1">
      <c r="A35" s="418"/>
      <c r="B35" s="418"/>
      <c r="C35" s="418"/>
      <c r="D35" s="418"/>
      <c r="E35" s="418"/>
      <c r="F35" s="418"/>
      <c r="G35" s="418"/>
      <c r="H35" s="750"/>
    </row>
    <row r="36" spans="1:8" ht="18" customHeight="1">
      <c r="A36" s="490" t="s">
        <v>171</v>
      </c>
      <c r="B36" s="418"/>
      <c r="C36" s="418"/>
      <c r="D36" s="418"/>
      <c r="E36" s="418"/>
      <c r="F36" s="418"/>
      <c r="G36" s="418"/>
      <c r="H36" s="753"/>
    </row>
    <row r="37" spans="1:8" ht="18" customHeight="1">
      <c r="A37" s="490" t="s">
        <v>172</v>
      </c>
      <c r="B37" s="754">
        <f>H1-3</f>
        <v>2010</v>
      </c>
      <c r="C37" s="418"/>
      <c r="D37" s="754">
        <f>H1-2</f>
        <v>2011</v>
      </c>
      <c r="E37" s="418"/>
      <c r="F37" s="754">
        <f>H1-1</f>
        <v>2012</v>
      </c>
      <c r="G37" s="418"/>
      <c r="H37" s="753"/>
    </row>
    <row r="38" spans="1:8" ht="18" customHeight="1">
      <c r="A38" s="490" t="s">
        <v>173</v>
      </c>
      <c r="B38" s="437">
        <f>inputPrYr!D65</f>
        <v>0</v>
      </c>
      <c r="C38" s="418"/>
      <c r="D38" s="437">
        <f>inputPrYr!E65</f>
        <v>0</v>
      </c>
      <c r="E38" s="418"/>
      <c r="F38" s="437">
        <f>debt!G19</f>
        <v>645000</v>
      </c>
      <c r="G38" s="418"/>
      <c r="H38" s="753"/>
    </row>
    <row r="39" spans="1:8" ht="18" customHeight="1">
      <c r="A39" s="490" t="s">
        <v>174</v>
      </c>
      <c r="B39" s="437">
        <f>inputPrYr!D66</f>
        <v>0</v>
      </c>
      <c r="C39" s="418"/>
      <c r="D39" s="437">
        <f>inputPrYr!E66</f>
        <v>0</v>
      </c>
      <c r="E39" s="418"/>
      <c r="F39" s="437">
        <f>debt!G27</f>
        <v>0</v>
      </c>
      <c r="G39" s="418"/>
      <c r="H39" s="753"/>
    </row>
    <row r="40" spans="1:8" ht="18" customHeight="1">
      <c r="A40" s="490" t="s">
        <v>160</v>
      </c>
      <c r="B40" s="437">
        <f>inputPrYr!D67</f>
        <v>0</v>
      </c>
      <c r="C40" s="418"/>
      <c r="D40" s="437">
        <f>inputPrYr!E67</f>
        <v>105000</v>
      </c>
      <c r="E40" s="418"/>
      <c r="F40" s="437">
        <f>debt!G36</f>
        <v>55000</v>
      </c>
      <c r="G40" s="418"/>
      <c r="H40" s="753"/>
    </row>
    <row r="41" spans="1:8" ht="18" customHeight="1">
      <c r="A41" s="490" t="s">
        <v>255</v>
      </c>
      <c r="B41" s="437">
        <f>inputPrYr!D68</f>
        <v>3850792</v>
      </c>
      <c r="C41" s="418"/>
      <c r="D41" s="437">
        <f>inputPrYr!E68</f>
        <v>3559300</v>
      </c>
      <c r="E41" s="418"/>
      <c r="F41" s="437">
        <f>lpform!G37</f>
        <v>2673478</v>
      </c>
      <c r="G41" s="418"/>
      <c r="H41" s="753"/>
    </row>
    <row r="42" spans="1:8" ht="18" customHeight="1" thickBot="1">
      <c r="A42" s="490" t="s">
        <v>175</v>
      </c>
      <c r="B42" s="755">
        <f>SUM(B38:B41)</f>
        <v>3850792</v>
      </c>
      <c r="C42" s="418"/>
      <c r="D42" s="755">
        <f>SUM(D38:D41)</f>
        <v>3664300</v>
      </c>
      <c r="E42" s="418"/>
      <c r="F42" s="755">
        <f>SUM(F38:F41)</f>
        <v>3373478</v>
      </c>
      <c r="G42" s="418"/>
      <c r="H42" s="753"/>
    </row>
    <row r="43" spans="1:8" ht="18" customHeight="1" thickTop="1">
      <c r="A43" s="490" t="s">
        <v>176</v>
      </c>
      <c r="B43" s="418"/>
      <c r="C43" s="418"/>
      <c r="D43" s="418"/>
      <c r="E43" s="418"/>
      <c r="F43" s="418"/>
      <c r="G43" s="418"/>
      <c r="H43" s="753"/>
    </row>
    <row r="44" spans="1:8" ht="18" customHeight="1">
      <c r="A44" s="490"/>
      <c r="B44" s="418"/>
      <c r="C44" s="418"/>
      <c r="D44" s="418"/>
      <c r="E44" s="418"/>
      <c r="F44" s="418"/>
      <c r="G44" s="418"/>
      <c r="H44" s="753"/>
    </row>
    <row r="45" spans="1:8" ht="18" customHeight="1">
      <c r="A45" s="764" t="s">
        <v>1003</v>
      </c>
      <c r="B45" s="764">
        <f>+Library!C32</f>
        <v>1824244</v>
      </c>
      <c r="C45" s="765">
        <v>5.03</v>
      </c>
      <c r="D45" s="764">
        <f>+Library!E32</f>
        <v>1998971</v>
      </c>
      <c r="E45" s="765">
        <v>5.03</v>
      </c>
      <c r="F45" s="764">
        <f>Library!F32</f>
        <v>2180499</v>
      </c>
      <c r="G45" s="768">
        <f>Library!F39</f>
        <v>1942032.666666667</v>
      </c>
      <c r="H45" s="745">
        <f>IF(Library!$F$39&lt;&gt;0,ROUND(G45/$F$46*1000,3),"  ")</f>
        <v>5.33</v>
      </c>
    </row>
    <row r="46" spans="1:8" ht="18" customHeight="1">
      <c r="A46" s="764" t="s">
        <v>170</v>
      </c>
      <c r="B46" s="764">
        <v>350540199</v>
      </c>
      <c r="C46" s="765"/>
      <c r="D46" s="764">
        <v>359706649</v>
      </c>
      <c r="E46" s="765"/>
      <c r="F46" s="764">
        <v>364382362</v>
      </c>
      <c r="G46" s="764"/>
      <c r="H46" s="769"/>
    </row>
    <row r="47" spans="1:8" ht="18" customHeight="1">
      <c r="A47" s="418"/>
      <c r="B47" s="418"/>
      <c r="C47" s="418"/>
      <c r="D47" s="418"/>
      <c r="E47" s="418"/>
      <c r="F47" s="418"/>
      <c r="G47" s="418"/>
      <c r="H47" s="753"/>
    </row>
    <row r="48" spans="1:8" ht="18" customHeight="1">
      <c r="A48" s="908"/>
      <c r="B48" s="908"/>
      <c r="C48" s="418"/>
      <c r="D48" s="418"/>
      <c r="E48" s="418"/>
      <c r="F48" s="418"/>
      <c r="G48" s="418"/>
      <c r="H48" s="753"/>
    </row>
    <row r="49" spans="1:8" ht="18" customHeight="1">
      <c r="A49" s="735" t="s">
        <v>1024</v>
      </c>
      <c r="B49" s="688"/>
      <c r="C49" s="418"/>
      <c r="D49" s="418"/>
      <c r="E49" s="418"/>
      <c r="F49" s="418"/>
      <c r="G49" s="418"/>
      <c r="H49" s="753"/>
    </row>
    <row r="50" spans="1:8" ht="14.25">
      <c r="A50" s="486"/>
      <c r="D50" s="486"/>
      <c r="E50" s="486"/>
      <c r="F50" s="486"/>
      <c r="G50" s="486"/>
      <c r="H50" s="486"/>
    </row>
  </sheetData>
  <sheetProtection/>
  <mergeCells count="10">
    <mergeCell ref="A48:B48"/>
    <mergeCell ref="G14:G15"/>
    <mergeCell ref="A2:H2"/>
    <mergeCell ref="A4:H4"/>
    <mergeCell ref="A5:H5"/>
    <mergeCell ref="A6:H6"/>
    <mergeCell ref="A10:H10"/>
    <mergeCell ref="A11:H11"/>
    <mergeCell ref="A7:H7"/>
    <mergeCell ref="A8:H8"/>
  </mergeCells>
  <printOptions/>
  <pageMargins left="0.62" right="0.31" top="0.74" bottom="0.34" header="0.5" footer="0"/>
  <pageSetup blackAndWhite="1" fitToHeight="1" fitToWidth="1" horizontalDpi="120" verticalDpi="120" orientation="portrait" scale="71" r:id="rId1"/>
  <headerFooter alignWithMargins="0">
    <oddHeader>&amp;RState of Kansas
County
</oddHeader>
    <oddFooter>&amp;C&amp;"Arial,Regular"&amp;11WY-&amp;P</oddFooter>
  </headerFooter>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I68"/>
  <sheetViews>
    <sheetView zoomScale="70" zoomScaleNormal="70" zoomScalePageLayoutView="0" workbookViewId="0" topLeftCell="A1">
      <selection activeCell="E29" sqref="E29"/>
    </sheetView>
  </sheetViews>
  <sheetFormatPr defaultColWidth="8.796875" defaultRowHeight="15"/>
  <cols>
    <col min="1" max="1" width="15.796875" style="345" customWidth="1"/>
    <col min="2" max="2" width="34" style="345" customWidth="1"/>
    <col min="3" max="3" width="8.796875" style="345" customWidth="1"/>
    <col min="4" max="5" width="13.296875" style="345" customWidth="1"/>
    <col min="6" max="6" width="14" style="345" customWidth="1"/>
    <col min="7" max="7" width="1.796875" style="345" customWidth="1"/>
    <col min="8" max="8" width="18.69921875" style="345" customWidth="1"/>
    <col min="9" max="16384" width="8.8984375" style="345" customWidth="1"/>
  </cols>
  <sheetData>
    <row r="1" spans="1:9" ht="15.75">
      <c r="A1" s="914" t="s">
        <v>277</v>
      </c>
      <c r="B1" s="915"/>
      <c r="C1" s="915"/>
      <c r="D1" s="915"/>
      <c r="E1" s="915"/>
      <c r="F1" s="915"/>
      <c r="G1" s="353"/>
      <c r="H1" s="353"/>
      <c r="I1" s="353"/>
    </row>
    <row r="2" spans="1:9" ht="15">
      <c r="A2" s="354" t="s">
        <v>278</v>
      </c>
      <c r="B2" s="353"/>
      <c r="C2" s="355" t="s">
        <v>839</v>
      </c>
      <c r="D2" s="356"/>
      <c r="E2" s="357"/>
      <c r="F2" s="358"/>
      <c r="G2" s="353"/>
      <c r="H2" s="353"/>
      <c r="I2" s="353"/>
    </row>
    <row r="3" spans="1:9" ht="15">
      <c r="A3" s="354"/>
      <c r="B3" s="353"/>
      <c r="C3" s="353"/>
      <c r="D3" s="353"/>
      <c r="E3" s="359"/>
      <c r="F3" s="358"/>
      <c r="G3" s="353"/>
      <c r="H3" s="353"/>
      <c r="I3" s="353"/>
    </row>
    <row r="4" spans="1:9" ht="15.75">
      <c r="A4" s="354" t="s">
        <v>279</v>
      </c>
      <c r="B4" s="353"/>
      <c r="C4" s="360">
        <v>2013</v>
      </c>
      <c r="D4" s="361"/>
      <c r="E4" s="359"/>
      <c r="F4" s="358"/>
      <c r="G4" s="353"/>
      <c r="H4" s="353"/>
      <c r="I4" s="353"/>
    </row>
    <row r="5" spans="1:9" ht="15">
      <c r="A5" s="353"/>
      <c r="B5" s="353"/>
      <c r="C5" s="353"/>
      <c r="D5" s="353"/>
      <c r="E5" s="353"/>
      <c r="F5" s="353"/>
      <c r="G5" s="353"/>
      <c r="H5" s="353"/>
      <c r="I5" s="353"/>
    </row>
    <row r="6" spans="1:9" ht="18.75" customHeight="1">
      <c r="A6" s="362" t="s">
        <v>619</v>
      </c>
      <c r="B6" s="363"/>
      <c r="C6" s="363"/>
      <c r="D6" s="363"/>
      <c r="E6" s="363"/>
      <c r="F6" s="363"/>
      <c r="G6" s="353"/>
      <c r="H6" s="916" t="s">
        <v>918</v>
      </c>
      <c r="I6" s="916"/>
    </row>
    <row r="7" spans="1:9" ht="15.75">
      <c r="A7" s="362" t="s">
        <v>618</v>
      </c>
      <c r="B7" s="363"/>
      <c r="C7" s="363"/>
      <c r="D7" s="363"/>
      <c r="E7" s="363"/>
      <c r="F7" s="363"/>
      <c r="G7" s="353"/>
      <c r="H7" s="916"/>
      <c r="I7" s="916"/>
    </row>
    <row r="8" spans="1:9" ht="15.75">
      <c r="A8" s="362"/>
      <c r="B8" s="363"/>
      <c r="C8" s="363"/>
      <c r="D8" s="363"/>
      <c r="E8" s="363"/>
      <c r="F8" s="363"/>
      <c r="G8" s="353"/>
      <c r="H8" s="916"/>
      <c r="I8" s="916"/>
    </row>
    <row r="9" spans="1:9" ht="15.75">
      <c r="A9" s="912" t="s">
        <v>46</v>
      </c>
      <c r="B9" s="913"/>
      <c r="C9" s="913"/>
      <c r="D9" s="913"/>
      <c r="E9" s="913"/>
      <c r="F9" s="913"/>
      <c r="G9" s="353"/>
      <c r="H9" s="916"/>
      <c r="I9" s="916"/>
    </row>
    <row r="10" spans="1:9" ht="15">
      <c r="A10" s="353"/>
      <c r="B10" s="353"/>
      <c r="C10" s="353"/>
      <c r="D10" s="353"/>
      <c r="E10" s="353"/>
      <c r="F10" s="353"/>
      <c r="G10" s="353"/>
      <c r="H10" s="916"/>
      <c r="I10" s="916"/>
    </row>
    <row r="11" spans="1:9" ht="15.75">
      <c r="A11" s="364" t="str">
        <f>CONCATENATE("The input for the following comes directly from the ",C4-1," Budget:")</f>
        <v>The input for the following comes directly from the 2012 Budget:</v>
      </c>
      <c r="B11" s="365"/>
      <c r="C11" s="365"/>
      <c r="D11" s="365"/>
      <c r="E11" s="353"/>
      <c r="F11" s="353"/>
      <c r="G11" s="353"/>
      <c r="H11" s="916"/>
      <c r="I11" s="916"/>
    </row>
    <row r="12" spans="1:9" ht="15.75">
      <c r="A12" s="366" t="s">
        <v>280</v>
      </c>
      <c r="B12" s="365"/>
      <c r="C12" s="365"/>
      <c r="D12" s="365"/>
      <c r="E12" s="353"/>
      <c r="F12" s="353"/>
      <c r="G12" s="353"/>
      <c r="H12" s="358"/>
      <c r="I12" s="367"/>
    </row>
    <row r="13" spans="1:9" ht="15.75">
      <c r="A13" s="366" t="s">
        <v>919</v>
      </c>
      <c r="B13" s="365"/>
      <c r="C13" s="365"/>
      <c r="D13" s="365"/>
      <c r="E13" s="353"/>
      <c r="F13" s="353"/>
      <c r="G13" s="353"/>
      <c r="H13" s="353"/>
      <c r="I13" s="353"/>
    </row>
    <row r="14" spans="1:9" ht="15">
      <c r="A14" s="353"/>
      <c r="B14" s="353"/>
      <c r="C14" s="368"/>
      <c r="D14" s="369">
        <f>C4-1</f>
        <v>2012</v>
      </c>
      <c r="E14" s="370" t="str">
        <f>CONCATENATE("",C4-2,"")</f>
        <v>2011</v>
      </c>
      <c r="F14" s="371">
        <f>C4-2</f>
        <v>2011</v>
      </c>
      <c r="H14" s="372" t="s">
        <v>777</v>
      </c>
      <c r="I14" s="373" t="s">
        <v>156</v>
      </c>
    </row>
    <row r="15" spans="1:9" ht="15">
      <c r="A15" s="354" t="s">
        <v>281</v>
      </c>
      <c r="B15" s="353"/>
      <c r="C15" s="374" t="s">
        <v>115</v>
      </c>
      <c r="D15" s="375" t="s">
        <v>920</v>
      </c>
      <c r="E15" s="375" t="s">
        <v>84</v>
      </c>
      <c r="F15" s="375" t="s">
        <v>60</v>
      </c>
      <c r="H15" s="376" t="str">
        <f>CONCATENATE("",E14," Ad Valorem Tax")</f>
        <v>2011 Ad Valorem Tax</v>
      </c>
      <c r="I15" s="377">
        <v>0</v>
      </c>
    </row>
    <row r="16" spans="1:8" ht="15">
      <c r="A16" s="353"/>
      <c r="B16" s="348" t="s">
        <v>116</v>
      </c>
      <c r="C16" s="349" t="s">
        <v>250</v>
      </c>
      <c r="D16" s="378">
        <v>51250646</v>
      </c>
      <c r="E16" s="379">
        <v>32408029</v>
      </c>
      <c r="F16" s="380">
        <v>30.072</v>
      </c>
      <c r="H16" s="381">
        <f>IF($I$15&gt;0,ROUND(E16-(E16*$I$15),0),0)</f>
        <v>0</v>
      </c>
    </row>
    <row r="17" spans="1:8" ht="15">
      <c r="A17" s="353"/>
      <c r="B17" s="350" t="s">
        <v>905</v>
      </c>
      <c r="C17" s="349" t="s">
        <v>282</v>
      </c>
      <c r="D17" s="378">
        <v>1146950</v>
      </c>
      <c r="E17" s="379">
        <v>884159</v>
      </c>
      <c r="F17" s="380">
        <v>0.82</v>
      </c>
      <c r="H17" s="381">
        <f aca="true" t="shared" si="0" ref="H17:H24">IF($I$15&gt;0,ROUND(E17-(E17*$I$15),0),0)</f>
        <v>0</v>
      </c>
    </row>
    <row r="18" spans="1:8" ht="15">
      <c r="A18" s="354"/>
      <c r="B18" s="351" t="s">
        <v>906</v>
      </c>
      <c r="C18" s="352" t="s">
        <v>907</v>
      </c>
      <c r="D18" s="378">
        <v>1419924</v>
      </c>
      <c r="E18" s="378">
        <v>926018</v>
      </c>
      <c r="F18" s="382">
        <v>0.859</v>
      </c>
      <c r="H18" s="381">
        <f t="shared" si="0"/>
        <v>0</v>
      </c>
    </row>
    <row r="19" spans="1:8" ht="15">
      <c r="A19" s="353"/>
      <c r="B19" s="351" t="s">
        <v>908</v>
      </c>
      <c r="C19" s="352" t="s">
        <v>909</v>
      </c>
      <c r="D19" s="378">
        <v>1185305</v>
      </c>
      <c r="E19" s="383">
        <v>1089371</v>
      </c>
      <c r="F19" s="380">
        <v>1.011</v>
      </c>
      <c r="H19" s="381">
        <f t="shared" si="0"/>
        <v>0</v>
      </c>
    </row>
    <row r="20" spans="1:8" ht="15">
      <c r="A20" s="353"/>
      <c r="B20" s="351" t="s">
        <v>137</v>
      </c>
      <c r="C20" s="352" t="s">
        <v>910</v>
      </c>
      <c r="D20" s="378">
        <v>523331</v>
      </c>
      <c r="E20" s="383">
        <v>450028</v>
      </c>
      <c r="F20" s="380">
        <v>0.418</v>
      </c>
      <c r="H20" s="381">
        <f t="shared" si="0"/>
        <v>0</v>
      </c>
    </row>
    <row r="21" spans="1:8" ht="15">
      <c r="A21" s="353"/>
      <c r="B21" s="351" t="s">
        <v>911</v>
      </c>
      <c r="C21" s="352" t="s">
        <v>910</v>
      </c>
      <c r="D21" s="378">
        <v>540101</v>
      </c>
      <c r="E21" s="383">
        <v>339684</v>
      </c>
      <c r="F21" s="380">
        <v>0.315</v>
      </c>
      <c r="H21" s="381">
        <f t="shared" si="0"/>
        <v>0</v>
      </c>
    </row>
    <row r="22" spans="1:8" ht="15">
      <c r="A22" s="353"/>
      <c r="B22" s="351" t="s">
        <v>912</v>
      </c>
      <c r="C22" s="352" t="s">
        <v>913</v>
      </c>
      <c r="D22" s="378">
        <v>3321784</v>
      </c>
      <c r="E22" s="383">
        <v>1654068</v>
      </c>
      <c r="F22" s="380">
        <v>1.535</v>
      </c>
      <c r="H22" s="381">
        <f t="shared" si="0"/>
        <v>0</v>
      </c>
    </row>
    <row r="23" spans="1:8" ht="15">
      <c r="A23" s="353"/>
      <c r="B23" s="351" t="s">
        <v>914</v>
      </c>
      <c r="C23" s="352" t="s">
        <v>915</v>
      </c>
      <c r="D23" s="378">
        <v>31449</v>
      </c>
      <c r="E23" s="383">
        <v>0</v>
      </c>
      <c r="F23" s="380">
        <v>0</v>
      </c>
      <c r="H23" s="381">
        <f t="shared" si="0"/>
        <v>0</v>
      </c>
    </row>
    <row r="24" spans="1:8" ht="15">
      <c r="A24" s="353"/>
      <c r="B24" s="351" t="s">
        <v>916</v>
      </c>
      <c r="C24" s="352" t="s">
        <v>917</v>
      </c>
      <c r="D24" s="378">
        <v>5569562</v>
      </c>
      <c r="E24" s="383">
        <v>1475572</v>
      </c>
      <c r="F24" s="380">
        <v>1.369</v>
      </c>
      <c r="H24" s="381">
        <f t="shared" si="0"/>
        <v>0</v>
      </c>
    </row>
    <row r="25" spans="1:6" ht="15">
      <c r="A25" s="384" t="str">
        <f>CONCATENATE("Total Tax Levy Funds Levy Amounts and Levy Rates for ",C4-1," Budget")</f>
        <v>Total Tax Levy Funds Levy Amounts and Levy Rates for 2012 Budget</v>
      </c>
      <c r="B25" s="385"/>
      <c r="C25" s="385"/>
      <c r="D25" s="387">
        <f>SUM(D16:D24)</f>
        <v>64989052</v>
      </c>
      <c r="E25" s="387">
        <f>SUM(E16:E24)</f>
        <v>39226929</v>
      </c>
      <c r="F25" s="388">
        <f>SUM(F16:F24)</f>
        <v>36.398999999999994</v>
      </c>
    </row>
    <row r="26" spans="1:6" ht="15">
      <c r="A26" s="354" t="s">
        <v>20</v>
      </c>
      <c r="B26" s="353"/>
      <c r="C26" s="353"/>
      <c r="D26" s="353"/>
      <c r="E26" s="353"/>
      <c r="F26" s="353"/>
    </row>
    <row r="27" spans="1:6" ht="15">
      <c r="A27" s="353"/>
      <c r="B27" s="413" t="s">
        <v>921</v>
      </c>
      <c r="C27" s="353"/>
      <c r="D27" s="378">
        <v>486915</v>
      </c>
      <c r="E27" s="353"/>
      <c r="F27" s="353"/>
    </row>
    <row r="28" spans="1:6" ht="15">
      <c r="A28" s="353"/>
      <c r="B28" s="413" t="s">
        <v>922</v>
      </c>
      <c r="C28" s="353"/>
      <c r="D28" s="378">
        <v>60000</v>
      </c>
      <c r="E28" s="353"/>
      <c r="F28" s="353"/>
    </row>
    <row r="29" spans="1:6" ht="15">
      <c r="A29" s="353"/>
      <c r="B29" s="413" t="s">
        <v>923</v>
      </c>
      <c r="C29" s="353"/>
      <c r="D29" s="378">
        <v>165000</v>
      </c>
      <c r="E29" s="353"/>
      <c r="F29" s="353"/>
    </row>
    <row r="30" spans="1:6" ht="15">
      <c r="A30" s="384" t="str">
        <f>CONCATENATE("Total Expenditures for ",C4-1," Budgeted Year")</f>
        <v>Total Expenditures for 2012 Budgeted Year</v>
      </c>
      <c r="B30" s="389"/>
      <c r="C30" s="390"/>
      <c r="D30" s="391">
        <f>SUM(D16:D24,D27:D29)</f>
        <v>65700967</v>
      </c>
      <c r="E30" s="353"/>
      <c r="F30" s="353"/>
    </row>
    <row r="31" spans="1:6" ht="15">
      <c r="A31" s="392"/>
      <c r="B31" s="393"/>
      <c r="C31" s="353"/>
      <c r="D31" s="394"/>
      <c r="E31" s="353"/>
      <c r="F31" s="353"/>
    </row>
    <row r="32" spans="1:6" ht="15">
      <c r="A32" s="353" t="s">
        <v>10</v>
      </c>
      <c r="B32" s="393"/>
      <c r="C32" s="353"/>
      <c r="D32" s="353"/>
      <c r="E32" s="353"/>
      <c r="F32" s="353"/>
    </row>
    <row r="33" spans="1:6" ht="15">
      <c r="A33" s="353">
        <v>1</v>
      </c>
      <c r="B33" s="413" t="s">
        <v>924</v>
      </c>
      <c r="C33" s="353"/>
      <c r="D33" s="353"/>
      <c r="E33" s="353"/>
      <c r="F33" s="353"/>
    </row>
    <row r="34" spans="1:6" ht="15">
      <c r="A34" s="353">
        <v>2</v>
      </c>
      <c r="B34" s="413" t="s">
        <v>925</v>
      </c>
      <c r="C34" s="353"/>
      <c r="D34" s="353"/>
      <c r="E34" s="353"/>
      <c r="F34" s="353"/>
    </row>
    <row r="35" spans="1:6" ht="15">
      <c r="A35" s="353">
        <v>3</v>
      </c>
      <c r="B35" s="413" t="s">
        <v>926</v>
      </c>
      <c r="C35" s="353"/>
      <c r="D35" s="353"/>
      <c r="E35" s="353"/>
      <c r="F35" s="353"/>
    </row>
    <row r="36" spans="1:6" ht="15">
      <c r="A36" s="353">
        <v>4</v>
      </c>
      <c r="B36" s="413" t="s">
        <v>927</v>
      </c>
      <c r="C36" s="353"/>
      <c r="D36" s="353"/>
      <c r="E36" s="353"/>
      <c r="F36" s="353"/>
    </row>
    <row r="37" spans="1:6" ht="15">
      <c r="A37" s="353">
        <v>5</v>
      </c>
      <c r="B37" s="413" t="s">
        <v>928</v>
      </c>
      <c r="C37" s="353"/>
      <c r="D37" s="353"/>
      <c r="E37" s="353"/>
      <c r="F37" s="353"/>
    </row>
    <row r="38" spans="1:6" ht="15">
      <c r="A38" s="353" t="s">
        <v>19</v>
      </c>
      <c r="B38" s="393"/>
      <c r="C38" s="353"/>
      <c r="D38" s="353"/>
      <c r="E38" s="353"/>
      <c r="F38" s="353"/>
    </row>
    <row r="39" spans="1:6" ht="15">
      <c r="A39" s="353">
        <v>1</v>
      </c>
      <c r="B39" s="413" t="s">
        <v>929</v>
      </c>
      <c r="C39" s="353"/>
      <c r="D39" s="353"/>
      <c r="E39" s="353"/>
      <c r="F39" s="353"/>
    </row>
    <row r="40" spans="1:6" ht="15">
      <c r="A40" s="353">
        <v>2</v>
      </c>
      <c r="B40" s="380"/>
      <c r="C40" s="353"/>
      <c r="D40" s="353"/>
      <c r="E40" s="353"/>
      <c r="F40" s="353"/>
    </row>
    <row r="41" spans="1:6" ht="15">
      <c r="A41" s="353">
        <v>3</v>
      </c>
      <c r="B41" s="380"/>
      <c r="C41" s="353"/>
      <c r="D41" s="353"/>
      <c r="E41" s="353"/>
      <c r="F41" s="353"/>
    </row>
    <row r="42" spans="1:6" ht="15">
      <c r="A42" s="353">
        <v>4</v>
      </c>
      <c r="B42" s="380"/>
      <c r="C42" s="353"/>
      <c r="D42" s="353"/>
      <c r="E42" s="353"/>
      <c r="F42" s="353"/>
    </row>
    <row r="43" spans="1:6" ht="15">
      <c r="A43" s="353">
        <v>5</v>
      </c>
      <c r="B43" s="380"/>
      <c r="C43" s="353"/>
      <c r="D43" s="353"/>
      <c r="E43" s="353"/>
      <c r="F43" s="353"/>
    </row>
    <row r="44" spans="1:6" ht="15">
      <c r="A44" s="384" t="str">
        <f>CONCATENATE("County's Final Assessed Valuation for ",C4-1," (November 1,",C4-2," Abstract):")</f>
        <v>County's Final Assessed Valuation for 2012 (November 1,2011 Abstract):</v>
      </c>
      <c r="B44" s="385"/>
      <c r="C44" s="385"/>
      <c r="D44" s="385"/>
      <c r="E44" s="390"/>
      <c r="F44" s="383">
        <v>1077678389</v>
      </c>
    </row>
    <row r="45" spans="1:6" ht="15">
      <c r="A45" s="354"/>
      <c r="B45" s="353"/>
      <c r="C45" s="353"/>
      <c r="D45" s="353"/>
      <c r="E45" s="353"/>
      <c r="F45" s="353"/>
    </row>
    <row r="46" spans="1:6" ht="15">
      <c r="A46" s="353"/>
      <c r="B46" s="353"/>
      <c r="C46" s="353"/>
      <c r="D46" s="353"/>
      <c r="E46" s="353"/>
      <c r="F46" s="353"/>
    </row>
    <row r="47" spans="1:6" ht="15.75">
      <c r="A47" s="395" t="str">
        <f>CONCATENATE("From the ",C4-1," Budget:")</f>
        <v>From the 2012 Budget:</v>
      </c>
      <c r="B47" s="365"/>
      <c r="C47" s="353"/>
      <c r="D47" s="910" t="str">
        <f>CONCATENATE("",C4-3," Tax Rate (",C4-2," Column)")</f>
        <v>2010 Tax Rate (2011 Column)</v>
      </c>
      <c r="E47" s="396"/>
      <c r="F47" s="353"/>
    </row>
    <row r="48" spans="1:6" ht="15.75">
      <c r="A48" s="395" t="s">
        <v>107</v>
      </c>
      <c r="B48" s="397"/>
      <c r="C48" s="353"/>
      <c r="D48" s="911"/>
      <c r="E48" s="396"/>
      <c r="F48" s="353"/>
    </row>
    <row r="49" spans="1:6" ht="15">
      <c r="A49" s="353"/>
      <c r="B49" s="398" t="str">
        <f>B16</f>
        <v>General</v>
      </c>
      <c r="C49" s="353"/>
      <c r="D49" s="380">
        <v>27.857</v>
      </c>
      <c r="E49" s="396"/>
      <c r="F49" s="353"/>
    </row>
    <row r="50" spans="1:6" ht="15">
      <c r="A50" s="353"/>
      <c r="B50" s="398" t="str">
        <f aca="true" t="shared" si="1" ref="B50:B57">B17</f>
        <v>Bond and Interest</v>
      </c>
      <c r="C50" s="353"/>
      <c r="D50" s="380">
        <v>0.817</v>
      </c>
      <c r="E50" s="396"/>
      <c r="F50" s="353"/>
    </row>
    <row r="51" spans="1:6" ht="15">
      <c r="A51" s="353"/>
      <c r="B51" s="398" t="str">
        <f t="shared" si="1"/>
        <v>County Elections</v>
      </c>
      <c r="C51" s="353"/>
      <c r="D51" s="380">
        <v>0.856</v>
      </c>
      <c r="E51" s="396"/>
      <c r="F51" s="353"/>
    </row>
    <row r="52" spans="1:6" ht="15">
      <c r="A52" s="353"/>
      <c r="B52" s="398" t="str">
        <f t="shared" si="1"/>
        <v>Aging</v>
      </c>
      <c r="C52" s="353"/>
      <c r="D52" s="380">
        <v>0.907</v>
      </c>
      <c r="E52" s="396"/>
      <c r="F52" s="353"/>
    </row>
    <row r="53" spans="1:6" ht="15">
      <c r="A53" s="353"/>
      <c r="B53" s="398" t="str">
        <f t="shared" si="1"/>
        <v>Mental Health</v>
      </c>
      <c r="C53" s="353"/>
      <c r="D53" s="380">
        <v>0.332</v>
      </c>
      <c r="E53" s="396"/>
      <c r="F53" s="353"/>
    </row>
    <row r="54" spans="1:6" ht="15">
      <c r="A54" s="353"/>
      <c r="B54" s="398" t="str">
        <f t="shared" si="1"/>
        <v>Developmental Disabilities</v>
      </c>
      <c r="C54" s="353"/>
      <c r="D54" s="380">
        <v>0.314</v>
      </c>
      <c r="E54" s="396"/>
      <c r="F54" s="353"/>
    </row>
    <row r="55" spans="1:6" ht="15">
      <c r="A55" s="353"/>
      <c r="B55" s="398" t="str">
        <f t="shared" si="1"/>
        <v>County Health</v>
      </c>
      <c r="C55" s="353"/>
      <c r="D55" s="380">
        <v>1.529</v>
      </c>
      <c r="E55" s="396"/>
      <c r="F55" s="353"/>
    </row>
    <row r="56" spans="1:6" ht="15">
      <c r="A56" s="353"/>
      <c r="B56" s="398" t="str">
        <f t="shared" si="1"/>
        <v>County Initiative for Funding Infrastructure</v>
      </c>
      <c r="C56" s="353"/>
      <c r="D56" s="380">
        <v>0</v>
      </c>
      <c r="E56" s="396"/>
      <c r="F56" s="353"/>
    </row>
    <row r="57" spans="1:6" ht="15">
      <c r="A57" s="353"/>
      <c r="B57" s="398" t="str">
        <f t="shared" si="1"/>
        <v>Consolidated Parks General Fund</v>
      </c>
      <c r="C57" s="353"/>
      <c r="D57" s="380">
        <v>1.464</v>
      </c>
      <c r="E57" s="396"/>
      <c r="F57" s="353"/>
    </row>
    <row r="58" spans="1:6" ht="15">
      <c r="A58" s="385" t="s">
        <v>117</v>
      </c>
      <c r="B58" s="385"/>
      <c r="C58" s="390"/>
      <c r="D58" s="388">
        <f>SUM(D49:D57)</f>
        <v>34.076</v>
      </c>
      <c r="E58" s="396"/>
      <c r="F58" s="353"/>
    </row>
    <row r="59" spans="1:6" ht="15">
      <c r="A59" s="353"/>
      <c r="B59" s="353"/>
      <c r="C59" s="353"/>
      <c r="D59" s="353"/>
      <c r="E59" s="353"/>
      <c r="F59" s="353"/>
    </row>
    <row r="60" spans="1:6" ht="15">
      <c r="A60" s="399" t="str">
        <f>CONCATENATE("Total Tax Levied (",C4-2," budget column)")</f>
        <v>Total Tax Levied (2011 budget column)</v>
      </c>
      <c r="B60" s="400"/>
      <c r="C60" s="385"/>
      <c r="D60" s="385"/>
      <c r="E60" s="390"/>
      <c r="F60" s="383">
        <v>37448393</v>
      </c>
    </row>
    <row r="61" spans="1:6" ht="15">
      <c r="A61" s="401" t="str">
        <f>CONCATENATE("Assessed Valuation  (",C4-2," budget column)")</f>
        <v>Assessed Valuation  (2011 budget column)</v>
      </c>
      <c r="B61" s="402"/>
      <c r="C61" s="403"/>
      <c r="D61" s="403"/>
      <c r="E61" s="386"/>
      <c r="F61" s="383">
        <v>1098921073</v>
      </c>
    </row>
    <row r="62" spans="1:6" ht="15">
      <c r="A62" s="392"/>
      <c r="B62" s="358"/>
      <c r="C62" s="358"/>
      <c r="D62" s="358"/>
      <c r="E62" s="358"/>
      <c r="F62" s="404"/>
    </row>
    <row r="63" spans="1:6" ht="15.75">
      <c r="A63" s="405" t="str">
        <f>CONCATENATE("From the ",C4-1," Budget, Budget Summary Page:")</f>
        <v>From the 2012 Budget, Budget Summary Page:</v>
      </c>
      <c r="B63" s="406"/>
      <c r="C63" s="396"/>
      <c r="D63" s="396"/>
      <c r="E63" s="396"/>
      <c r="F63" s="396"/>
    </row>
    <row r="64" spans="1:6" ht="15">
      <c r="A64" s="407" t="s">
        <v>0</v>
      </c>
      <c r="B64" s="407"/>
      <c r="C64" s="367"/>
      <c r="D64" s="408">
        <f>C4-3</f>
        <v>2010</v>
      </c>
      <c r="E64" s="409">
        <f>C4-2</f>
        <v>2011</v>
      </c>
      <c r="F64" s="396"/>
    </row>
    <row r="65" spans="1:6" ht="15">
      <c r="A65" s="410" t="s">
        <v>1</v>
      </c>
      <c r="B65" s="410"/>
      <c r="C65" s="411"/>
      <c r="D65" s="378">
        <v>0</v>
      </c>
      <c r="E65" s="378">
        <v>0</v>
      </c>
      <c r="F65" s="396"/>
    </row>
    <row r="66" spans="1:6" s="347" customFormat="1" ht="15">
      <c r="A66" s="412" t="s">
        <v>2</v>
      </c>
      <c r="B66" s="412"/>
      <c r="C66" s="411"/>
      <c r="D66" s="378">
        <v>0</v>
      </c>
      <c r="E66" s="378">
        <v>0</v>
      </c>
      <c r="F66" s="367"/>
    </row>
    <row r="67" spans="1:6" s="347" customFormat="1" ht="15">
      <c r="A67" s="412" t="s">
        <v>3</v>
      </c>
      <c r="B67" s="412"/>
      <c r="C67" s="411"/>
      <c r="D67" s="378">
        <v>0</v>
      </c>
      <c r="E67" s="378">
        <v>105000</v>
      </c>
      <c r="F67" s="367"/>
    </row>
    <row r="68" spans="1:6" s="347" customFormat="1" ht="15">
      <c r="A68" s="412" t="s">
        <v>4</v>
      </c>
      <c r="B68" s="412"/>
      <c r="C68" s="411"/>
      <c r="D68" s="378">
        <v>3850792</v>
      </c>
      <c r="E68" s="378">
        <v>3559300</v>
      </c>
      <c r="F68" s="367"/>
    </row>
    <row r="69" s="347" customFormat="1" ht="15"/>
  </sheetData>
  <sheetProtection/>
  <mergeCells count="4">
    <mergeCell ref="D47:D48"/>
    <mergeCell ref="A9:F9"/>
    <mergeCell ref="A1:F1"/>
    <mergeCell ref="H6:I11"/>
  </mergeCells>
  <printOptions/>
  <pageMargins left="0.5" right="0.5" top="1" bottom="0.5" header="0.5" footer="0.25"/>
  <pageSetup blackAndWhite="1" fitToHeight="3" fitToWidth="1" horizontalDpi="120" verticalDpi="120" orientation="portrait" scale="80" r:id="rId1"/>
</worksheet>
</file>

<file path=xl/worksheets/sheet22.xml><?xml version="1.0" encoding="utf-8"?>
<worksheet xmlns="http://schemas.openxmlformats.org/spreadsheetml/2006/main" xmlns:r="http://schemas.openxmlformats.org/officeDocument/2006/relationships">
  <sheetPr>
    <tabColor rgb="FFFF0000"/>
  </sheetPr>
  <dimension ref="A1:E42"/>
  <sheetViews>
    <sheetView zoomScalePageLayoutView="0" workbookViewId="0" topLeftCell="A13">
      <selection activeCell="E23" sqref="E23"/>
    </sheetView>
  </sheetViews>
  <sheetFormatPr defaultColWidth="8.796875" defaultRowHeight="15"/>
  <cols>
    <col min="1" max="1" width="30.09765625" style="72" customWidth="1"/>
    <col min="2" max="2" width="20.796875" style="72" customWidth="1"/>
    <col min="3" max="3" width="9.796875" style="72" customWidth="1"/>
    <col min="4" max="4" width="15.296875" style="72" customWidth="1"/>
    <col min="5" max="5" width="15.796875" style="72" customWidth="1"/>
    <col min="6" max="16384" width="8.8984375" style="72" customWidth="1"/>
  </cols>
  <sheetData>
    <row r="1" spans="1:5" ht="15.75">
      <c r="A1" s="101" t="str">
        <f>inputPrYr!C2</f>
        <v>Wyandotte County</v>
      </c>
      <c r="B1" s="96"/>
      <c r="C1" s="96"/>
      <c r="D1" s="96"/>
      <c r="E1" s="96">
        <f>inputPrYr!C4</f>
        <v>2013</v>
      </c>
    </row>
    <row r="2" spans="1:5" ht="15.75">
      <c r="A2" s="101"/>
      <c r="B2" s="96"/>
      <c r="C2" s="96"/>
      <c r="D2" s="96"/>
      <c r="E2" s="96"/>
    </row>
    <row r="3" spans="1:5" ht="15.75">
      <c r="A3" s="917" t="s">
        <v>46</v>
      </c>
      <c r="B3" s="918"/>
      <c r="C3" s="918"/>
      <c r="D3" s="918"/>
      <c r="E3" s="918"/>
    </row>
    <row r="4" spans="1:5" ht="15.75">
      <c r="A4" s="96"/>
      <c r="B4" s="96"/>
      <c r="C4" s="96"/>
      <c r="D4" s="96"/>
      <c r="E4" s="96"/>
    </row>
    <row r="5" spans="1:5" ht="15.75">
      <c r="A5" s="95" t="str">
        <f>CONCATENATE("From the County Clerks ",E1," Budget Information:")</f>
        <v>From the County Clerks 2013 Budget Information:</v>
      </c>
      <c r="B5" s="97"/>
      <c r="C5" s="85"/>
      <c r="D5" s="84"/>
      <c r="E5" s="102"/>
    </row>
    <row r="6" spans="1:5" ht="15.75">
      <c r="A6" s="103" t="str">
        <f>CONCATENATE("Total Assessed Valuation for ",E1-1,"")</f>
        <v>Total Assessed Valuation for 2012</v>
      </c>
      <c r="B6" s="98"/>
      <c r="C6" s="98"/>
      <c r="D6" s="98"/>
      <c r="E6" s="90">
        <v>1094914441</v>
      </c>
    </row>
    <row r="7" spans="1:5" ht="15.75">
      <c r="A7" s="103" t="str">
        <f>CONCATENATE("New Improvements for ",E1-1,"")</f>
        <v>New Improvements for 2012</v>
      </c>
      <c r="B7" s="98"/>
      <c r="C7" s="98"/>
      <c r="D7" s="98"/>
      <c r="E7" s="104">
        <v>38291686</v>
      </c>
    </row>
    <row r="8" spans="1:5" ht="15.75">
      <c r="A8" s="103" t="str">
        <f>CONCATENATE("Personal Property excluding oil, gas, and mobile homes- ",E1-1,"")</f>
        <v>Personal Property excluding oil, gas, and mobile homes- 2012</v>
      </c>
      <c r="B8" s="98"/>
      <c r="C8" s="98"/>
      <c r="D8" s="98"/>
      <c r="E8" s="104">
        <v>90991848</v>
      </c>
    </row>
    <row r="9" spans="1:5" ht="15.75">
      <c r="A9" s="103" t="str">
        <f>CONCATENATE("Property that has changed in use for ",E1-1,"")</f>
        <v>Property that has changed in use for 2012</v>
      </c>
      <c r="B9" s="98"/>
      <c r="C9" s="98"/>
      <c r="D9" s="98"/>
      <c r="E9" s="104">
        <v>3143123</v>
      </c>
    </row>
    <row r="10" spans="1:5" ht="15.75">
      <c r="A10" s="103" t="str">
        <f>CONCATENATE("Personal Property excluding oil, gas, and mobile homes- ",E1-2,"")</f>
        <v>Personal Property excluding oil, gas, and mobile homes- 2011</v>
      </c>
      <c r="B10" s="98"/>
      <c r="C10" s="98"/>
      <c r="D10" s="98"/>
      <c r="E10" s="104">
        <v>93541906</v>
      </c>
    </row>
    <row r="11" spans="1:5" ht="15.75">
      <c r="A11" s="103" t="str">
        <f>CONCATENATE("Gross earnings (intangible) tax esitmate for ",E1,"")</f>
        <v>Gross earnings (intangible) tax esitmate for 2013</v>
      </c>
      <c r="B11" s="98"/>
      <c r="C11" s="98"/>
      <c r="D11" s="98"/>
      <c r="E11" s="90"/>
    </row>
    <row r="12" spans="1:5" ht="15.75">
      <c r="A12" s="105" t="s">
        <v>284</v>
      </c>
      <c r="B12" s="98"/>
      <c r="C12" s="98"/>
      <c r="D12" s="93"/>
      <c r="E12" s="90">
        <v>8471524</v>
      </c>
    </row>
    <row r="13" spans="1:5" ht="15.75">
      <c r="A13" s="84"/>
      <c r="B13" s="84"/>
      <c r="C13" s="84"/>
      <c r="D13" s="86"/>
      <c r="E13" s="86"/>
    </row>
    <row r="14" spans="1:5" ht="15.75">
      <c r="A14" s="95" t="str">
        <f>CONCATENATE("From the County Treasurer's ",E1," Budget Information:")</f>
        <v>From the County Treasurer's 2013 Budget Information:</v>
      </c>
      <c r="B14" s="97"/>
      <c r="C14" s="97"/>
      <c r="D14" s="102"/>
      <c r="E14" s="102"/>
    </row>
    <row r="15" spans="1:5" ht="15.75">
      <c r="A15" s="91" t="s">
        <v>118</v>
      </c>
      <c r="B15" s="92"/>
      <c r="C15" s="92"/>
      <c r="D15" s="106"/>
      <c r="E15" s="90"/>
    </row>
    <row r="16" spans="1:5" ht="15.75">
      <c r="A16" s="103" t="s">
        <v>119</v>
      </c>
      <c r="B16" s="98"/>
      <c r="C16" s="98"/>
      <c r="D16" s="107"/>
      <c r="E16" s="90"/>
    </row>
    <row r="17" spans="1:5" ht="15.75">
      <c r="A17" s="103" t="s">
        <v>211</v>
      </c>
      <c r="B17" s="98"/>
      <c r="C17" s="98"/>
      <c r="D17" s="107"/>
      <c r="E17" s="90"/>
    </row>
    <row r="18" spans="1:5" ht="15.75">
      <c r="A18" s="103" t="s">
        <v>285</v>
      </c>
      <c r="B18" s="98"/>
      <c r="C18" s="98"/>
      <c r="D18" s="108"/>
      <c r="E18" s="90"/>
    </row>
    <row r="19" spans="1:5" ht="15.75">
      <c r="A19" s="103" t="s">
        <v>286</v>
      </c>
      <c r="B19" s="98"/>
      <c r="C19" s="98"/>
      <c r="D19" s="108"/>
      <c r="E19" s="90"/>
    </row>
    <row r="20" spans="1:5" ht="15.75">
      <c r="A20" s="84"/>
      <c r="B20" s="84"/>
      <c r="C20" s="84"/>
      <c r="D20" s="84"/>
      <c r="E20" s="84"/>
    </row>
    <row r="21" spans="1:5" ht="15.75">
      <c r="A21" s="109" t="s">
        <v>287</v>
      </c>
      <c r="B21" s="84"/>
      <c r="C21" s="84"/>
      <c r="D21" s="84"/>
      <c r="E21" s="84"/>
    </row>
    <row r="22" spans="1:5" ht="15.75">
      <c r="A22" s="335" t="str">
        <f>CONCATENATE("Actual Delinquency for ",E1-3," Tax - (rate .01213 = 1.213%, key in 1.2)")</f>
        <v>Actual Delinquency for 2010 Tax - (rate .01213 = 1.213%, key in 1.2)</v>
      </c>
      <c r="B22" s="92"/>
      <c r="C22" s="92"/>
      <c r="D22" s="94"/>
      <c r="E22" s="334">
        <v>0.088</v>
      </c>
    </row>
    <row r="23" spans="1:5" ht="15.75">
      <c r="A23" s="337" t="s">
        <v>778</v>
      </c>
      <c r="B23" s="92"/>
      <c r="C23" s="92"/>
      <c r="D23" s="92"/>
      <c r="E23" s="336">
        <v>0.08</v>
      </c>
    </row>
    <row r="24" spans="1:5" ht="15.75">
      <c r="A24" s="82" t="s">
        <v>288</v>
      </c>
      <c r="B24" s="82"/>
      <c r="C24" s="82"/>
      <c r="D24" s="82"/>
      <c r="E24" s="82"/>
    </row>
    <row r="25" spans="1:5" ht="15.75">
      <c r="A25" s="110"/>
      <c r="B25" s="110"/>
      <c r="C25" s="110"/>
      <c r="D25" s="110"/>
      <c r="E25" s="110"/>
    </row>
    <row r="26" spans="1:5" ht="15.75">
      <c r="A26" s="919" t="str">
        <f>CONCATENATE("From the ",E1-2," Budget Certificate Page")</f>
        <v>From the 2011 Budget Certificate Page</v>
      </c>
      <c r="B26" s="920"/>
      <c r="C26" s="110"/>
      <c r="D26" s="110"/>
      <c r="E26" s="110"/>
    </row>
    <row r="27" spans="1:5" ht="15.75">
      <c r="A27" s="111"/>
      <c r="B27" s="921" t="str">
        <f>CONCATENATE("",E1-2,"                         Expenditure Amt Budget Authority")</f>
        <v>2011                         Expenditure Amt Budget Authority</v>
      </c>
      <c r="C27" s="923" t="str">
        <f>CONCATENATE("Note: If the ",E1-2," budget was amended, then the")</f>
        <v>Note: If the 2011 budget was amended, then the</v>
      </c>
      <c r="D27" s="924"/>
      <c r="E27" s="924"/>
    </row>
    <row r="28" spans="1:5" ht="15.75">
      <c r="A28" s="112" t="s">
        <v>57</v>
      </c>
      <c r="B28" s="922"/>
      <c r="C28" s="113" t="s">
        <v>58</v>
      </c>
      <c r="D28" s="114"/>
      <c r="E28" s="114"/>
    </row>
    <row r="29" spans="1:5" ht="15.75">
      <c r="A29" s="115"/>
      <c r="B29" s="854"/>
      <c r="C29" s="113" t="s">
        <v>59</v>
      </c>
      <c r="D29" s="114"/>
      <c r="E29" s="114"/>
    </row>
    <row r="30" spans="1:5" ht="15.75">
      <c r="A30" s="116" t="str">
        <f>inputPrYr!B16</f>
        <v>General</v>
      </c>
      <c r="B30" s="117">
        <v>47922001</v>
      </c>
      <c r="C30" s="113"/>
      <c r="D30" s="114"/>
      <c r="E30" s="114"/>
    </row>
    <row r="31" spans="1:5" ht="15.75">
      <c r="A31" s="116" t="str">
        <f>inputPrYr!B17</f>
        <v>Bond and Interest</v>
      </c>
      <c r="B31" s="88">
        <v>1161820</v>
      </c>
      <c r="C31" s="113"/>
      <c r="D31" s="114"/>
      <c r="E31" s="114"/>
    </row>
    <row r="32" spans="1:5" ht="15.75">
      <c r="A32" s="116" t="str">
        <f>inputPrYr!B18</f>
        <v>County Elections</v>
      </c>
      <c r="B32" s="88">
        <v>1197500</v>
      </c>
      <c r="C32" s="110"/>
      <c r="D32" s="110"/>
      <c r="E32" s="110"/>
    </row>
    <row r="33" spans="1:5" ht="15.75">
      <c r="A33" s="116" t="str">
        <f>inputPrYr!B19</f>
        <v>Aging</v>
      </c>
      <c r="B33" s="88">
        <v>1168147</v>
      </c>
      <c r="C33" s="110"/>
      <c r="D33" s="110"/>
      <c r="E33" s="110"/>
    </row>
    <row r="34" spans="1:5" ht="15.75">
      <c r="A34" s="116" t="str">
        <f>inputPrYr!B20</f>
        <v>Mental Health</v>
      </c>
      <c r="B34" s="88">
        <v>474867</v>
      </c>
      <c r="C34" s="110"/>
      <c r="D34" s="110"/>
      <c r="E34" s="110"/>
    </row>
    <row r="35" spans="1:5" ht="15.75">
      <c r="A35" s="116" t="str">
        <f>inputPrYr!B21</f>
        <v>Developmental Disabilities</v>
      </c>
      <c r="B35" s="88">
        <v>567993</v>
      </c>
      <c r="C35" s="110"/>
      <c r="D35" s="110"/>
      <c r="E35" s="110"/>
    </row>
    <row r="36" spans="1:5" ht="15.75">
      <c r="A36" s="116" t="str">
        <f>inputPrYr!B22</f>
        <v>County Health</v>
      </c>
      <c r="B36" s="88">
        <v>3624421</v>
      </c>
      <c r="C36" s="110"/>
      <c r="D36" s="110"/>
      <c r="E36" s="110"/>
    </row>
    <row r="37" spans="1:5" ht="15.75">
      <c r="A37" s="116" t="str">
        <f>inputPrYr!B23</f>
        <v>County Initiative for Funding Infrastructure</v>
      </c>
      <c r="B37" s="88">
        <v>12262</v>
      </c>
      <c r="C37" s="110"/>
      <c r="D37" s="110"/>
      <c r="E37" s="110"/>
    </row>
    <row r="38" spans="1:5" ht="15.75">
      <c r="A38" s="116" t="str">
        <f>inputPrYr!B24</f>
        <v>Consolidated Parks General Fund</v>
      </c>
      <c r="B38" s="88">
        <v>6132309</v>
      </c>
      <c r="C38" s="110"/>
      <c r="D38" s="110"/>
      <c r="E38" s="110"/>
    </row>
    <row r="39" spans="1:5" ht="15.75">
      <c r="A39" s="116" t="str">
        <f>inputPrYr!B27</f>
        <v>Court Trustee</v>
      </c>
      <c r="B39" s="88">
        <v>431202</v>
      </c>
      <c r="C39" s="110"/>
      <c r="D39" s="110"/>
      <c r="E39" s="110"/>
    </row>
    <row r="40" spans="1:5" ht="15.75">
      <c r="A40" s="116" t="str">
        <f>inputPrYr!B28</f>
        <v>Jail Commissary</v>
      </c>
      <c r="B40" s="88">
        <v>60000</v>
      </c>
      <c r="C40" s="110"/>
      <c r="D40" s="110"/>
      <c r="E40" s="110"/>
    </row>
    <row r="41" spans="1:5" ht="15.75">
      <c r="A41" s="116" t="str">
        <f>inputPrYr!B29</f>
        <v>Register of Deeds Technology</v>
      </c>
      <c r="B41" s="88">
        <v>185000</v>
      </c>
      <c r="C41" s="110"/>
      <c r="D41" s="110"/>
      <c r="E41" s="110"/>
    </row>
    <row r="42" spans="1:2" ht="15.75">
      <c r="A42" s="116" t="s">
        <v>1004</v>
      </c>
      <c r="B42" s="88">
        <v>1944244</v>
      </c>
    </row>
  </sheetData>
  <sheetProtection/>
  <mergeCells count="4">
    <mergeCell ref="A3:E3"/>
    <mergeCell ref="A26:B26"/>
    <mergeCell ref="B27:B29"/>
    <mergeCell ref="C27:E27"/>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A48"/>
  <sheetViews>
    <sheetView zoomScalePageLayoutView="0" workbookViewId="0" topLeftCell="A1">
      <selection activeCell="B7" sqref="B7"/>
    </sheetView>
  </sheetViews>
  <sheetFormatPr defaultColWidth="8.796875" defaultRowHeight="15"/>
  <cols>
    <col min="1" max="1" width="62.3984375" style="118" customWidth="1"/>
    <col min="2" max="16384" width="8.8984375" style="118" customWidth="1"/>
  </cols>
  <sheetData>
    <row r="1" ht="18.75">
      <c r="A1" s="149" t="s">
        <v>317</v>
      </c>
    </row>
    <row r="2" ht="15.75">
      <c r="A2" s="72"/>
    </row>
    <row r="3" ht="54.75" customHeight="1">
      <c r="A3" s="150" t="s">
        <v>318</v>
      </c>
    </row>
    <row r="4" ht="15.75">
      <c r="A4" s="190"/>
    </row>
    <row r="5" ht="51" customHeight="1">
      <c r="A5" s="150" t="s">
        <v>319</v>
      </c>
    </row>
    <row r="6" ht="15.75">
      <c r="A6" s="72"/>
    </row>
    <row r="7" ht="51.75" customHeight="1">
      <c r="A7" s="150" t="s">
        <v>320</v>
      </c>
    </row>
    <row r="8" ht="13.5" customHeight="1">
      <c r="A8" s="150"/>
    </row>
    <row r="9" ht="51.75" customHeight="1">
      <c r="A9" s="181" t="s">
        <v>733</v>
      </c>
    </row>
    <row r="10" ht="15.75">
      <c r="A10" s="190"/>
    </row>
    <row r="11" ht="36" customHeight="1">
      <c r="A11" s="150" t="s">
        <v>321</v>
      </c>
    </row>
    <row r="12" ht="15.75">
      <c r="A12" s="72"/>
    </row>
    <row r="13" ht="51.75" customHeight="1">
      <c r="A13" s="150" t="s">
        <v>322</v>
      </c>
    </row>
    <row r="14" ht="15.75">
      <c r="A14" s="190"/>
    </row>
    <row r="15" ht="33" customHeight="1">
      <c r="A15" s="150" t="s">
        <v>323</v>
      </c>
    </row>
    <row r="16" ht="15.75">
      <c r="A16" s="190"/>
    </row>
    <row r="17" ht="32.25" customHeight="1">
      <c r="A17" s="150" t="s">
        <v>324</v>
      </c>
    </row>
    <row r="18" ht="15.75">
      <c r="A18" s="190"/>
    </row>
    <row r="19" ht="53.25" customHeight="1">
      <c r="A19" s="150" t="s">
        <v>325</v>
      </c>
    </row>
    <row r="20" ht="15.75">
      <c r="A20" s="72"/>
    </row>
    <row r="21" ht="50.25" customHeight="1">
      <c r="A21" s="150" t="s">
        <v>326</v>
      </c>
    </row>
    <row r="22" ht="15.75">
      <c r="A22" s="72"/>
    </row>
    <row r="23" ht="15.75">
      <c r="A23" s="72"/>
    </row>
    <row r="24" ht="96" customHeight="1">
      <c r="A24" s="150" t="s">
        <v>327</v>
      </c>
    </row>
    <row r="25" ht="15.75">
      <c r="A25" s="72"/>
    </row>
    <row r="26" ht="30.75" customHeight="1">
      <c r="A26" s="75" t="s">
        <v>328</v>
      </c>
    </row>
    <row r="27" ht="15.75">
      <c r="A27" s="72"/>
    </row>
    <row r="28" ht="95.25" customHeight="1">
      <c r="A28" s="183" t="s">
        <v>734</v>
      </c>
    </row>
    <row r="29" ht="15.75">
      <c r="A29" s="72"/>
    </row>
    <row r="30" ht="34.5" customHeight="1">
      <c r="A30" s="150" t="s">
        <v>329</v>
      </c>
    </row>
    <row r="31" ht="15.75">
      <c r="A31" s="72"/>
    </row>
    <row r="32" ht="66" customHeight="1">
      <c r="A32" s="150" t="s">
        <v>330</v>
      </c>
    </row>
    <row r="33" ht="15.75">
      <c r="A33" s="190"/>
    </row>
    <row r="34" ht="57" customHeight="1">
      <c r="A34" s="150" t="s">
        <v>331</v>
      </c>
    </row>
    <row r="35" ht="15.75">
      <c r="A35" s="72"/>
    </row>
    <row r="36" ht="49.5" customHeight="1">
      <c r="A36" s="150" t="s">
        <v>332</v>
      </c>
    </row>
    <row r="37" ht="15.75">
      <c r="A37" s="72"/>
    </row>
    <row r="38" ht="74.25" customHeight="1">
      <c r="A38" s="183" t="s">
        <v>735</v>
      </c>
    </row>
    <row r="39" ht="15.75">
      <c r="A39" s="72"/>
    </row>
    <row r="40" ht="55.5" customHeight="1">
      <c r="A40" s="150" t="s">
        <v>333</v>
      </c>
    </row>
    <row r="41" ht="15.75">
      <c r="A41" s="72"/>
    </row>
    <row r="42" ht="53.25" customHeight="1">
      <c r="A42" s="150" t="s">
        <v>334</v>
      </c>
    </row>
    <row r="43" ht="15.75">
      <c r="A43" s="190"/>
    </row>
    <row r="44" ht="47.25" customHeight="1">
      <c r="A44" s="150" t="s">
        <v>335</v>
      </c>
    </row>
    <row r="45" ht="15.75">
      <c r="A45" s="190"/>
    </row>
    <row r="46" ht="49.5" customHeight="1">
      <c r="A46" s="150" t="s">
        <v>336</v>
      </c>
    </row>
    <row r="47" ht="15.75">
      <c r="A47" s="190"/>
    </row>
    <row r="48" ht="36" customHeight="1">
      <c r="A48" s="150" t="s">
        <v>337</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J57"/>
  <sheetViews>
    <sheetView zoomScale="75" zoomScaleNormal="75" zoomScalePageLayoutView="0" workbookViewId="0" topLeftCell="A25">
      <selection activeCell="E42" sqref="E42"/>
    </sheetView>
  </sheetViews>
  <sheetFormatPr defaultColWidth="8.796875" defaultRowHeight="15"/>
  <cols>
    <col min="1" max="1" width="21.8984375" style="2" customWidth="1"/>
    <col min="2" max="2" width="12.796875" style="2" customWidth="1"/>
    <col min="3" max="3" width="10.296875" style="2" customWidth="1"/>
    <col min="4" max="4" width="12.8984375" style="2" customWidth="1"/>
    <col min="5" max="5" width="10.19921875" style="2" customWidth="1"/>
    <col min="6" max="6" width="15" style="2" customWidth="1"/>
    <col min="7" max="7" width="12.796875" style="2" customWidth="1"/>
    <col min="8" max="8" width="15.296875" style="2" customWidth="1"/>
    <col min="9" max="9" width="9.796875" style="2" customWidth="1"/>
    <col min="10" max="16384" width="8.8984375" style="2" customWidth="1"/>
  </cols>
  <sheetData>
    <row r="1" spans="1:9" ht="15.75">
      <c r="A1" s="27" t="str">
        <f>inputPrYr!C2</f>
        <v>Wyandotte County</v>
      </c>
      <c r="B1" s="14"/>
      <c r="C1" s="14"/>
      <c r="D1" s="14"/>
      <c r="E1" s="14"/>
      <c r="F1" s="14"/>
      <c r="G1" s="14"/>
      <c r="H1" s="14"/>
      <c r="I1" s="51">
        <f>inputPrYr!C4</f>
        <v>2013</v>
      </c>
    </row>
    <row r="2" spans="1:9" ht="15.75">
      <c r="A2" s="14"/>
      <c r="B2" s="14"/>
      <c r="C2" s="14"/>
      <c r="D2" s="14"/>
      <c r="E2" s="14"/>
      <c r="F2" s="14"/>
      <c r="G2" s="14"/>
      <c r="H2" s="14"/>
      <c r="I2" s="13"/>
    </row>
    <row r="3" spans="1:10" ht="15.75">
      <c r="A3" s="32" t="s">
        <v>203</v>
      </c>
      <c r="B3" s="17"/>
      <c r="C3" s="17"/>
      <c r="D3" s="17"/>
      <c r="E3" s="17"/>
      <c r="F3" s="17"/>
      <c r="G3" s="17"/>
      <c r="H3" s="17"/>
      <c r="I3" s="31"/>
      <c r="J3" s="3"/>
    </row>
    <row r="4" spans="1:9" ht="15.75">
      <c r="A4" s="14"/>
      <c r="B4" s="18"/>
      <c r="C4" s="18"/>
      <c r="D4" s="18"/>
      <c r="E4" s="18"/>
      <c r="F4" s="18"/>
      <c r="G4" s="18"/>
      <c r="H4" s="18"/>
      <c r="I4" s="18"/>
    </row>
    <row r="5" spans="1:9" ht="15.75">
      <c r="A5" s="14"/>
      <c r="B5" s="33" t="str">
        <f>CONCATENATE("Prior Year Actual for ",I1-2,"")</f>
        <v>Prior Year Actual for 2011</v>
      </c>
      <c r="C5" s="21"/>
      <c r="D5" s="34" t="str">
        <f>CONCATENATE("Current Year Estimate for ",I1-1,"")</f>
        <v>Current Year Estimate for 2012</v>
      </c>
      <c r="E5" s="21"/>
      <c r="F5" s="19" t="str">
        <f>CONCATENATE("Proposed Budget Year for ",I1,"")</f>
        <v>Proposed Budget Year for 2013</v>
      </c>
      <c r="G5" s="20"/>
      <c r="H5" s="20"/>
      <c r="I5" s="21"/>
    </row>
    <row r="6" spans="1:9" ht="21" customHeight="1">
      <c r="A6" s="15" t="s">
        <v>7</v>
      </c>
      <c r="B6" s="22"/>
      <c r="C6" s="22" t="s">
        <v>163</v>
      </c>
      <c r="D6" s="22"/>
      <c r="E6" s="22" t="s">
        <v>163</v>
      </c>
      <c r="F6" s="188" t="s">
        <v>622</v>
      </c>
      <c r="G6" s="855" t="str">
        <f>CONCATENATE("Amount of ",I1-1,"    Ad Valorem Tax")</f>
        <v>Amount of 2012    Ad Valorem Tax</v>
      </c>
      <c r="H6" s="855" t="str">
        <f>CONCATENATE("July 1, ",I1-1," Estimated Valuation")</f>
        <v>July 1, 2012 Estimated Valuation</v>
      </c>
      <c r="I6" s="22" t="s">
        <v>164</v>
      </c>
    </row>
    <row r="7" spans="1:9" ht="15.75">
      <c r="A7" s="23" t="s">
        <v>8</v>
      </c>
      <c r="B7" s="29" t="s">
        <v>126</v>
      </c>
      <c r="C7" s="29" t="s">
        <v>166</v>
      </c>
      <c r="D7" s="29" t="s">
        <v>126</v>
      </c>
      <c r="E7" s="29" t="s">
        <v>166</v>
      </c>
      <c r="F7" s="189" t="s">
        <v>623</v>
      </c>
      <c r="G7" s="856"/>
      <c r="H7" s="856"/>
      <c r="I7" s="29" t="s">
        <v>166</v>
      </c>
    </row>
    <row r="8" spans="1:9" ht="15.75">
      <c r="A8" s="9"/>
      <c r="B8" s="9"/>
      <c r="C8" s="11"/>
      <c r="D8" s="9"/>
      <c r="E8" s="11"/>
      <c r="F8" s="9"/>
      <c r="G8" s="9"/>
      <c r="H8" s="9"/>
      <c r="I8" s="59" t="str">
        <f aca="true" t="shared" si="0" ref="I8:I36">IF(H8&lt;&gt;0,ROUND(G8/H8*1000,3)," ")</f>
        <v> </v>
      </c>
    </row>
    <row r="9" spans="1:9" ht="15.75">
      <c r="A9" s="9"/>
      <c r="B9" s="9"/>
      <c r="C9" s="11"/>
      <c r="D9" s="9"/>
      <c r="E9" s="11"/>
      <c r="F9" s="9"/>
      <c r="G9" s="9"/>
      <c r="H9" s="9"/>
      <c r="I9" s="59" t="str">
        <f t="shared" si="0"/>
        <v> </v>
      </c>
    </row>
    <row r="10" spans="1:9" ht="15.75">
      <c r="A10" s="9"/>
      <c r="B10" s="9"/>
      <c r="C10" s="11"/>
      <c r="D10" s="9"/>
      <c r="E10" s="11"/>
      <c r="F10" s="9"/>
      <c r="G10" s="9"/>
      <c r="H10" s="9"/>
      <c r="I10" s="59" t="str">
        <f t="shared" si="0"/>
        <v> </v>
      </c>
    </row>
    <row r="11" spans="1:9" ht="15.75">
      <c r="A11" s="9"/>
      <c r="B11" s="9"/>
      <c r="C11" s="11"/>
      <c r="D11" s="9"/>
      <c r="E11" s="11"/>
      <c r="F11" s="9"/>
      <c r="G11" s="9"/>
      <c r="H11" s="9"/>
      <c r="I11" s="59" t="str">
        <f t="shared" si="0"/>
        <v> </v>
      </c>
    </row>
    <row r="12" spans="1:9" ht="15.75">
      <c r="A12" s="9"/>
      <c r="B12" s="9"/>
      <c r="C12" s="11"/>
      <c r="D12" s="9"/>
      <c r="E12" s="11"/>
      <c r="F12" s="9"/>
      <c r="G12" s="9"/>
      <c r="H12" s="9"/>
      <c r="I12" s="59" t="str">
        <f t="shared" si="0"/>
        <v> </v>
      </c>
    </row>
    <row r="13" spans="1:9" ht="15.75">
      <c r="A13" s="9"/>
      <c r="B13" s="9"/>
      <c r="C13" s="11"/>
      <c r="D13" s="9"/>
      <c r="E13" s="11"/>
      <c r="F13" s="9"/>
      <c r="G13" s="9"/>
      <c r="H13" s="9"/>
      <c r="I13" s="59" t="str">
        <f t="shared" si="0"/>
        <v> </v>
      </c>
    </row>
    <row r="14" spans="1:9" ht="15.75">
      <c r="A14" s="9"/>
      <c r="B14" s="9"/>
      <c r="C14" s="11"/>
      <c r="D14" s="9"/>
      <c r="E14" s="11"/>
      <c r="F14" s="9"/>
      <c r="G14" s="9"/>
      <c r="H14" s="9"/>
      <c r="I14" s="59" t="str">
        <f t="shared" si="0"/>
        <v> </v>
      </c>
    </row>
    <row r="15" spans="1:9" ht="15.75">
      <c r="A15" s="9"/>
      <c r="B15" s="9"/>
      <c r="C15" s="11"/>
      <c r="D15" s="9"/>
      <c r="E15" s="11"/>
      <c r="F15" s="9"/>
      <c r="G15" s="9"/>
      <c r="H15" s="9"/>
      <c r="I15" s="59" t="str">
        <f t="shared" si="0"/>
        <v> </v>
      </c>
    </row>
    <row r="16" spans="1:9" ht="15.75">
      <c r="A16" s="9"/>
      <c r="B16" s="9"/>
      <c r="C16" s="11"/>
      <c r="D16" s="9"/>
      <c r="E16" s="11"/>
      <c r="F16" s="9"/>
      <c r="G16" s="9"/>
      <c r="H16" s="9"/>
      <c r="I16" s="59" t="str">
        <f t="shared" si="0"/>
        <v> </v>
      </c>
    </row>
    <row r="17" spans="1:9" ht="15.75">
      <c r="A17" s="9"/>
      <c r="B17" s="9"/>
      <c r="C17" s="11"/>
      <c r="D17" s="9"/>
      <c r="E17" s="11"/>
      <c r="F17" s="9"/>
      <c r="G17" s="9"/>
      <c r="H17" s="9"/>
      <c r="I17" s="59" t="str">
        <f t="shared" si="0"/>
        <v> </v>
      </c>
    </row>
    <row r="18" spans="1:9" ht="15.75">
      <c r="A18" s="9"/>
      <c r="B18" s="9"/>
      <c r="C18" s="11"/>
      <c r="D18" s="9"/>
      <c r="E18" s="11"/>
      <c r="F18" s="9"/>
      <c r="G18" s="9"/>
      <c r="H18" s="9"/>
      <c r="I18" s="59" t="str">
        <f t="shared" si="0"/>
        <v> </v>
      </c>
    </row>
    <row r="19" spans="1:9" ht="15.75">
      <c r="A19" s="9"/>
      <c r="B19" s="9"/>
      <c r="C19" s="11"/>
      <c r="D19" s="9"/>
      <c r="E19" s="11"/>
      <c r="F19" s="9"/>
      <c r="G19" s="9"/>
      <c r="H19" s="9"/>
      <c r="I19" s="59" t="str">
        <f t="shared" si="0"/>
        <v> </v>
      </c>
    </row>
    <row r="20" spans="1:9" ht="15.75">
      <c r="A20" s="9"/>
      <c r="B20" s="9"/>
      <c r="C20" s="11"/>
      <c r="D20" s="9"/>
      <c r="E20" s="11"/>
      <c r="F20" s="9"/>
      <c r="G20" s="9"/>
      <c r="H20" s="9"/>
      <c r="I20" s="59" t="str">
        <f t="shared" si="0"/>
        <v> </v>
      </c>
    </row>
    <row r="21" spans="1:9" ht="15.75">
      <c r="A21" s="9"/>
      <c r="B21" s="9"/>
      <c r="C21" s="11"/>
      <c r="D21" s="9"/>
      <c r="E21" s="11"/>
      <c r="F21" s="9"/>
      <c r="G21" s="9"/>
      <c r="H21" s="9"/>
      <c r="I21" s="59" t="str">
        <f t="shared" si="0"/>
        <v> </v>
      </c>
    </row>
    <row r="22" spans="1:9" ht="15.75">
      <c r="A22" s="9"/>
      <c r="B22" s="9"/>
      <c r="C22" s="11"/>
      <c r="D22" s="9"/>
      <c r="E22" s="11"/>
      <c r="F22" s="9"/>
      <c r="G22" s="9"/>
      <c r="H22" s="9"/>
      <c r="I22" s="59" t="str">
        <f t="shared" si="0"/>
        <v> </v>
      </c>
    </row>
    <row r="23" spans="1:9" ht="15.75">
      <c r="A23" s="9"/>
      <c r="B23" s="9"/>
      <c r="C23" s="11"/>
      <c r="D23" s="9"/>
      <c r="E23" s="11"/>
      <c r="F23" s="9"/>
      <c r="G23" s="9"/>
      <c r="H23" s="9"/>
      <c r="I23" s="59" t="str">
        <f t="shared" si="0"/>
        <v> </v>
      </c>
    </row>
    <row r="24" spans="1:9" ht="15.75">
      <c r="A24" s="9"/>
      <c r="B24" s="9"/>
      <c r="C24" s="11"/>
      <c r="D24" s="9"/>
      <c r="E24" s="11"/>
      <c r="F24" s="9"/>
      <c r="G24" s="9"/>
      <c r="H24" s="9"/>
      <c r="I24" s="59" t="str">
        <f t="shared" si="0"/>
        <v> </v>
      </c>
    </row>
    <row r="25" spans="1:9" ht="15.75">
      <c r="A25" s="9"/>
      <c r="B25" s="9"/>
      <c r="C25" s="11"/>
      <c r="D25" s="9"/>
      <c r="E25" s="11"/>
      <c r="F25" s="9"/>
      <c r="G25" s="9"/>
      <c r="H25" s="9"/>
      <c r="I25" s="59" t="str">
        <f t="shared" si="0"/>
        <v> </v>
      </c>
    </row>
    <row r="26" spans="1:9" ht="15.75">
      <c r="A26" s="9"/>
      <c r="B26" s="9"/>
      <c r="C26" s="11"/>
      <c r="D26" s="9"/>
      <c r="E26" s="11"/>
      <c r="F26" s="9"/>
      <c r="G26" s="9"/>
      <c r="H26" s="9"/>
      <c r="I26" s="59" t="str">
        <f t="shared" si="0"/>
        <v> </v>
      </c>
    </row>
    <row r="27" spans="1:9" ht="15.75">
      <c r="A27" s="9"/>
      <c r="B27" s="9"/>
      <c r="C27" s="11"/>
      <c r="D27" s="9"/>
      <c r="E27" s="11"/>
      <c r="F27" s="9"/>
      <c r="G27" s="9"/>
      <c r="H27" s="9"/>
      <c r="I27" s="59" t="str">
        <f t="shared" si="0"/>
        <v> </v>
      </c>
    </row>
    <row r="28" spans="1:9" ht="15.75">
      <c r="A28" s="9"/>
      <c r="B28" s="9"/>
      <c r="C28" s="11"/>
      <c r="D28" s="9"/>
      <c r="E28" s="11"/>
      <c r="F28" s="9"/>
      <c r="G28" s="9"/>
      <c r="H28" s="9"/>
      <c r="I28" s="59" t="str">
        <f t="shared" si="0"/>
        <v> </v>
      </c>
    </row>
    <row r="29" spans="1:9" ht="15.75">
      <c r="A29" s="9"/>
      <c r="B29" s="9"/>
      <c r="C29" s="11"/>
      <c r="D29" s="9"/>
      <c r="E29" s="11"/>
      <c r="F29" s="9"/>
      <c r="G29" s="9"/>
      <c r="H29" s="9"/>
      <c r="I29" s="59" t="str">
        <f t="shared" si="0"/>
        <v> </v>
      </c>
    </row>
    <row r="30" spans="1:9" ht="15.75">
      <c r="A30" s="9"/>
      <c r="B30" s="9"/>
      <c r="C30" s="11"/>
      <c r="D30" s="9"/>
      <c r="E30" s="11"/>
      <c r="F30" s="9"/>
      <c r="G30" s="9"/>
      <c r="H30" s="9"/>
      <c r="I30" s="59" t="str">
        <f t="shared" si="0"/>
        <v> </v>
      </c>
    </row>
    <row r="31" spans="1:9" ht="15.75">
      <c r="A31" s="9"/>
      <c r="B31" s="9"/>
      <c r="C31" s="11"/>
      <c r="D31" s="9"/>
      <c r="E31" s="11"/>
      <c r="F31" s="9"/>
      <c r="G31" s="9"/>
      <c r="H31" s="9"/>
      <c r="I31" s="59" t="str">
        <f t="shared" si="0"/>
        <v> </v>
      </c>
    </row>
    <row r="32" spans="1:9" ht="15.75">
      <c r="A32" s="9"/>
      <c r="B32" s="9"/>
      <c r="C32" s="11"/>
      <c r="D32" s="9"/>
      <c r="E32" s="11"/>
      <c r="F32" s="9"/>
      <c r="G32" s="9"/>
      <c r="H32" s="9"/>
      <c r="I32" s="59" t="str">
        <f t="shared" si="0"/>
        <v> </v>
      </c>
    </row>
    <row r="33" spans="1:9" ht="15.75">
      <c r="A33" s="9"/>
      <c r="B33" s="9"/>
      <c r="C33" s="11"/>
      <c r="D33" s="9"/>
      <c r="E33" s="11"/>
      <c r="F33" s="9"/>
      <c r="G33" s="9"/>
      <c r="H33" s="9"/>
      <c r="I33" s="59" t="str">
        <f t="shared" si="0"/>
        <v> </v>
      </c>
    </row>
    <row r="34" spans="1:9" ht="15.75">
      <c r="A34" s="9"/>
      <c r="B34" s="9"/>
      <c r="C34" s="11"/>
      <c r="D34" s="9"/>
      <c r="E34" s="11"/>
      <c r="F34" s="9"/>
      <c r="G34" s="9"/>
      <c r="H34" s="9"/>
      <c r="I34" s="59" t="str">
        <f t="shared" si="0"/>
        <v> </v>
      </c>
    </row>
    <row r="35" spans="1:9" ht="15.75">
      <c r="A35" s="9"/>
      <c r="B35" s="9"/>
      <c r="C35" s="11"/>
      <c r="D35" s="9"/>
      <c r="E35" s="11"/>
      <c r="F35" s="9"/>
      <c r="G35" s="9"/>
      <c r="H35" s="9"/>
      <c r="I35" s="59" t="str">
        <f t="shared" si="0"/>
        <v> </v>
      </c>
    </row>
    <row r="36" spans="1:9" ht="15.75">
      <c r="A36" s="9"/>
      <c r="B36" s="9"/>
      <c r="C36" s="11"/>
      <c r="D36" s="9"/>
      <c r="E36" s="11"/>
      <c r="F36" s="9"/>
      <c r="G36" s="9"/>
      <c r="H36" s="9"/>
      <c r="I36" s="59" t="str">
        <f t="shared" si="0"/>
        <v> </v>
      </c>
    </row>
    <row r="37" spans="1:9" ht="15.75">
      <c r="A37" s="24" t="s">
        <v>143</v>
      </c>
      <c r="B37" s="25">
        <f>SUM(B8:B36)</f>
        <v>0</v>
      </c>
      <c r="C37" s="35">
        <f>SUM(C8:C24)</f>
        <v>0</v>
      </c>
      <c r="D37" s="25">
        <f>SUM(D8:D36)</f>
        <v>0</v>
      </c>
      <c r="E37" s="35">
        <f>SUM(E8:E24)</f>
        <v>0</v>
      </c>
      <c r="F37" s="25">
        <f>SUM(F8:F36)</f>
        <v>0</v>
      </c>
      <c r="G37" s="25">
        <f>SUM(G8:G36)</f>
        <v>0</v>
      </c>
      <c r="H37" s="25"/>
      <c r="I37" s="35">
        <f>SUM(I8:I24)</f>
        <v>0</v>
      </c>
    </row>
    <row r="38" spans="1:9" ht="15.75">
      <c r="A38" s="14"/>
      <c r="B38" s="14"/>
      <c r="C38" s="14"/>
      <c r="D38" s="14"/>
      <c r="E38" s="14"/>
      <c r="F38" s="14"/>
      <c r="G38" s="14"/>
      <c r="H38" s="14"/>
      <c r="I38" s="14"/>
    </row>
    <row r="39" spans="1:9" ht="15.75">
      <c r="A39" s="15" t="s">
        <v>176</v>
      </c>
      <c r="B39" s="14"/>
      <c r="C39" s="14"/>
      <c r="D39" s="14"/>
      <c r="E39" s="14"/>
      <c r="F39" s="14"/>
      <c r="G39" s="14"/>
      <c r="H39" s="14"/>
      <c r="I39" s="14"/>
    </row>
    <row r="40" spans="1:9" ht="15.75">
      <c r="A40" s="14"/>
      <c r="B40" s="14"/>
      <c r="C40" s="14"/>
      <c r="D40" s="14"/>
      <c r="E40" s="14"/>
      <c r="F40" s="14"/>
      <c r="G40" s="14"/>
      <c r="H40" s="14"/>
      <c r="I40" s="14"/>
    </row>
    <row r="41" spans="1:9" ht="15.75">
      <c r="A41" s="26"/>
      <c r="B41" s="14"/>
      <c r="C41" s="14"/>
      <c r="D41" s="14"/>
      <c r="E41" s="14"/>
      <c r="F41" s="14"/>
      <c r="G41" s="14"/>
      <c r="H41" s="14"/>
      <c r="I41" s="14"/>
    </row>
    <row r="42" spans="1:9" ht="15.75">
      <c r="A42" s="16" t="s">
        <v>177</v>
      </c>
      <c r="B42" s="14"/>
      <c r="C42" s="14"/>
      <c r="D42" s="14" t="s">
        <v>161</v>
      </c>
      <c r="E42" s="10"/>
      <c r="F42" s="14"/>
      <c r="G42" s="14"/>
      <c r="H42" s="14"/>
      <c r="I42" s="14"/>
    </row>
    <row r="44" spans="1:9" ht="15.75">
      <c r="A44" s="1"/>
      <c r="B44" s="1"/>
      <c r="C44" s="1"/>
      <c r="D44" s="1"/>
      <c r="E44" s="1"/>
      <c r="F44" s="1"/>
      <c r="G44" s="1"/>
      <c r="H44" s="1"/>
      <c r="I44" s="1"/>
    </row>
    <row r="45" spans="1:9" ht="15.75">
      <c r="A45" s="4"/>
      <c r="B45" s="1"/>
      <c r="C45" s="1"/>
      <c r="D45" s="1"/>
      <c r="E45" s="1"/>
      <c r="F45" s="1"/>
      <c r="G45" s="1"/>
      <c r="H45" s="1"/>
      <c r="I45" s="1"/>
    </row>
    <row r="46" spans="1:9" ht="15.75">
      <c r="A46" s="4"/>
      <c r="B46" s="5"/>
      <c r="C46" s="1"/>
      <c r="D46" s="5"/>
      <c r="E46" s="1"/>
      <c r="F46" s="5"/>
      <c r="G46" s="1"/>
      <c r="H46" s="1"/>
      <c r="I46" s="1"/>
    </row>
    <row r="47" spans="1:9" ht="15.75">
      <c r="A47" s="4"/>
      <c r="B47" s="4"/>
      <c r="C47" s="1"/>
      <c r="D47" s="4"/>
      <c r="E47" s="1"/>
      <c r="F47" s="4"/>
      <c r="G47" s="1"/>
      <c r="H47" s="1"/>
      <c r="I47" s="1"/>
    </row>
    <row r="48" spans="1:9" ht="15.75">
      <c r="A48" s="4"/>
      <c r="B48" s="4"/>
      <c r="C48" s="1"/>
      <c r="D48" s="4"/>
      <c r="E48" s="1"/>
      <c r="F48" s="4"/>
      <c r="G48" s="1"/>
      <c r="H48" s="1"/>
      <c r="I48" s="1"/>
    </row>
    <row r="49" spans="1:9" ht="15.75">
      <c r="A49" s="4"/>
      <c r="B49" s="4"/>
      <c r="C49" s="1"/>
      <c r="D49" s="4"/>
      <c r="E49" s="1"/>
      <c r="F49" s="4"/>
      <c r="G49" s="1"/>
      <c r="H49" s="1"/>
      <c r="I49" s="1"/>
    </row>
    <row r="50" spans="1:9" ht="15.75">
      <c r="A50" s="4"/>
      <c r="B50" s="4"/>
      <c r="C50" s="1"/>
      <c r="D50" s="4"/>
      <c r="E50" s="1"/>
      <c r="F50" s="4"/>
      <c r="G50" s="1"/>
      <c r="H50" s="1"/>
      <c r="I50" s="1"/>
    </row>
    <row r="51" spans="1:9" ht="15.75">
      <c r="A51" s="4"/>
      <c r="B51" s="4"/>
      <c r="C51" s="1"/>
      <c r="D51" s="4"/>
      <c r="E51" s="1"/>
      <c r="F51" s="4"/>
      <c r="G51" s="1"/>
      <c r="H51" s="1"/>
      <c r="I51" s="1"/>
    </row>
    <row r="52" spans="2:9" ht="15.75">
      <c r="B52" s="1"/>
      <c r="C52" s="1"/>
      <c r="D52" s="1"/>
      <c r="E52" s="1"/>
      <c r="F52" s="1"/>
      <c r="G52" s="1"/>
      <c r="H52" s="1"/>
      <c r="I52" s="1"/>
    </row>
    <row r="53" spans="2:9" ht="15.75">
      <c r="B53" s="1"/>
      <c r="C53" s="1"/>
      <c r="D53" s="1"/>
      <c r="E53" s="1"/>
      <c r="F53" s="1"/>
      <c r="G53" s="1"/>
      <c r="H53" s="1"/>
      <c r="I53" s="1"/>
    </row>
    <row r="54" spans="2:9" ht="15.75">
      <c r="B54" s="8"/>
      <c r="C54" s="1"/>
      <c r="D54" s="1"/>
      <c r="E54" s="1"/>
      <c r="F54" s="1"/>
      <c r="G54" s="1"/>
      <c r="H54" s="1"/>
      <c r="I54" s="1"/>
    </row>
    <row r="55" spans="2:9" ht="15.75">
      <c r="B55" s="7"/>
      <c r="C55" s="1"/>
      <c r="D55" s="1"/>
      <c r="E55" s="1"/>
      <c r="F55" s="1"/>
      <c r="G55" s="1"/>
      <c r="H55" s="1"/>
      <c r="I55" s="1"/>
    </row>
    <row r="56" spans="1:9" ht="15.75">
      <c r="A56" s="1"/>
      <c r="B56" s="1"/>
      <c r="C56" s="1"/>
      <c r="D56" s="1"/>
      <c r="E56" s="1"/>
      <c r="F56" s="1"/>
      <c r="G56" s="1"/>
      <c r="H56" s="1"/>
      <c r="I56" s="1"/>
    </row>
    <row r="57" spans="1:9" ht="15.75">
      <c r="A57" s="1"/>
      <c r="B57" s="1" t="s">
        <v>151</v>
      </c>
      <c r="C57" s="10"/>
      <c r="D57" s="1"/>
      <c r="E57" s="1"/>
      <c r="F57" s="1"/>
      <c r="G57" s="1"/>
      <c r="H57" s="1"/>
      <c r="I57" s="1"/>
    </row>
  </sheetData>
  <sheetProtection/>
  <mergeCells count="2">
    <mergeCell ref="G6:G7"/>
    <mergeCell ref="H6:H7"/>
  </mergeCells>
  <printOptions/>
  <pageMargins left="1.12" right="0.5" top="0.74" bottom="0.34" header="0.5" footer="0"/>
  <pageSetup blackAndWhite="1" fitToHeight="1" fitToWidth="1" horizontalDpi="120" verticalDpi="120" orientation="portrait" scale="56" r:id="rId1"/>
  <headerFooter alignWithMargins="0">
    <oddHeader>&amp;RState of Kansas
County
</oddHeader>
  </headerFooter>
</worksheet>
</file>

<file path=xl/worksheets/sheet25.xml><?xml version="1.0" encoding="utf-8"?>
<worksheet xmlns="http://schemas.openxmlformats.org/spreadsheetml/2006/main" xmlns:r="http://schemas.openxmlformats.org/officeDocument/2006/relationships">
  <dimension ref="A1:A109"/>
  <sheetViews>
    <sheetView zoomScale="75" zoomScaleNormal="75" zoomScalePageLayoutView="0" workbookViewId="0" topLeftCell="A102">
      <selection activeCell="D101" sqref="D101"/>
    </sheetView>
  </sheetViews>
  <sheetFormatPr defaultColWidth="8.796875" defaultRowHeight="15"/>
  <cols>
    <col min="1" max="1" width="88.796875" style="72" customWidth="1"/>
    <col min="2" max="16384" width="8.8984375" style="72" customWidth="1"/>
  </cols>
  <sheetData>
    <row r="1" ht="15.75">
      <c r="A1" s="71" t="s">
        <v>273</v>
      </c>
    </row>
    <row r="3" ht="34.5" customHeight="1">
      <c r="A3" s="73" t="s">
        <v>25</v>
      </c>
    </row>
    <row r="4" ht="15.75">
      <c r="A4" s="74"/>
    </row>
    <row r="5" ht="52.5" customHeight="1">
      <c r="A5" s="75" t="s">
        <v>274</v>
      </c>
    </row>
    <row r="6" ht="15.75">
      <c r="A6" s="75"/>
    </row>
    <row r="7" ht="31.5">
      <c r="A7" s="75" t="s">
        <v>85</v>
      </c>
    </row>
    <row r="8" ht="15.75">
      <c r="A8" s="75"/>
    </row>
    <row r="9" ht="54.75" customHeight="1">
      <c r="A9" s="75" t="s">
        <v>71</v>
      </c>
    </row>
    <row r="10" ht="15.75">
      <c r="A10" s="75"/>
    </row>
    <row r="11" ht="15.75">
      <c r="A11" s="75" t="s">
        <v>270</v>
      </c>
    </row>
    <row r="13" ht="118.5" customHeight="1">
      <c r="A13" s="75" t="s">
        <v>66</v>
      </c>
    </row>
    <row r="14" ht="15.75">
      <c r="A14" s="75"/>
    </row>
    <row r="15" ht="106.5" customHeight="1">
      <c r="A15" s="75" t="s">
        <v>67</v>
      </c>
    </row>
    <row r="17" ht="15.75">
      <c r="A17" s="71" t="s">
        <v>582</v>
      </c>
    </row>
    <row r="18" ht="15.75">
      <c r="A18" s="71"/>
    </row>
    <row r="19" ht="15.75">
      <c r="A19" s="74" t="s">
        <v>69</v>
      </c>
    </row>
    <row r="20" ht="15.75">
      <c r="A20" s="74"/>
    </row>
    <row r="21" ht="15.75">
      <c r="A21" s="72" t="s">
        <v>302</v>
      </c>
    </row>
    <row r="23" ht="72" customHeight="1">
      <c r="A23" s="76" t="s">
        <v>70</v>
      </c>
    </row>
    <row r="24" ht="13.5" customHeight="1">
      <c r="A24" s="76"/>
    </row>
    <row r="27" ht="15.75">
      <c r="A27" s="71" t="s">
        <v>112</v>
      </c>
    </row>
    <row r="29" ht="34.5" customHeight="1">
      <c r="A29" s="75" t="s">
        <v>65</v>
      </c>
    </row>
    <row r="30" ht="9.75" customHeight="1">
      <c r="A30" s="75"/>
    </row>
    <row r="31" ht="15.75">
      <c r="A31" s="77" t="s">
        <v>26</v>
      </c>
    </row>
    <row r="32" ht="15.75">
      <c r="A32" s="75"/>
    </row>
    <row r="33" ht="17.25" customHeight="1">
      <c r="A33" s="78" t="s">
        <v>249</v>
      </c>
    </row>
    <row r="34" ht="17.25" customHeight="1">
      <c r="A34" s="79"/>
    </row>
    <row r="35" ht="87.75" customHeight="1">
      <c r="A35" s="80" t="s">
        <v>52</v>
      </c>
    </row>
    <row r="37" ht="15.75">
      <c r="A37" s="81" t="s">
        <v>27</v>
      </c>
    </row>
    <row r="39" ht="15.75">
      <c r="A39" s="82" t="s">
        <v>68</v>
      </c>
    </row>
    <row r="41" ht="15.75">
      <c r="A41" s="75" t="s">
        <v>113</v>
      </c>
    </row>
    <row r="43" ht="15.75">
      <c r="A43" s="71" t="s">
        <v>114</v>
      </c>
    </row>
    <row r="45" ht="70.5" customHeight="1">
      <c r="A45" s="75" t="s">
        <v>736</v>
      </c>
    </row>
    <row r="46" ht="52.5" customHeight="1">
      <c r="A46" s="83" t="s">
        <v>42</v>
      </c>
    </row>
    <row r="47" ht="9" customHeight="1">
      <c r="A47" s="75"/>
    </row>
    <row r="48" ht="69.75" customHeight="1">
      <c r="A48" s="75" t="s">
        <v>737</v>
      </c>
    </row>
    <row r="49" ht="53.25" customHeight="1">
      <c r="A49" s="75" t="s">
        <v>43</v>
      </c>
    </row>
    <row r="50" ht="102.75" customHeight="1">
      <c r="A50" s="75" t="s">
        <v>105</v>
      </c>
    </row>
    <row r="51" ht="73.5" customHeight="1">
      <c r="A51" s="177" t="s">
        <v>583</v>
      </c>
    </row>
    <row r="52" ht="69.75" customHeight="1">
      <c r="A52" s="178" t="s">
        <v>584</v>
      </c>
    </row>
    <row r="53" ht="69.75" customHeight="1">
      <c r="A53" s="339" t="s">
        <v>787</v>
      </c>
    </row>
    <row r="54" ht="12" customHeight="1">
      <c r="A54" s="75"/>
    </row>
    <row r="55" ht="68.25" customHeight="1">
      <c r="A55" s="75" t="s">
        <v>585</v>
      </c>
    </row>
    <row r="56" ht="68.25" customHeight="1">
      <c r="A56" s="75" t="s">
        <v>586</v>
      </c>
    </row>
    <row r="57" ht="31.5">
      <c r="A57" s="75" t="s">
        <v>587</v>
      </c>
    </row>
    <row r="58" ht="31.5">
      <c r="A58" s="75" t="s">
        <v>588</v>
      </c>
    </row>
    <row r="59" ht="12" customHeight="1"/>
    <row r="60" ht="68.25" customHeight="1">
      <c r="A60" s="75" t="s">
        <v>589</v>
      </c>
    </row>
    <row r="61" ht="128.25" customHeight="1">
      <c r="A61" s="75" t="s">
        <v>590</v>
      </c>
    </row>
    <row r="62" ht="35.25" customHeight="1">
      <c r="A62" s="75" t="s">
        <v>591</v>
      </c>
    </row>
    <row r="63" ht="10.5" customHeight="1">
      <c r="A63" s="75"/>
    </row>
    <row r="64" ht="68.25" customHeight="1">
      <c r="A64" s="75" t="s">
        <v>788</v>
      </c>
    </row>
    <row r="65" ht="10.5" customHeight="1">
      <c r="A65" s="75"/>
    </row>
    <row r="66" ht="72.75" customHeight="1">
      <c r="A66" s="75" t="s">
        <v>592</v>
      </c>
    </row>
    <row r="67" ht="31.5" customHeight="1">
      <c r="A67" s="75" t="s">
        <v>606</v>
      </c>
    </row>
    <row r="68" ht="82.5" customHeight="1">
      <c r="A68" s="75" t="s">
        <v>607</v>
      </c>
    </row>
    <row r="69" ht="37.5" customHeight="1">
      <c r="A69" s="154" t="s">
        <v>605</v>
      </c>
    </row>
    <row r="70" ht="12" customHeight="1">
      <c r="A70" s="75"/>
    </row>
    <row r="71" ht="54" customHeight="1">
      <c r="A71" s="75" t="s">
        <v>593</v>
      </c>
    </row>
    <row r="72" ht="12" customHeight="1"/>
    <row r="73" s="75" customFormat="1" ht="69" customHeight="1">
      <c r="A73" s="75" t="s">
        <v>594</v>
      </c>
    </row>
    <row r="74" ht="12" customHeight="1"/>
    <row r="75" ht="87" customHeight="1">
      <c r="A75" s="75" t="s">
        <v>595</v>
      </c>
    </row>
    <row r="76" ht="87" customHeight="1">
      <c r="A76" s="200" t="s">
        <v>789</v>
      </c>
    </row>
    <row r="77" ht="87" customHeight="1">
      <c r="A77" s="200" t="s">
        <v>790</v>
      </c>
    </row>
    <row r="78" ht="87" customHeight="1">
      <c r="A78" s="200" t="s">
        <v>791</v>
      </c>
    </row>
    <row r="79" ht="72" customHeight="1">
      <c r="A79" s="75" t="s">
        <v>792</v>
      </c>
    </row>
    <row r="80" ht="116.25" customHeight="1">
      <c r="A80" s="75" t="s">
        <v>793</v>
      </c>
    </row>
    <row r="81" ht="132.75" customHeight="1">
      <c r="A81" s="75" t="s">
        <v>794</v>
      </c>
    </row>
    <row r="82" ht="84" customHeight="1">
      <c r="A82" s="200" t="s">
        <v>795</v>
      </c>
    </row>
    <row r="83" ht="124.5" customHeight="1">
      <c r="A83" s="75" t="s">
        <v>796</v>
      </c>
    </row>
    <row r="84" ht="38.25" customHeight="1">
      <c r="A84" s="75" t="s">
        <v>797</v>
      </c>
    </row>
    <row r="85" ht="85.5" customHeight="1">
      <c r="A85" s="75" t="s">
        <v>798</v>
      </c>
    </row>
    <row r="86" ht="40.5" customHeight="1">
      <c r="A86" s="75" t="s">
        <v>799</v>
      </c>
    </row>
    <row r="87" ht="140.25" customHeight="1">
      <c r="A87" s="151" t="s">
        <v>800</v>
      </c>
    </row>
    <row r="88" ht="119.25" customHeight="1">
      <c r="A88" s="152" t="s">
        <v>801</v>
      </c>
    </row>
    <row r="89" ht="59.25" customHeight="1">
      <c r="A89" s="153" t="s">
        <v>802</v>
      </c>
    </row>
    <row r="91" ht="154.5" customHeight="1">
      <c r="A91" s="75" t="s">
        <v>596</v>
      </c>
    </row>
    <row r="92" ht="132" customHeight="1">
      <c r="A92" s="75" t="s">
        <v>597</v>
      </c>
    </row>
    <row r="93" ht="54" customHeight="1">
      <c r="A93" s="75" t="s">
        <v>598</v>
      </c>
    </row>
    <row r="94" ht="21.75" customHeight="1">
      <c r="A94" s="75" t="s">
        <v>599</v>
      </c>
    </row>
    <row r="96" ht="52.5" customHeight="1">
      <c r="A96" s="75" t="s">
        <v>600</v>
      </c>
    </row>
    <row r="97" ht="22.5" customHeight="1">
      <c r="A97" s="341" t="s">
        <v>832</v>
      </c>
    </row>
    <row r="98" ht="31.5" customHeight="1">
      <c r="A98" s="200" t="s">
        <v>833</v>
      </c>
    </row>
    <row r="99" ht="109.5" customHeight="1">
      <c r="A99" s="200" t="s">
        <v>834</v>
      </c>
    </row>
    <row r="100" ht="126" customHeight="1">
      <c r="A100" s="200" t="s">
        <v>835</v>
      </c>
    </row>
    <row r="101" ht="71.25" customHeight="1">
      <c r="A101" s="342" t="s">
        <v>836</v>
      </c>
    </row>
    <row r="102" ht="57.75" customHeight="1">
      <c r="A102" s="75" t="s">
        <v>837</v>
      </c>
    </row>
    <row r="103" ht="57.75" customHeight="1">
      <c r="A103" s="75" t="s">
        <v>838</v>
      </c>
    </row>
    <row r="104" ht="10.5" customHeight="1"/>
    <row r="105" ht="57" customHeight="1">
      <c r="A105" s="75" t="s">
        <v>601</v>
      </c>
    </row>
    <row r="106" ht="15.75" customHeight="1"/>
    <row r="107" ht="54" customHeight="1">
      <c r="A107" s="200" t="s">
        <v>738</v>
      </c>
    </row>
    <row r="108" ht="93" customHeight="1">
      <c r="A108" s="200" t="s">
        <v>739</v>
      </c>
    </row>
    <row r="109" ht="104.25" customHeight="1">
      <c r="A109" s="200" t="s">
        <v>740</v>
      </c>
    </row>
  </sheetData>
  <sheetProtection sheet="1"/>
  <printOptions/>
  <pageMargins left="0.5" right="0.5" top="0.5" bottom="0.5" header="0.5" footer="0.5"/>
  <pageSetup blackAndWhite="1" fitToHeight="2" horizontalDpi="300" verticalDpi="300" orientation="portrait" scale="90" r:id="rId1"/>
  <rowBreaks count="1" manualBreakCount="1">
    <brk id="26" max="0" man="1"/>
  </rowBreaks>
</worksheet>
</file>

<file path=xl/worksheets/sheet26.xml><?xml version="1.0" encoding="utf-8"?>
<worksheet xmlns="http://schemas.openxmlformats.org/spreadsheetml/2006/main" xmlns:r="http://schemas.openxmlformats.org/officeDocument/2006/relationships">
  <dimension ref="A1:J23"/>
  <sheetViews>
    <sheetView zoomScalePageLayoutView="0" workbookViewId="0" topLeftCell="A1">
      <selection activeCell="D101" sqref="D101"/>
    </sheetView>
  </sheetViews>
  <sheetFormatPr defaultColWidth="8.796875" defaultRowHeight="15"/>
  <cols>
    <col min="1" max="1" width="13.796875" style="0" customWidth="1"/>
    <col min="2" max="2" width="16.09765625" style="0" customWidth="1"/>
  </cols>
  <sheetData>
    <row r="1" ht="15">
      <c r="J1" s="280" t="s">
        <v>765</v>
      </c>
    </row>
    <row r="2" spans="1:10" ht="54" customHeight="1">
      <c r="A2" s="925" t="s">
        <v>361</v>
      </c>
      <c r="B2" s="926"/>
      <c r="C2" s="926"/>
      <c r="D2" s="926"/>
      <c r="E2" s="926"/>
      <c r="F2" s="926"/>
      <c r="J2" s="280" t="s">
        <v>766</v>
      </c>
    </row>
    <row r="3" spans="1:10" ht="15.75">
      <c r="A3" s="2" t="s">
        <v>763</v>
      </c>
      <c r="B3" s="338"/>
      <c r="J3" s="280" t="s">
        <v>767</v>
      </c>
    </row>
    <row r="4" spans="1:10" ht="15.75">
      <c r="A4" s="157"/>
      <c r="B4" s="157"/>
      <c r="C4" s="157"/>
      <c r="D4" s="279" t="s">
        <v>764</v>
      </c>
      <c r="E4" s="157"/>
      <c r="F4" s="157"/>
      <c r="J4" s="280" t="s">
        <v>768</v>
      </c>
    </row>
    <row r="5" spans="1:10" ht="15.75">
      <c r="A5" s="158" t="s">
        <v>362</v>
      </c>
      <c r="B5" s="159" t="s">
        <v>1025</v>
      </c>
      <c r="C5" s="160"/>
      <c r="D5" s="279" t="str">
        <f>IF(B5="","",CONCATENATE("Latest date for notice to be published in your newspaper: ",G18," ",G22,", ",G23))</f>
        <v>Latest date for notice to be published in your newspaper: July 20, 2012</v>
      </c>
      <c r="E5" s="157"/>
      <c r="F5" s="157"/>
      <c r="J5" s="280" t="s">
        <v>769</v>
      </c>
    </row>
    <row r="6" spans="1:10" ht="15.75">
      <c r="A6" s="158"/>
      <c r="B6" s="161"/>
      <c r="C6" s="162"/>
      <c r="D6" s="158"/>
      <c r="E6" s="157"/>
      <c r="F6" s="157"/>
      <c r="J6" s="280" t="s">
        <v>770</v>
      </c>
    </row>
    <row r="7" spans="1:10" ht="15.75">
      <c r="A7" s="158" t="s">
        <v>363</v>
      </c>
      <c r="B7" s="159" t="s">
        <v>1026</v>
      </c>
      <c r="C7" s="163"/>
      <c r="D7" s="158"/>
      <c r="E7" s="157"/>
      <c r="F7" s="157"/>
      <c r="J7" s="280" t="s">
        <v>771</v>
      </c>
    </row>
    <row r="8" spans="1:10" ht="15.75">
      <c r="A8" s="158"/>
      <c r="B8" s="158"/>
      <c r="C8" s="158"/>
      <c r="D8" s="158"/>
      <c r="E8" s="157"/>
      <c r="F8" s="157"/>
      <c r="J8" s="280" t="s">
        <v>772</v>
      </c>
    </row>
    <row r="9" spans="1:10" ht="15.75">
      <c r="A9" s="158" t="s">
        <v>364</v>
      </c>
      <c r="B9" s="164" t="s">
        <v>1022</v>
      </c>
      <c r="C9" s="164"/>
      <c r="D9" s="164"/>
      <c r="E9" s="165"/>
      <c r="F9" s="157"/>
      <c r="J9" s="280" t="s">
        <v>773</v>
      </c>
    </row>
    <row r="10" spans="1:10" ht="15.75">
      <c r="A10" s="158"/>
      <c r="B10" s="158"/>
      <c r="C10" s="158"/>
      <c r="D10" s="158"/>
      <c r="E10" s="157"/>
      <c r="F10" s="157"/>
      <c r="J10" s="280" t="s">
        <v>774</v>
      </c>
    </row>
    <row r="11" spans="1:10" ht="15.75">
      <c r="A11" s="158"/>
      <c r="B11" s="158"/>
      <c r="C11" s="158"/>
      <c r="D11" s="158"/>
      <c r="E11" s="157"/>
      <c r="F11" s="157"/>
      <c r="J11" s="280" t="s">
        <v>775</v>
      </c>
    </row>
    <row r="12" spans="1:10" ht="15.75">
      <c r="A12" s="158" t="s">
        <v>366</v>
      </c>
      <c r="B12" s="164" t="s">
        <v>1023</v>
      </c>
      <c r="C12" s="164"/>
      <c r="D12" s="164"/>
      <c r="E12" s="165"/>
      <c r="F12" s="157"/>
      <c r="J12" s="280" t="s">
        <v>776</v>
      </c>
    </row>
    <row r="15" spans="1:6" ht="15.75">
      <c r="A15" s="927" t="s">
        <v>367</v>
      </c>
      <c r="B15" s="927"/>
      <c r="C15" s="158"/>
      <c r="D15" s="158"/>
      <c r="E15" s="158"/>
      <c r="F15" s="157"/>
    </row>
    <row r="16" spans="1:6" ht="15.75">
      <c r="A16" s="158"/>
      <c r="B16" s="158"/>
      <c r="C16" s="158"/>
      <c r="D16" s="158"/>
      <c r="E16" s="158"/>
      <c r="F16" s="157"/>
    </row>
    <row r="17" spans="1:5" ht="15.75">
      <c r="A17" s="158" t="s">
        <v>362</v>
      </c>
      <c r="B17" s="161" t="s">
        <v>368</v>
      </c>
      <c r="C17" s="158"/>
      <c r="D17" s="158"/>
      <c r="E17" s="158"/>
    </row>
    <row r="18" spans="1:7" ht="15.75">
      <c r="A18" s="158"/>
      <c r="B18" s="158"/>
      <c r="C18" s="158"/>
      <c r="D18" s="158"/>
      <c r="E18" s="158"/>
      <c r="G18" s="280" t="str">
        <f ca="1">IF(B5="","",INDIRECT(G19))</f>
        <v>July</v>
      </c>
    </row>
    <row r="19" spans="1:7" ht="15.75">
      <c r="A19" s="158" t="s">
        <v>363</v>
      </c>
      <c r="B19" s="158" t="s">
        <v>369</v>
      </c>
      <c r="C19" s="158"/>
      <c r="D19" s="158"/>
      <c r="E19" s="158"/>
      <c r="G19" s="281" t="str">
        <f>IF(B5="","",CONCATENATE("J",G21))</f>
        <v>J7</v>
      </c>
    </row>
    <row r="20" spans="1:7" ht="15.75">
      <c r="A20" s="158"/>
      <c r="B20" s="158"/>
      <c r="C20" s="158"/>
      <c r="D20" s="158"/>
      <c r="E20" s="158"/>
      <c r="G20" s="282">
        <f>B5-10</f>
        <v>41110</v>
      </c>
    </row>
    <row r="21" spans="1:7" ht="15.75">
      <c r="A21" s="158" t="s">
        <v>364</v>
      </c>
      <c r="B21" s="158" t="s">
        <v>365</v>
      </c>
      <c r="C21" s="158"/>
      <c r="D21" s="158"/>
      <c r="E21" s="158"/>
      <c r="G21" s="283">
        <f>IF(B5="","",MONTH(G20))</f>
        <v>7</v>
      </c>
    </row>
    <row r="22" spans="1:7" ht="15.75">
      <c r="A22" s="158"/>
      <c r="B22" s="158"/>
      <c r="C22" s="158"/>
      <c r="D22" s="158"/>
      <c r="E22" s="158"/>
      <c r="G22" s="284">
        <f>IF(B5="","",DAY(G20))</f>
        <v>20</v>
      </c>
    </row>
    <row r="23" spans="1:7" ht="15.75">
      <c r="A23" s="158" t="s">
        <v>366</v>
      </c>
      <c r="B23" s="158" t="s">
        <v>365</v>
      </c>
      <c r="C23" s="158"/>
      <c r="D23" s="158"/>
      <c r="E23" s="158"/>
      <c r="G23" s="285">
        <f>IF(B5="","",YEAR(G20))</f>
        <v>2012</v>
      </c>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F52"/>
  <sheetViews>
    <sheetView zoomScalePageLayoutView="0" workbookViewId="0" topLeftCell="A1">
      <selection activeCell="E50" sqref="E50"/>
    </sheetView>
  </sheetViews>
  <sheetFormatPr defaultColWidth="8.796875" defaultRowHeight="15"/>
  <cols>
    <col min="1" max="1" width="9.19921875" style="118" customWidth="1"/>
    <col min="2" max="2" width="18.59765625" style="118" customWidth="1"/>
    <col min="3" max="3" width="11.796875" style="118" customWidth="1"/>
    <col min="4" max="4" width="12.796875" style="118" customWidth="1"/>
    <col min="5" max="5" width="11.796875" style="118" customWidth="1"/>
    <col min="6" max="16384" width="8.8984375" style="118" customWidth="1"/>
  </cols>
  <sheetData>
    <row r="1" spans="1:6" ht="15.75">
      <c r="A1" s="121" t="str">
        <f>inputPrYr!C2</f>
        <v>Wyandotte County</v>
      </c>
      <c r="B1" s="84"/>
      <c r="C1" s="84"/>
      <c r="D1" s="84"/>
      <c r="E1" s="84"/>
      <c r="F1" s="131">
        <f>inputPrYr!C4</f>
        <v>2013</v>
      </c>
    </row>
    <row r="2" spans="1:6" ht="15.75">
      <c r="A2" s="84"/>
      <c r="B2" s="84"/>
      <c r="C2" s="84"/>
      <c r="D2" s="84"/>
      <c r="E2" s="84"/>
      <c r="F2" s="84"/>
    </row>
    <row r="3" spans="1:6" ht="15.75">
      <c r="A3" s="84"/>
      <c r="B3" s="930" t="str">
        <f>CONCATENATE("",F1," Neighborhood Revitalization Rebate")</f>
        <v>2013 Neighborhood Revitalization Rebate</v>
      </c>
      <c r="C3" s="931"/>
      <c r="D3" s="931"/>
      <c r="E3" s="931"/>
      <c r="F3" s="84"/>
    </row>
    <row r="4" spans="1:6" ht="15.75">
      <c r="A4" s="84"/>
      <c r="B4" s="84"/>
      <c r="C4" s="84"/>
      <c r="D4" s="84"/>
      <c r="E4" s="84"/>
      <c r="F4" s="84"/>
    </row>
    <row r="5" spans="1:6" ht="51" customHeight="1">
      <c r="A5" s="84"/>
      <c r="B5" s="133" t="str">
        <f>CONCATENATE("Budgeted Funds                       for ",F1,"")</f>
        <v>Budgeted Funds                       for 2013</v>
      </c>
      <c r="C5" s="133" t="str">
        <f>CONCATENATE("",F1-1," Ad Valorem before Rebate**")</f>
        <v>2012 Ad Valorem before Rebate**</v>
      </c>
      <c r="D5" s="134" t="str">
        <f>CONCATENATE("",F1-1," Mil Rate before Rebate")</f>
        <v>2012 Mil Rate before Rebate</v>
      </c>
      <c r="E5" s="135" t="str">
        <f>CONCATENATE("Estimate ",F1," NR Rebate")</f>
        <v>Estimate 2013 NR Rebate</v>
      </c>
      <c r="F5" s="99"/>
    </row>
    <row r="6" spans="1:6" ht="15.75">
      <c r="A6" s="84"/>
      <c r="B6" s="87" t="str">
        <f>inputPrYr!B16</f>
        <v>General</v>
      </c>
      <c r="C6" s="136"/>
      <c r="D6" s="137">
        <f>IF(C6&gt;0,C6/$D$36,"")</f>
      </c>
      <c r="E6" s="122">
        <f aca="true" t="shared" si="0" ref="E6:E30">IF(C6&gt;0,ROUND(D6*$D$40,0),"")</f>
      </c>
      <c r="F6" s="99"/>
    </row>
    <row r="7" spans="1:6" ht="15.75">
      <c r="A7" s="84"/>
      <c r="B7" s="87" t="str">
        <f>inputPrYr!B17</f>
        <v>Bond and Interest</v>
      </c>
      <c r="C7" s="136"/>
      <c r="D7" s="137">
        <f aca="true" t="shared" si="1" ref="D7:D30">IF(C7&gt;0,C7/$D$36,"")</f>
      </c>
      <c r="E7" s="122">
        <f t="shared" si="0"/>
      </c>
      <c r="F7" s="99"/>
    </row>
    <row r="8" spans="1:6" ht="15.75">
      <c r="A8" s="84"/>
      <c r="B8" s="87" t="str">
        <f>inputPrYr!B18</f>
        <v>County Elections</v>
      </c>
      <c r="C8" s="136"/>
      <c r="D8" s="137">
        <f t="shared" si="1"/>
      </c>
      <c r="E8" s="122">
        <f t="shared" si="0"/>
      </c>
      <c r="F8" s="99"/>
    </row>
    <row r="9" spans="1:6" ht="15.75">
      <c r="A9" s="84"/>
      <c r="B9" s="87" t="str">
        <f>inputPrYr!B19</f>
        <v>Aging</v>
      </c>
      <c r="C9" s="136"/>
      <c r="D9" s="137">
        <f t="shared" si="1"/>
      </c>
      <c r="E9" s="122">
        <f t="shared" si="0"/>
      </c>
      <c r="F9" s="99"/>
    </row>
    <row r="10" spans="1:6" ht="15.75">
      <c r="A10" s="84"/>
      <c r="B10" s="87" t="str">
        <f>inputPrYr!B20</f>
        <v>Mental Health</v>
      </c>
      <c r="C10" s="136"/>
      <c r="D10" s="137">
        <f t="shared" si="1"/>
      </c>
      <c r="E10" s="122">
        <f t="shared" si="0"/>
      </c>
      <c r="F10" s="99"/>
    </row>
    <row r="11" spans="1:6" ht="15.75">
      <c r="A11" s="84"/>
      <c r="B11" s="87" t="str">
        <f>inputPrYr!B21</f>
        <v>Developmental Disabilities</v>
      </c>
      <c r="C11" s="136"/>
      <c r="D11" s="137">
        <f t="shared" si="1"/>
      </c>
      <c r="E11" s="122">
        <f t="shared" si="0"/>
      </c>
      <c r="F11" s="99"/>
    </row>
    <row r="12" spans="1:6" ht="15.75">
      <c r="A12" s="84"/>
      <c r="B12" s="87" t="str">
        <f>inputPrYr!B22</f>
        <v>County Health</v>
      </c>
      <c r="C12" s="138"/>
      <c r="D12" s="137">
        <f t="shared" si="1"/>
      </c>
      <c r="E12" s="122">
        <f t="shared" si="0"/>
      </c>
      <c r="F12" s="99"/>
    </row>
    <row r="13" spans="1:6" ht="15.75">
      <c r="A13" s="84"/>
      <c r="B13" s="87" t="str">
        <f>inputPrYr!B23</f>
        <v>County Initiative for Funding Infrastructure</v>
      </c>
      <c r="C13" s="138"/>
      <c r="D13" s="137">
        <f t="shared" si="1"/>
      </c>
      <c r="E13" s="122">
        <f t="shared" si="0"/>
      </c>
      <c r="F13" s="99"/>
    </row>
    <row r="14" spans="1:6" ht="15.75">
      <c r="A14" s="84"/>
      <c r="B14" s="87" t="str">
        <f>inputPrYr!B24</f>
        <v>Consolidated Parks General Fund</v>
      </c>
      <c r="C14" s="138"/>
      <c r="D14" s="137">
        <f t="shared" si="1"/>
      </c>
      <c r="E14" s="122">
        <f t="shared" si="0"/>
      </c>
      <c r="F14" s="99"/>
    </row>
    <row r="15" spans="1:6" ht="15.75">
      <c r="A15" s="84"/>
      <c r="B15" s="87" t="e">
        <f>inputPrYr!#REF!</f>
        <v>#REF!</v>
      </c>
      <c r="C15" s="138"/>
      <c r="D15" s="137">
        <f t="shared" si="1"/>
      </c>
      <c r="E15" s="122">
        <f t="shared" si="0"/>
      </c>
      <c r="F15" s="99"/>
    </row>
    <row r="16" spans="1:6" ht="15.75">
      <c r="A16" s="84"/>
      <c r="B16" s="87" t="e">
        <f>inputPrYr!#REF!</f>
        <v>#REF!</v>
      </c>
      <c r="C16" s="138"/>
      <c r="D16" s="137">
        <f t="shared" si="1"/>
      </c>
      <c r="E16" s="122">
        <f t="shared" si="0"/>
      </c>
      <c r="F16" s="99"/>
    </row>
    <row r="17" spans="1:6" ht="15.75">
      <c r="A17" s="84"/>
      <c r="B17" s="87" t="e">
        <f>inputPrYr!#REF!</f>
        <v>#REF!</v>
      </c>
      <c r="C17" s="138"/>
      <c r="D17" s="137">
        <f t="shared" si="1"/>
      </c>
      <c r="E17" s="122">
        <f t="shared" si="0"/>
      </c>
      <c r="F17" s="99"/>
    </row>
    <row r="18" spans="1:6" ht="15.75">
      <c r="A18" s="84"/>
      <c r="B18" s="87" t="e">
        <f>inputPrYr!#REF!</f>
        <v>#REF!</v>
      </c>
      <c r="C18" s="138"/>
      <c r="D18" s="137">
        <f t="shared" si="1"/>
      </c>
      <c r="E18" s="122">
        <f t="shared" si="0"/>
      </c>
      <c r="F18" s="99"/>
    </row>
    <row r="19" spans="1:6" ht="15.75">
      <c r="A19" s="84"/>
      <c r="B19" s="87" t="e">
        <f>inputPrYr!#REF!</f>
        <v>#REF!</v>
      </c>
      <c r="C19" s="138"/>
      <c r="D19" s="137">
        <f t="shared" si="1"/>
      </c>
      <c r="E19" s="122">
        <f t="shared" si="0"/>
      </c>
      <c r="F19" s="99"/>
    </row>
    <row r="20" spans="1:6" ht="15.75">
      <c r="A20" s="84"/>
      <c r="B20" s="87" t="e">
        <f>inputPrYr!#REF!</f>
        <v>#REF!</v>
      </c>
      <c r="C20" s="138"/>
      <c r="D20" s="137">
        <f t="shared" si="1"/>
      </c>
      <c r="E20" s="122">
        <f t="shared" si="0"/>
      </c>
      <c r="F20" s="99"/>
    </row>
    <row r="21" spans="1:6" ht="15.75">
      <c r="A21" s="84"/>
      <c r="B21" s="87" t="e">
        <f>inputPrYr!#REF!</f>
        <v>#REF!</v>
      </c>
      <c r="C21" s="138"/>
      <c r="D21" s="137">
        <f t="shared" si="1"/>
      </c>
      <c r="E21" s="122">
        <f t="shared" si="0"/>
      </c>
      <c r="F21" s="99"/>
    </row>
    <row r="22" spans="1:6" ht="15.75">
      <c r="A22" s="84"/>
      <c r="B22" s="87" t="e">
        <f>inputPrYr!#REF!</f>
        <v>#REF!</v>
      </c>
      <c r="C22" s="138"/>
      <c r="D22" s="137">
        <f t="shared" si="1"/>
      </c>
      <c r="E22" s="122">
        <f t="shared" si="0"/>
      </c>
      <c r="F22" s="99"/>
    </row>
    <row r="23" spans="1:6" ht="15.75">
      <c r="A23" s="84"/>
      <c r="B23" s="87" t="e">
        <f>inputPrYr!#REF!</f>
        <v>#REF!</v>
      </c>
      <c r="C23" s="138"/>
      <c r="D23" s="137">
        <f t="shared" si="1"/>
      </c>
      <c r="E23" s="122">
        <f t="shared" si="0"/>
      </c>
      <c r="F23" s="99"/>
    </row>
    <row r="24" spans="1:6" ht="15.75">
      <c r="A24" s="84"/>
      <c r="B24" s="87" t="e">
        <f>inputPrYr!#REF!</f>
        <v>#REF!</v>
      </c>
      <c r="C24" s="138"/>
      <c r="D24" s="137">
        <f t="shared" si="1"/>
      </c>
      <c r="E24" s="122">
        <f t="shared" si="0"/>
      </c>
      <c r="F24" s="99"/>
    </row>
    <row r="25" spans="1:6" ht="15.75">
      <c r="A25" s="84"/>
      <c r="B25" s="87" t="e">
        <f>inputPrYr!#REF!</f>
        <v>#REF!</v>
      </c>
      <c r="C25" s="138"/>
      <c r="D25" s="137">
        <f t="shared" si="1"/>
      </c>
      <c r="E25" s="122">
        <f t="shared" si="0"/>
      </c>
      <c r="F25" s="99"/>
    </row>
    <row r="26" spans="1:6" ht="15.75">
      <c r="A26" s="84"/>
      <c r="B26" s="87" t="e">
        <f>inputPrYr!#REF!</f>
        <v>#REF!</v>
      </c>
      <c r="C26" s="138"/>
      <c r="D26" s="137">
        <f t="shared" si="1"/>
      </c>
      <c r="E26" s="122">
        <f t="shared" si="0"/>
      </c>
      <c r="F26" s="99"/>
    </row>
    <row r="27" spans="1:6" ht="15.75">
      <c r="A27" s="84"/>
      <c r="B27" s="87" t="e">
        <f>inputPrYr!#REF!</f>
        <v>#REF!</v>
      </c>
      <c r="C27" s="138"/>
      <c r="D27" s="137">
        <f t="shared" si="1"/>
      </c>
      <c r="E27" s="122">
        <f t="shared" si="0"/>
      </c>
      <c r="F27" s="99"/>
    </row>
    <row r="28" spans="1:6" ht="15.75">
      <c r="A28" s="84"/>
      <c r="B28" s="87" t="e">
        <f>inputPrYr!#REF!</f>
        <v>#REF!</v>
      </c>
      <c r="C28" s="138"/>
      <c r="D28" s="137">
        <f t="shared" si="1"/>
      </c>
      <c r="E28" s="122">
        <f t="shared" si="0"/>
      </c>
      <c r="F28" s="99"/>
    </row>
    <row r="29" spans="1:6" ht="15.75">
      <c r="A29" s="84"/>
      <c r="B29" s="87" t="e">
        <f>inputPrYr!#REF!</f>
        <v>#REF!</v>
      </c>
      <c r="C29" s="138"/>
      <c r="D29" s="137">
        <f t="shared" si="1"/>
      </c>
      <c r="E29" s="122">
        <f t="shared" si="0"/>
      </c>
      <c r="F29" s="99"/>
    </row>
    <row r="30" spans="1:6" ht="15.75">
      <c r="A30" s="84"/>
      <c r="B30" s="87" t="e">
        <f>inputPrYr!#REF!</f>
        <v>#REF!</v>
      </c>
      <c r="C30" s="138"/>
      <c r="D30" s="137">
        <f t="shared" si="1"/>
      </c>
      <c r="E30" s="122">
        <f t="shared" si="0"/>
      </c>
      <c r="F30" s="99"/>
    </row>
    <row r="31" spans="1:6" ht="16.5" thickBot="1">
      <c r="A31" s="84"/>
      <c r="B31" s="89" t="s">
        <v>138</v>
      </c>
      <c r="C31" s="139">
        <f>SUM(C6:C30)</f>
        <v>0</v>
      </c>
      <c r="D31" s="140">
        <f>SUM(D6:D30)</f>
        <v>0</v>
      </c>
      <c r="E31" s="139">
        <f>SUM(E6:E30)</f>
        <v>0</v>
      </c>
      <c r="F31" s="99"/>
    </row>
    <row r="32" spans="1:6" ht="16.5" thickTop="1">
      <c r="A32" s="84"/>
      <c r="B32" s="84"/>
      <c r="C32" s="84"/>
      <c r="D32" s="84"/>
      <c r="E32" s="84"/>
      <c r="F32" s="99"/>
    </row>
    <row r="33" spans="1:6" ht="15.75">
      <c r="A33" s="84"/>
      <c r="B33" s="84"/>
      <c r="C33" s="84"/>
      <c r="D33" s="84"/>
      <c r="E33" s="84"/>
      <c r="F33" s="99"/>
    </row>
    <row r="34" spans="1:6" ht="15.75">
      <c r="A34" s="932" t="str">
        <f>CONCATENATE("",F1-1," July 1 Valuation:")</f>
        <v>2012 July 1 Valuation:</v>
      </c>
      <c r="B34" s="929"/>
      <c r="C34" s="932"/>
      <c r="D34" s="141">
        <f>inputOth!E6</f>
        <v>1094914441</v>
      </c>
      <c r="E34" s="84"/>
      <c r="F34" s="99"/>
    </row>
    <row r="35" spans="1:6" ht="15.75">
      <c r="A35" s="84"/>
      <c r="B35" s="84"/>
      <c r="C35" s="84"/>
      <c r="D35" s="84"/>
      <c r="E35" s="84"/>
      <c r="F35" s="99"/>
    </row>
    <row r="36" spans="1:6" ht="15.75">
      <c r="A36" s="84"/>
      <c r="B36" s="932" t="s">
        <v>357</v>
      </c>
      <c r="C36" s="932"/>
      <c r="D36" s="142">
        <f>IF(D34&gt;0,(D34*0.001),"")</f>
        <v>1094914.441</v>
      </c>
      <c r="E36" s="84"/>
      <c r="F36" s="99"/>
    </row>
    <row r="37" spans="1:6" ht="15.75">
      <c r="A37" s="84"/>
      <c r="B37" s="125"/>
      <c r="C37" s="125"/>
      <c r="D37" s="143"/>
      <c r="E37" s="84"/>
      <c r="F37" s="99"/>
    </row>
    <row r="38" spans="1:6" ht="15.75">
      <c r="A38" s="928" t="s">
        <v>358</v>
      </c>
      <c r="B38" s="933"/>
      <c r="C38" s="933"/>
      <c r="D38" s="144">
        <f>inputOth!E12</f>
        <v>8471524</v>
      </c>
      <c r="E38" s="110"/>
      <c r="F38" s="110"/>
    </row>
    <row r="39" spans="1:6" ht="15">
      <c r="A39" s="110"/>
      <c r="B39" s="110"/>
      <c r="C39" s="110"/>
      <c r="D39" s="145"/>
      <c r="E39" s="110"/>
      <c r="F39" s="110"/>
    </row>
    <row r="40" spans="1:6" ht="15.75">
      <c r="A40" s="110"/>
      <c r="B40" s="928" t="s">
        <v>359</v>
      </c>
      <c r="C40" s="929"/>
      <c r="D40" s="146">
        <f>IF(D38&gt;0,(D38*0.001),"")</f>
        <v>8471.524</v>
      </c>
      <c r="E40" s="110"/>
      <c r="F40" s="110"/>
    </row>
    <row r="41" spans="1:6" ht="15">
      <c r="A41" s="110"/>
      <c r="B41" s="110"/>
      <c r="C41" s="110"/>
      <c r="D41" s="110"/>
      <c r="E41" s="110"/>
      <c r="F41" s="110"/>
    </row>
    <row r="42" spans="1:6" ht="15">
      <c r="A42" s="110"/>
      <c r="B42" s="110"/>
      <c r="C42" s="110"/>
      <c r="D42" s="110"/>
      <c r="E42" s="110"/>
      <c r="F42" s="110"/>
    </row>
    <row r="43" spans="1:6" ht="15.75">
      <c r="A43" s="28" t="str">
        <f>CONCATENATE("**This information comes from the ",F1," Budget Summary page.  See instructions tab #11 for completing")</f>
        <v>**This information comes from the 2013 Budget Summary page.  See instructions tab #11 for completing</v>
      </c>
      <c r="B43" s="110"/>
      <c r="C43" s="110"/>
      <c r="D43" s="110"/>
      <c r="E43" s="110"/>
      <c r="F43" s="110"/>
    </row>
    <row r="44" spans="1:6" ht="15.75">
      <c r="A44" s="28" t="s">
        <v>603</v>
      </c>
      <c r="B44" s="110"/>
      <c r="C44" s="110"/>
      <c r="D44" s="110"/>
      <c r="E44" s="110"/>
      <c r="F44" s="110"/>
    </row>
    <row r="45" spans="1:6" ht="15.75">
      <c r="A45" s="28"/>
      <c r="B45" s="110"/>
      <c r="C45" s="110"/>
      <c r="D45" s="110"/>
      <c r="E45" s="110"/>
      <c r="F45" s="110"/>
    </row>
    <row r="46" spans="1:6" ht="15.75">
      <c r="A46" s="28"/>
      <c r="B46" s="110"/>
      <c r="C46" s="110"/>
      <c r="D46" s="110"/>
      <c r="E46" s="110"/>
      <c r="F46" s="110"/>
    </row>
    <row r="47" spans="1:6" ht="15.75">
      <c r="A47" s="28"/>
      <c r="B47" s="110"/>
      <c r="C47" s="110"/>
      <c r="D47" s="110"/>
      <c r="E47" s="110"/>
      <c r="F47" s="110"/>
    </row>
    <row r="48" spans="1:6" ht="15.75">
      <c r="A48" s="28"/>
      <c r="B48" s="110"/>
      <c r="C48" s="110"/>
      <c r="D48" s="110"/>
      <c r="E48" s="110"/>
      <c r="F48" s="110"/>
    </row>
    <row r="49" spans="1:6" ht="15">
      <c r="A49" s="110"/>
      <c r="B49" s="110"/>
      <c r="C49" s="110"/>
      <c r="D49" s="110"/>
      <c r="E49" s="110"/>
      <c r="F49" s="110"/>
    </row>
    <row r="50" spans="1:6" ht="15">
      <c r="A50" s="110"/>
      <c r="B50" s="110"/>
      <c r="C50" s="110"/>
      <c r="D50" s="110"/>
      <c r="E50" s="110"/>
      <c r="F50" s="110"/>
    </row>
    <row r="51" spans="1:6" ht="15.75">
      <c r="A51" s="110"/>
      <c r="B51" s="130" t="s">
        <v>161</v>
      </c>
      <c r="C51" s="132"/>
      <c r="D51" s="110"/>
      <c r="E51" s="110"/>
      <c r="F51" s="110"/>
    </row>
    <row r="52" spans="1:6" ht="15.75">
      <c r="A52" s="99"/>
      <c r="B52" s="84"/>
      <c r="C52" s="84"/>
      <c r="D52" s="147"/>
      <c r="E52" s="99"/>
      <c r="F52" s="99"/>
    </row>
  </sheetData>
  <sheetProtection sheet="1"/>
  <mergeCells count="5">
    <mergeCell ref="B40:C40"/>
    <mergeCell ref="B3:E3"/>
    <mergeCell ref="A34:C34"/>
    <mergeCell ref="B36:C36"/>
    <mergeCell ref="A38:C38"/>
  </mergeCells>
  <printOptions/>
  <pageMargins left="0.75" right="0.75" top="1" bottom="1" header="0.5" footer="0.5"/>
  <pageSetup blackAndWhite="1" fitToHeight="1" fitToWidth="1" horizontalDpi="600" verticalDpi="600" orientation="portrait" scale="82" r:id="rId1"/>
  <headerFooter alignWithMargins="0">
    <oddHeader>&amp;RState of Kansas
County</oddHeader>
  </headerFooter>
</worksheet>
</file>

<file path=xl/worksheets/sheet28.xml><?xml version="1.0" encoding="utf-8"?>
<worksheet xmlns="http://schemas.openxmlformats.org/spreadsheetml/2006/main" xmlns:r="http://schemas.openxmlformats.org/officeDocument/2006/relationships">
  <dimension ref="A1:G48"/>
  <sheetViews>
    <sheetView zoomScalePageLayoutView="0" workbookViewId="0" topLeftCell="A28">
      <selection activeCell="D101" sqref="D101"/>
    </sheetView>
  </sheetViews>
  <sheetFormatPr defaultColWidth="8.796875" defaultRowHeight="15"/>
  <cols>
    <col min="1" max="1" width="70.3984375" style="118" customWidth="1"/>
    <col min="2" max="16384" width="8.8984375" style="118" customWidth="1"/>
  </cols>
  <sheetData>
    <row r="1" spans="1:7" ht="30" customHeight="1">
      <c r="A1" s="186" t="s">
        <v>303</v>
      </c>
      <c r="B1" s="185"/>
      <c r="C1" s="185"/>
      <c r="D1" s="185"/>
      <c r="E1" s="185"/>
      <c r="F1" s="185"/>
      <c r="G1" s="185"/>
    </row>
    <row r="2" ht="15.75" customHeight="1">
      <c r="A2" s="2"/>
    </row>
    <row r="3" ht="54" customHeight="1">
      <c r="A3" s="184" t="s">
        <v>624</v>
      </c>
    </row>
    <row r="4" ht="15.75" customHeight="1">
      <c r="A4" s="2"/>
    </row>
    <row r="5" ht="52.5" customHeight="1">
      <c r="A5" s="184" t="s">
        <v>625</v>
      </c>
    </row>
    <row r="6" ht="15.75" customHeight="1">
      <c r="A6" s="2"/>
    </row>
    <row r="7" s="182" customFormat="1" ht="45.75" customHeight="1">
      <c r="A7" s="183" t="s">
        <v>343</v>
      </c>
    </row>
    <row r="8" ht="15.75" customHeight="1">
      <c r="A8" s="2"/>
    </row>
    <row r="9" ht="46.5" customHeight="1">
      <c r="A9" s="183" t="s">
        <v>344</v>
      </c>
    </row>
    <row r="10" ht="15.75" customHeight="1"/>
    <row r="11" ht="45.75" customHeight="1">
      <c r="A11" s="183" t="s">
        <v>345</v>
      </c>
    </row>
    <row r="12" ht="15.75" customHeight="1">
      <c r="A12" s="2"/>
    </row>
    <row r="13" ht="62.25" customHeight="1">
      <c r="A13" s="183" t="s">
        <v>346</v>
      </c>
    </row>
    <row r="14" ht="15.75" customHeight="1">
      <c r="A14" s="2"/>
    </row>
    <row r="15" ht="32.25" customHeight="1">
      <c r="A15" s="183" t="s">
        <v>347</v>
      </c>
    </row>
    <row r="16" ht="15.75" customHeight="1"/>
    <row r="17" ht="67.5" customHeight="1">
      <c r="A17" s="181" t="s">
        <v>626</v>
      </c>
    </row>
    <row r="18" ht="15.75" customHeight="1"/>
    <row r="19" ht="81" customHeight="1">
      <c r="A19" s="181" t="s">
        <v>348</v>
      </c>
    </row>
    <row r="20" ht="15.75" customHeight="1">
      <c r="A20" s="2"/>
    </row>
    <row r="21" ht="78" customHeight="1">
      <c r="A21" s="183" t="s">
        <v>349</v>
      </c>
    </row>
    <row r="22" ht="15.75" customHeight="1">
      <c r="A22" s="2"/>
    </row>
    <row r="23" ht="44.25" customHeight="1">
      <c r="A23" s="183" t="s">
        <v>350</v>
      </c>
    </row>
    <row r="24" ht="15.75" customHeight="1"/>
    <row r="25" ht="53.25" customHeight="1">
      <c r="A25" s="181" t="s">
        <v>351</v>
      </c>
    </row>
    <row r="26" ht="16.5" customHeight="1">
      <c r="A26" s="2"/>
    </row>
    <row r="27" ht="40.5" customHeight="1">
      <c r="A27" s="184" t="s">
        <v>627</v>
      </c>
    </row>
    <row r="28" ht="16.5" customHeight="1">
      <c r="A28" s="2"/>
    </row>
    <row r="29" ht="69.75" customHeight="1">
      <c r="A29" s="183" t="s">
        <v>352</v>
      </c>
    </row>
    <row r="30" ht="15.75" customHeight="1">
      <c r="A30" s="2"/>
    </row>
    <row r="31" ht="79.5" customHeight="1">
      <c r="A31" s="183" t="s">
        <v>752</v>
      </c>
    </row>
    <row r="32" ht="15.75" customHeight="1">
      <c r="A32" s="2"/>
    </row>
    <row r="33" ht="58.5" customHeight="1">
      <c r="A33" s="183" t="s">
        <v>353</v>
      </c>
    </row>
    <row r="35" ht="60.75" customHeight="1">
      <c r="A35" s="183" t="s">
        <v>354</v>
      </c>
    </row>
    <row r="36" ht="15.75">
      <c r="A36" s="2"/>
    </row>
    <row r="37" ht="82.5" customHeight="1">
      <c r="A37" s="183" t="s">
        <v>355</v>
      </c>
    </row>
    <row r="38" ht="15.75">
      <c r="A38" s="180"/>
    </row>
    <row r="39" ht="15.75">
      <c r="A39" s="180"/>
    </row>
    <row r="41" ht="15.75">
      <c r="A41" s="180"/>
    </row>
    <row r="42" ht="15.75">
      <c r="A42" s="180"/>
    </row>
    <row r="44" ht="15.75">
      <c r="A44" s="2"/>
    </row>
    <row r="45" ht="15.75">
      <c r="A45" s="180"/>
    </row>
    <row r="47" ht="15.75">
      <c r="A47" s="180"/>
    </row>
    <row r="48" ht="15.75">
      <c r="A48" s="180"/>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H57"/>
  <sheetViews>
    <sheetView zoomScalePageLayoutView="0" workbookViewId="0" topLeftCell="A1">
      <selection activeCell="A41" sqref="A41"/>
    </sheetView>
  </sheetViews>
  <sheetFormatPr defaultColWidth="9.796875" defaultRowHeight="15"/>
  <cols>
    <col min="1" max="16384" width="9.796875" style="40" customWidth="1"/>
  </cols>
  <sheetData>
    <row r="1" spans="1:8" ht="11.25" customHeight="1">
      <c r="A1" s="36"/>
      <c r="B1" s="37"/>
      <c r="C1" s="37"/>
      <c r="D1" s="37"/>
      <c r="E1" s="37"/>
      <c r="F1" s="37"/>
      <c r="G1" s="38"/>
      <c r="H1" s="39"/>
    </row>
    <row r="2" spans="1:8" ht="15.75" customHeight="1">
      <c r="A2" s="934" t="s">
        <v>256</v>
      </c>
      <c r="B2" s="934"/>
      <c r="C2" s="934"/>
      <c r="D2" s="934"/>
      <c r="E2" s="934"/>
      <c r="F2" s="934"/>
      <c r="G2" s="934"/>
      <c r="H2" s="934"/>
    </row>
    <row r="3" spans="1:8" ht="9" customHeight="1">
      <c r="A3" s="36"/>
      <c r="B3" s="54"/>
      <c r="C3" s="54"/>
      <c r="D3" s="54"/>
      <c r="E3" s="54"/>
      <c r="F3" s="54"/>
      <c r="G3" s="41"/>
      <c r="H3" s="55"/>
    </row>
    <row r="4" spans="1:8" ht="15.75" customHeight="1">
      <c r="A4" s="935" t="s">
        <v>257</v>
      </c>
      <c r="B4" s="935"/>
      <c r="C4" s="935"/>
      <c r="D4" s="935"/>
      <c r="E4" s="935"/>
      <c r="F4" s="935"/>
      <c r="G4" s="935"/>
      <c r="H4" s="935"/>
    </row>
    <row r="5" spans="1:8" ht="9" customHeight="1">
      <c r="A5" s="42"/>
      <c r="B5" s="54"/>
      <c r="C5" s="54"/>
      <c r="D5" s="54"/>
      <c r="E5" s="54"/>
      <c r="F5" s="54"/>
      <c r="G5" s="54"/>
      <c r="H5" s="55"/>
    </row>
    <row r="6" spans="1:8" ht="15.75" customHeight="1">
      <c r="A6" s="43" t="str">
        <f>CONCATENATE("A resolution expressing the property taxation policy of the Board of ",(inputPrYr!C2)," Commissioners")</f>
        <v>A resolution expressing the property taxation policy of the Board of Wyandotte County Commissioners</v>
      </c>
      <c r="B6" s="54"/>
      <c r="C6" s="54"/>
      <c r="D6" s="54"/>
      <c r="E6" s="54"/>
      <c r="F6" s="54"/>
      <c r="G6" s="54"/>
      <c r="H6" s="55"/>
    </row>
    <row r="7" spans="1:8" ht="15.75" customHeight="1">
      <c r="A7" s="43" t="str">
        <f>CONCATENATE("with respect to financing the ",inputPrYr!C4," annual budget for ",(inputPrYr!E2)," .")</f>
        <v>with respect to financing the 2013 annual budget for  .</v>
      </c>
      <c r="B7" s="54"/>
      <c r="C7" s="54"/>
      <c r="D7" s="54"/>
      <c r="E7" s="54"/>
      <c r="F7" s="54"/>
      <c r="G7" s="54"/>
      <c r="H7" s="55"/>
    </row>
    <row r="8" spans="1:8" ht="9" customHeight="1">
      <c r="A8" s="36"/>
      <c r="B8" s="54"/>
      <c r="C8" s="54"/>
      <c r="D8" s="54"/>
      <c r="E8" s="54"/>
      <c r="F8" s="54"/>
      <c r="G8" s="54"/>
      <c r="H8" s="55"/>
    </row>
    <row r="9" spans="1:8" ht="15.75" customHeight="1">
      <c r="A9" s="44" t="str">
        <f>CONCATENATE("Whereas, K.S.A. 79-2925b provides that a resolution be adopted if property taxes levied to finance the ",inputPrYr!C4,"")</f>
        <v>Whereas, K.S.A. 79-2925b provides that a resolution be adopted if property taxes levied to finance the 2013</v>
      </c>
      <c r="B9" s="54"/>
      <c r="C9" s="54"/>
      <c r="D9" s="54"/>
      <c r="E9" s="54"/>
      <c r="F9" s="54"/>
      <c r="G9" s="54"/>
      <c r="H9" s="55"/>
    </row>
    <row r="10" spans="1:8" ht="15.75" customHeight="1">
      <c r="A10" s="937" t="str">
        <f>CONCATENATE("",(inputPrYr!C2)," budget exceed the amount levied to finance the ",inputPrYr!C4-1," ",(inputPrYr!C2)," ",A16,)</f>
        <v>Wyandotte County budget exceed the amount levied to finance the 2012 Wyandotte County 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v>
      </c>
      <c r="B10" s="937"/>
      <c r="C10" s="937"/>
      <c r="D10" s="937"/>
      <c r="E10" s="937"/>
      <c r="F10" s="937"/>
      <c r="G10" s="937"/>
      <c r="H10" s="937"/>
    </row>
    <row r="11" spans="1:8" ht="15.75" customHeight="1">
      <c r="A11" s="937"/>
      <c r="B11" s="937"/>
      <c r="C11" s="937"/>
      <c r="D11" s="937"/>
      <c r="E11" s="937"/>
      <c r="F11" s="937"/>
      <c r="G11" s="937"/>
      <c r="H11" s="937"/>
    </row>
    <row r="12" spans="1:8" ht="15.75" customHeight="1">
      <c r="A12" s="937"/>
      <c r="B12" s="937"/>
      <c r="C12" s="937"/>
      <c r="D12" s="937"/>
      <c r="E12" s="937"/>
      <c r="F12" s="937"/>
      <c r="G12" s="937"/>
      <c r="H12" s="937"/>
    </row>
    <row r="13" spans="1:8" ht="15.75" customHeight="1">
      <c r="A13" s="937"/>
      <c r="B13" s="937"/>
      <c r="C13" s="937"/>
      <c r="D13" s="937"/>
      <c r="E13" s="937"/>
      <c r="F13" s="937"/>
      <c r="G13" s="937"/>
      <c r="H13" s="937"/>
    </row>
    <row r="14" spans="1:8" ht="15.75" customHeight="1">
      <c r="A14" s="937"/>
      <c r="B14" s="937"/>
      <c r="C14" s="937"/>
      <c r="D14" s="937"/>
      <c r="E14" s="937"/>
      <c r="F14" s="937"/>
      <c r="G14" s="937"/>
      <c r="H14" s="937"/>
    </row>
    <row r="15" spans="1:8" ht="15.75" customHeight="1">
      <c r="A15" s="937"/>
      <c r="B15" s="937"/>
      <c r="C15" s="937"/>
      <c r="D15" s="937"/>
      <c r="E15" s="937"/>
      <c r="F15" s="937"/>
      <c r="G15" s="937"/>
      <c r="H15" s="937"/>
    </row>
    <row r="16" spans="1:8" ht="9" customHeight="1">
      <c r="A16" s="56" t="s">
        <v>275</v>
      </c>
      <c r="B16" s="54"/>
      <c r="C16" s="54"/>
      <c r="D16" s="54"/>
      <c r="E16" s="54"/>
      <c r="F16" s="54"/>
      <c r="G16" s="54"/>
      <c r="H16" s="55" t="s">
        <v>162</v>
      </c>
    </row>
    <row r="17" spans="1:8" ht="15.75" customHeight="1">
      <c r="A17" s="937" t="s">
        <v>258</v>
      </c>
      <c r="B17" s="937"/>
      <c r="C17" s="937"/>
      <c r="D17" s="937"/>
      <c r="E17" s="937"/>
      <c r="F17" s="937"/>
      <c r="G17" s="937"/>
      <c r="H17" s="937"/>
    </row>
    <row r="18" spans="1:8" ht="15.75" customHeight="1">
      <c r="A18" s="937"/>
      <c r="B18" s="937"/>
      <c r="C18" s="937"/>
      <c r="D18" s="937"/>
      <c r="E18" s="937"/>
      <c r="F18" s="937"/>
      <c r="G18" s="937"/>
      <c r="H18" s="937"/>
    </row>
    <row r="19" spans="1:8" ht="9" customHeight="1">
      <c r="A19" s="42"/>
      <c r="B19" s="54"/>
      <c r="C19" s="54"/>
      <c r="D19" s="54"/>
      <c r="E19" s="54"/>
      <c r="F19" s="54"/>
      <c r="G19" s="54"/>
      <c r="H19" s="55"/>
    </row>
    <row r="20" spans="1:8" ht="15.75" customHeight="1">
      <c r="A20" s="937" t="str">
        <f>CONCATENATE("Whereas, ",(inputPrYr!C2)," provides the essential services to protect the health, safety, and well being of the citizens of the county; and")</f>
        <v>Whereas, Wyandotte County provides the essential services to protect the health, safety, and well being of the citizens of the county; and</v>
      </c>
      <c r="B20" s="937"/>
      <c r="C20" s="937"/>
      <c r="D20" s="937"/>
      <c r="E20" s="937"/>
      <c r="F20" s="937"/>
      <c r="G20" s="937"/>
      <c r="H20" s="937"/>
    </row>
    <row r="21" spans="1:8" ht="15.75" customHeight="1">
      <c r="A21" s="937"/>
      <c r="B21" s="937"/>
      <c r="C21" s="937"/>
      <c r="D21" s="937"/>
      <c r="E21" s="937"/>
      <c r="F21" s="937"/>
      <c r="G21" s="937"/>
      <c r="H21" s="937"/>
    </row>
    <row r="22" spans="1:8" ht="9" customHeight="1">
      <c r="A22" s="45"/>
      <c r="B22" s="54"/>
      <c r="C22" s="54"/>
      <c r="D22" s="54"/>
      <c r="E22" s="54"/>
      <c r="F22" s="54"/>
      <c r="G22" s="54"/>
      <c r="H22" s="55"/>
    </row>
    <row r="23" spans="1:8" ht="15.75" customHeight="1">
      <c r="A23" s="45" t="s">
        <v>259</v>
      </c>
      <c r="B23" s="54"/>
      <c r="C23" s="54"/>
      <c r="D23" s="54"/>
      <c r="E23" s="54"/>
      <c r="F23" s="54"/>
      <c r="G23" s="54"/>
      <c r="H23" s="55"/>
    </row>
    <row r="24" spans="1:8" ht="9" customHeight="1">
      <c r="A24" s="42"/>
      <c r="B24" s="54"/>
      <c r="C24" s="54"/>
      <c r="D24" s="54"/>
      <c r="E24" s="54"/>
      <c r="F24" s="54"/>
      <c r="G24" s="54"/>
      <c r="H24" s="55"/>
    </row>
    <row r="25" spans="1:8" ht="15.75" customHeight="1">
      <c r="A25" s="937" t="str">
        <f>CONCATENATE("Whereas, the ",inputPrYr!C4-1," Kansas State Legislature failed to fulfill its obligations in regard to the statutory funding of demand transfers and, by significantly ",A28," ",(inputPrYr!C2),B28)</f>
        <v>Whereas, the 2012 Kansas State Legislature failed to fulfill its obligations in regard to the statutory funding of demand transfers and, by significantly limiting state revenue sharing payments to counties, has contributed to higher county property tax levies to finance the 2013 Wyandotte County budget.</v>
      </c>
      <c r="B25" s="937"/>
      <c r="C25" s="937"/>
      <c r="D25" s="937"/>
      <c r="E25" s="937"/>
      <c r="F25" s="937"/>
      <c r="G25" s="937"/>
      <c r="H25" s="937"/>
    </row>
    <row r="26" spans="1:8" ht="15.75" customHeight="1">
      <c r="A26" s="937"/>
      <c r="B26" s="937"/>
      <c r="C26" s="937"/>
      <c r="D26" s="937"/>
      <c r="E26" s="937"/>
      <c r="F26" s="937"/>
      <c r="G26" s="937"/>
      <c r="H26" s="937"/>
    </row>
    <row r="27" spans="1:8" ht="15.75" customHeight="1">
      <c r="A27" s="937"/>
      <c r="B27" s="937"/>
      <c r="C27" s="937"/>
      <c r="D27" s="937"/>
      <c r="E27" s="937"/>
      <c r="F27" s="937"/>
      <c r="G27" s="937"/>
      <c r="H27" s="937"/>
    </row>
    <row r="28" spans="1:8" ht="9" customHeight="1">
      <c r="A28" s="46" t="str">
        <f>CONCATENATE("limiting state revenue sharing payments to counties, has contributed to higher county property tax levies to finance the ",inputPrYr!C4,"")</f>
        <v>limiting state revenue sharing payments to counties, has contributed to higher county property tax levies to finance the 2013</v>
      </c>
      <c r="B28" s="57" t="s">
        <v>276</v>
      </c>
      <c r="C28" s="6"/>
      <c r="D28" s="6"/>
      <c r="E28" s="6"/>
      <c r="F28" s="6"/>
      <c r="G28" s="6"/>
      <c r="H28" s="58"/>
    </row>
    <row r="29" spans="1:8" ht="15.75" customHeight="1">
      <c r="A29" s="937" t="str">
        <f>CONCATENATE("NOW, THEREFORE, BE IT RESOLVED by the Board of ",(inputPrYr!C2)," Commissioners that is our desire to notify the public of the possibility of increased property taxes to finance the ",inputPrYr!C4," ",(inputPrYr!C2)," budget due to the above mentioned constraints, and that all persons are invited and encouraged to attend budget meeting conducted by the Board of ",(inputPrYr!C2)," Commissioners.  The date and time of budget hearings with the Board of ",(inputPrYr!C2),A38,)</f>
        <v>NOW, THEREFORE, BE IT RESOLVED by the Board of Wyandotte County Commissioners that is our desire to notify the public of the possibility of increased property taxes to finance the 2013 Wyandotte County budget due to the above mentioned constraints, and that all persons are invited and encouraged to attend budget meeting conducted by the Board of Wyandotte County Commissioners.  The date and time of budget hearings with the Board of Wyandotte County Commissioners will be published in the _________ (newspaper).   Interested persons can also address questions concerning the budget to __________ (office) _______ by calling ___________ between the hours of ________ a.m. to ________ p.m., Monday through Fridays, excluding holidays.  </v>
      </c>
      <c r="B29" s="937"/>
      <c r="C29" s="937"/>
      <c r="D29" s="937"/>
      <c r="E29" s="937"/>
      <c r="F29" s="937"/>
      <c r="G29" s="937"/>
      <c r="H29" s="937"/>
    </row>
    <row r="30" spans="1:8" ht="15.75" customHeight="1">
      <c r="A30" s="937"/>
      <c r="B30" s="937"/>
      <c r="C30" s="937"/>
      <c r="D30" s="937"/>
      <c r="E30" s="937"/>
      <c r="F30" s="937"/>
      <c r="G30" s="937"/>
      <c r="H30" s="937"/>
    </row>
    <row r="31" spans="1:8" ht="15.75" customHeight="1">
      <c r="A31" s="937"/>
      <c r="B31" s="937"/>
      <c r="C31" s="937"/>
      <c r="D31" s="937"/>
      <c r="E31" s="937"/>
      <c r="F31" s="937"/>
      <c r="G31" s="937"/>
      <c r="H31" s="937"/>
    </row>
    <row r="32" spans="1:8" ht="15.75" customHeight="1">
      <c r="A32" s="937"/>
      <c r="B32" s="937"/>
      <c r="C32" s="937"/>
      <c r="D32" s="937"/>
      <c r="E32" s="937"/>
      <c r="F32" s="937"/>
      <c r="G32" s="937"/>
      <c r="H32" s="937"/>
    </row>
    <row r="33" spans="1:8" ht="15.75" customHeight="1">
      <c r="A33" s="937"/>
      <c r="B33" s="937"/>
      <c r="C33" s="937"/>
      <c r="D33" s="937"/>
      <c r="E33" s="937"/>
      <c r="F33" s="937"/>
      <c r="G33" s="937"/>
      <c r="H33" s="937"/>
    </row>
    <row r="34" spans="1:8" ht="15.75" customHeight="1">
      <c r="A34" s="937"/>
      <c r="B34" s="937"/>
      <c r="C34" s="937"/>
      <c r="D34" s="937"/>
      <c r="E34" s="937"/>
      <c r="F34" s="937"/>
      <c r="G34" s="937"/>
      <c r="H34" s="937"/>
    </row>
    <row r="35" spans="1:8" ht="15.75" customHeight="1">
      <c r="A35" s="937"/>
      <c r="B35" s="937"/>
      <c r="C35" s="937"/>
      <c r="D35" s="937"/>
      <c r="E35" s="937"/>
      <c r="F35" s="937"/>
      <c r="G35" s="937"/>
      <c r="H35" s="937"/>
    </row>
    <row r="36" spans="1:8" ht="15.75" customHeight="1">
      <c r="A36" s="937"/>
      <c r="B36" s="937"/>
      <c r="C36" s="937"/>
      <c r="D36" s="937"/>
      <c r="E36" s="937"/>
      <c r="F36" s="937"/>
      <c r="G36" s="937"/>
      <c r="H36" s="937"/>
    </row>
    <row r="37" spans="1:8" ht="15.75" customHeight="1">
      <c r="A37" s="937"/>
      <c r="B37" s="937"/>
      <c r="C37" s="937"/>
      <c r="D37" s="937"/>
      <c r="E37" s="937"/>
      <c r="F37" s="937"/>
      <c r="G37" s="937"/>
      <c r="H37" s="937"/>
    </row>
    <row r="38" spans="1:8" ht="15.75" customHeight="1">
      <c r="A38" s="47" t="s">
        <v>283</v>
      </c>
      <c r="B38" s="6"/>
      <c r="C38" s="6"/>
      <c r="D38" s="6"/>
      <c r="E38" s="6"/>
      <c r="F38" s="6"/>
      <c r="G38" s="6"/>
      <c r="H38" s="58" t="s">
        <v>162</v>
      </c>
    </row>
    <row r="39" spans="1:8" ht="15.75" customHeight="1">
      <c r="A39" s="936" t="str">
        <f>CONCATENATE("                                                 Adopted this _________ day of ___________, ",inputPrYr!C4-1," by the Board of ",(inputPrYr!C2)," Commissioners.")</f>
        <v>                                                 Adopted this _________ day of ___________, 2012 by the Board of Wyandotte County Commissioners.</v>
      </c>
      <c r="B39" s="936"/>
      <c r="C39" s="936"/>
      <c r="D39" s="936"/>
      <c r="E39" s="936"/>
      <c r="F39" s="936"/>
      <c r="G39" s="936"/>
      <c r="H39" s="936"/>
    </row>
    <row r="40" spans="1:8" ht="15.75" customHeight="1">
      <c r="A40" s="936"/>
      <c r="B40" s="936"/>
      <c r="C40" s="936"/>
      <c r="D40" s="936"/>
      <c r="E40" s="936"/>
      <c r="F40" s="936"/>
      <c r="G40" s="936"/>
      <c r="H40" s="936"/>
    </row>
    <row r="41" spans="1:8" ht="15.75" customHeight="1">
      <c r="A41" s="6"/>
      <c r="B41" s="6"/>
      <c r="C41" s="6"/>
      <c r="D41" s="6"/>
      <c r="E41" s="938" t="s">
        <v>260</v>
      </c>
      <c r="F41" s="938"/>
      <c r="G41" s="938"/>
      <c r="H41" s="938"/>
    </row>
    <row r="42" spans="1:8" ht="15.75" customHeight="1">
      <c r="A42" s="48"/>
      <c r="B42" s="6"/>
      <c r="C42" s="6"/>
      <c r="D42" s="6"/>
      <c r="E42" s="938"/>
      <c r="F42" s="938"/>
      <c r="G42" s="938"/>
      <c r="H42" s="938"/>
    </row>
    <row r="43" spans="1:8" ht="15.75" customHeight="1">
      <c r="A43" s="6"/>
      <c r="B43" s="6"/>
      <c r="C43" s="6"/>
      <c r="D43" s="6"/>
      <c r="E43" s="938" t="s">
        <v>261</v>
      </c>
      <c r="F43" s="938"/>
      <c r="G43" s="938"/>
      <c r="H43" s="938"/>
    </row>
    <row r="44" spans="1:8" ht="15.75" customHeight="1">
      <c r="A44" s="48"/>
      <c r="B44" s="6"/>
      <c r="C44" s="6"/>
      <c r="D44" s="6"/>
      <c r="E44" s="938"/>
      <c r="F44" s="938"/>
      <c r="G44" s="938"/>
      <c r="H44" s="938"/>
    </row>
    <row r="45" spans="1:8" ht="15.75" customHeight="1">
      <c r="A45" s="6"/>
      <c r="B45" s="6"/>
      <c r="C45" s="6"/>
      <c r="D45" s="6"/>
      <c r="E45" s="938" t="s">
        <v>261</v>
      </c>
      <c r="F45" s="938"/>
      <c r="G45" s="938"/>
      <c r="H45" s="938"/>
    </row>
    <row r="46" spans="1:8" ht="15.75" customHeight="1">
      <c r="A46" s="48"/>
      <c r="B46" s="6"/>
      <c r="C46" s="6"/>
      <c r="D46" s="6"/>
      <c r="E46" s="938"/>
      <c r="F46" s="938"/>
      <c r="G46" s="938"/>
      <c r="H46" s="938"/>
    </row>
    <row r="47" spans="1:8" ht="15.75" customHeight="1">
      <c r="A47" s="6"/>
      <c r="B47" s="6"/>
      <c r="C47" s="6"/>
      <c r="D47" s="6"/>
      <c r="E47" s="938" t="s">
        <v>261</v>
      </c>
      <c r="F47" s="938"/>
      <c r="G47" s="938"/>
      <c r="H47" s="938"/>
    </row>
    <row r="48" spans="1:8" ht="15.75" customHeight="1">
      <c r="A48" s="48"/>
      <c r="B48" s="6"/>
      <c r="C48" s="6"/>
      <c r="D48" s="6"/>
      <c r="E48" s="6"/>
      <c r="F48" s="6"/>
      <c r="G48" s="6"/>
      <c r="H48" s="58"/>
    </row>
    <row r="49" spans="1:8" ht="15.75" customHeight="1">
      <c r="A49" s="48" t="s">
        <v>262</v>
      </c>
      <c r="B49" s="6"/>
      <c r="C49" s="6"/>
      <c r="D49" s="6"/>
      <c r="E49" s="6"/>
      <c r="F49" s="6"/>
      <c r="G49" s="6"/>
      <c r="H49" s="58"/>
    </row>
    <row r="50" spans="1:8" ht="15.75" customHeight="1">
      <c r="A50" s="48"/>
      <c r="B50" s="6"/>
      <c r="C50" s="6"/>
      <c r="D50" s="6"/>
      <c r="E50" s="6"/>
      <c r="F50" s="6"/>
      <c r="G50" s="48"/>
      <c r="H50" s="58"/>
    </row>
    <row r="51" spans="1:8" ht="15.75" customHeight="1">
      <c r="A51" s="49" t="s">
        <v>263</v>
      </c>
      <c r="B51" s="2"/>
      <c r="C51" s="2"/>
      <c r="D51" s="2"/>
      <c r="E51" s="2"/>
      <c r="F51" s="2"/>
      <c r="G51" s="48"/>
      <c r="H51" s="58"/>
    </row>
    <row r="52" spans="1:8" ht="15.75" customHeight="1">
      <c r="A52" s="938" t="s">
        <v>264</v>
      </c>
      <c r="B52" s="938"/>
      <c r="C52" s="938"/>
      <c r="D52" s="2"/>
      <c r="E52" s="2"/>
      <c r="F52" s="2"/>
      <c r="G52" s="48"/>
      <c r="H52" s="58"/>
    </row>
    <row r="53" spans="1:8" ht="15.75" customHeight="1">
      <c r="A53" s="49"/>
      <c r="B53" s="2"/>
      <c r="C53" s="2"/>
      <c r="D53" s="2"/>
      <c r="E53" s="2"/>
      <c r="F53" s="2"/>
      <c r="G53" s="48"/>
      <c r="H53" s="58"/>
    </row>
    <row r="54" spans="1:8" ht="15.75" customHeight="1">
      <c r="A54" s="49"/>
      <c r="B54" s="2"/>
      <c r="C54" s="2"/>
      <c r="D54" s="2"/>
      <c r="E54" s="2"/>
      <c r="F54" s="2"/>
      <c r="G54" s="48"/>
      <c r="H54" s="58"/>
    </row>
    <row r="55" spans="1:8" ht="15.75" customHeight="1">
      <c r="A55" s="50" t="s">
        <v>265</v>
      </c>
      <c r="B55" s="2"/>
      <c r="C55" s="2"/>
      <c r="D55" s="60" t="s">
        <v>161</v>
      </c>
      <c r="E55" s="10"/>
      <c r="F55" s="2"/>
      <c r="G55" s="48"/>
      <c r="H55" s="58"/>
    </row>
    <row r="56" spans="1:8" ht="15" customHeight="1">
      <c r="A56" s="58"/>
      <c r="B56" s="58"/>
      <c r="C56" s="58"/>
      <c r="D56" s="58"/>
      <c r="E56" s="58"/>
      <c r="F56" s="58"/>
      <c r="G56" s="58"/>
      <c r="H56" s="58"/>
    </row>
    <row r="57" spans="1:8" ht="15" customHeight="1">
      <c r="A57" s="58"/>
      <c r="B57" s="58"/>
      <c r="C57" s="58"/>
      <c r="D57" s="58"/>
      <c r="E57" s="58"/>
      <c r="F57" s="58"/>
      <c r="G57" s="58"/>
      <c r="H57" s="58"/>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sheetData>
  <sheetProtection sheet="1"/>
  <mergeCells count="16">
    <mergeCell ref="E45:H45"/>
    <mergeCell ref="E46:H46"/>
    <mergeCell ref="E47:H47"/>
    <mergeCell ref="A52:C52"/>
    <mergeCell ref="E41:H41"/>
    <mergeCell ref="E42:H42"/>
    <mergeCell ref="E43:H43"/>
    <mergeCell ref="E44:H44"/>
    <mergeCell ref="A2:H2"/>
    <mergeCell ref="A4:H4"/>
    <mergeCell ref="A39:H40"/>
    <mergeCell ref="A10:H15"/>
    <mergeCell ref="A29:H37"/>
    <mergeCell ref="A17:H18"/>
    <mergeCell ref="A20:H21"/>
    <mergeCell ref="A25:H27"/>
  </mergeCells>
  <printOptions/>
  <pageMargins left="0.37" right="0.27" top="0.5" bottom="0.5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
      <selection activeCell="E8" sqref="E8"/>
    </sheetView>
  </sheetViews>
  <sheetFormatPr defaultColWidth="8.796875" defaultRowHeight="15"/>
  <cols>
    <col min="1" max="1" width="6.8984375" style="2" customWidth="1"/>
    <col min="2" max="2" width="18.796875" style="2" customWidth="1"/>
    <col min="3" max="3" width="12.796875" style="2" customWidth="1"/>
    <col min="4" max="4" width="0.203125" style="2" customWidth="1"/>
    <col min="5" max="9" width="11.796875" style="2" customWidth="1"/>
    <col min="10" max="16384" width="8.8984375" style="2" customWidth="1"/>
  </cols>
  <sheetData>
    <row r="1" spans="1:9" ht="15.75">
      <c r="A1" s="69"/>
      <c r="B1" s="27" t="str">
        <f>inputPrYr!C2</f>
        <v>Wyandotte County</v>
      </c>
      <c r="C1" s="14"/>
      <c r="D1" s="14"/>
      <c r="E1" s="14"/>
      <c r="F1" s="14"/>
      <c r="G1" s="13"/>
      <c r="H1" s="13"/>
      <c r="I1" s="66">
        <f>inputPrYr!C4</f>
        <v>2013</v>
      </c>
    </row>
    <row r="2" spans="1:9" ht="15.75">
      <c r="A2" s="69"/>
      <c r="B2" s="14"/>
      <c r="C2" s="14"/>
      <c r="D2" s="14"/>
      <c r="E2" s="14"/>
      <c r="F2" s="14"/>
      <c r="G2" s="13"/>
      <c r="H2" s="13"/>
      <c r="I2" s="28"/>
    </row>
    <row r="3" spans="1:9" ht="15.75">
      <c r="A3" s="69"/>
      <c r="B3" s="860" t="s">
        <v>779</v>
      </c>
      <c r="C3" s="860"/>
      <c r="D3" s="860"/>
      <c r="E3" s="860"/>
      <c r="F3" s="860"/>
      <c r="G3" s="860"/>
      <c r="H3" s="67"/>
      <c r="I3" s="68"/>
    </row>
    <row r="4" spans="1:9" ht="15.75">
      <c r="A4" s="69"/>
      <c r="B4" s="16"/>
      <c r="C4" s="17"/>
      <c r="D4" s="17"/>
      <c r="E4" s="17"/>
      <c r="F4" s="17"/>
      <c r="G4" s="14"/>
      <c r="H4" s="14"/>
      <c r="I4" s="28"/>
    </row>
    <row r="5" spans="1:9" ht="21.75" customHeight="1">
      <c r="A5" s="69"/>
      <c r="B5" s="286" t="s">
        <v>780</v>
      </c>
      <c r="C5" s="853" t="str">
        <f>CONCATENATE("Budget Tax Levy Amount for ",I1-2,"")</f>
        <v>Budget Tax Levy Amount for 2011</v>
      </c>
      <c r="D5" s="855" t="str">
        <f>CONCATENATE("Budget Tax Levy Rate for ",I1-1,"")</f>
        <v>Budget Tax Levy Rate for 2012</v>
      </c>
      <c r="E5" s="857" t="str">
        <f>CONCATENATE("Allocation for Year ",I1,"")</f>
        <v>Allocation for Year 2013</v>
      </c>
      <c r="F5" s="858"/>
      <c r="G5" s="859"/>
      <c r="H5" s="68"/>
      <c r="I5" s="68"/>
    </row>
    <row r="6" spans="1:9" ht="15.75">
      <c r="A6" s="69"/>
      <c r="B6" s="12" t="str">
        <f>CONCATENATE("for ",I1-1,"")</f>
        <v>for 2012</v>
      </c>
      <c r="C6" s="854"/>
      <c r="D6" s="856"/>
      <c r="E6" s="120" t="s">
        <v>142</v>
      </c>
      <c r="F6" s="120" t="s">
        <v>209</v>
      </c>
      <c r="G6" s="119" t="s">
        <v>235</v>
      </c>
      <c r="H6" s="63"/>
      <c r="I6" s="68"/>
    </row>
    <row r="7" spans="1:9" ht="15.75">
      <c r="A7" s="69"/>
      <c r="B7" s="25" t="str">
        <f>(inputPrYr!B16)</f>
        <v>General</v>
      </c>
      <c r="C7" s="119">
        <v>32408029</v>
      </c>
      <c r="D7" s="289">
        <f>IF(inputPrYr!F16&gt;0,(inputPrYr!F16),"  ")</f>
        <v>30.072</v>
      </c>
      <c r="E7" s="119">
        <f>IF(inputPrYr!E16&gt;0,E18-SUM(E8:E15),0)</f>
        <v>3725061</v>
      </c>
      <c r="F7" s="119">
        <f>IF(inputPrYr!E16=0,0,F20-SUM(F8:F15))</f>
        <v>13829</v>
      </c>
      <c r="G7" s="119">
        <f>IF(inputPrYr!E16=0,0,G22-SUM(G8:G15))</f>
        <v>27379</v>
      </c>
      <c r="H7" s="63"/>
      <c r="I7" s="68"/>
    </row>
    <row r="8" spans="1:9" ht="15.75">
      <c r="A8" s="69"/>
      <c r="B8" s="25" t="str">
        <f>(inputPrYr!B17)</f>
        <v>Bond and Interest</v>
      </c>
      <c r="C8" s="119">
        <v>884159</v>
      </c>
      <c r="D8" s="289">
        <f>IF(inputPrYr!F17&gt;0,(inputPrYr!F17),"  ")</f>
        <v>0.82</v>
      </c>
      <c r="E8" s="119">
        <f>IF(inputPrYr!$E$17&gt;0,ROUND(+C8*E$25,0)," ")</f>
        <v>101627</v>
      </c>
      <c r="F8" s="119">
        <f>IF(inputPrYr!$E$17&gt;0,ROUND(+C8*F$27,0)," ")</f>
        <v>377</v>
      </c>
      <c r="G8" s="119">
        <f>IF(inputPrYr!$E$17&gt;0,ROUND(+C8*G$29,0)," ")</f>
        <v>747</v>
      </c>
      <c r="H8" s="63"/>
      <c r="I8" s="68"/>
    </row>
    <row r="9" spans="1:9" ht="15.75">
      <c r="A9" s="69"/>
      <c r="B9" s="25" t="str">
        <f>(inputPrYr!B18)</f>
        <v>County Elections</v>
      </c>
      <c r="C9" s="119">
        <v>926018</v>
      </c>
      <c r="D9" s="289">
        <f>IF(inputPrYr!F18&gt;0,(inputPrYr!F18),"  ")</f>
        <v>0.859</v>
      </c>
      <c r="E9" s="119">
        <f>IF(inputPrYr!$E$18&gt;0,ROUND(+C9*E$25,0)," ")</f>
        <v>106439</v>
      </c>
      <c r="F9" s="119">
        <f>IF(inputPrYr!$E$18&gt;0,ROUND(+C9*F$27,0)," ")</f>
        <v>395</v>
      </c>
      <c r="G9" s="119">
        <f>IF(inputPrYr!$E$18&gt;0,ROUND(+C9*G$29,0)," ")</f>
        <v>782</v>
      </c>
      <c r="H9" s="63"/>
      <c r="I9" s="68"/>
    </row>
    <row r="10" spans="1:9" ht="15.75">
      <c r="A10" s="69"/>
      <c r="B10" s="25" t="str">
        <f>IF((inputPrYr!$B19&gt;" "),(inputPrYr!$B19),"  ")</f>
        <v>Aging</v>
      </c>
      <c r="C10" s="119">
        <v>1089371</v>
      </c>
      <c r="D10" s="289">
        <f>IF(inputPrYr!F19&gt;0,(inputPrYr!F19),"  ")</f>
        <v>1.011</v>
      </c>
      <c r="E10" s="119">
        <f>IF(inputPrYr!$E$19&gt;0,ROUND(+C10*E$25,0)," ")</f>
        <v>125215</v>
      </c>
      <c r="F10" s="119">
        <f>IF(inputPrYr!$E$19&gt;0,ROUND(+C10*F$27,0)," ")</f>
        <v>465</v>
      </c>
      <c r="G10" s="119">
        <f>IF(inputPrYr!$E$19&gt;0,ROUND(+C10*G$29,0)," ")</f>
        <v>920</v>
      </c>
      <c r="H10" s="63"/>
      <c r="I10" s="68"/>
    </row>
    <row r="11" spans="1:9" ht="15.75">
      <c r="A11" s="69"/>
      <c r="B11" s="25" t="str">
        <f>IF((inputPrYr!$B20&gt;" "),(inputPrYr!$B20),"  ")</f>
        <v>Mental Health</v>
      </c>
      <c r="C11" s="119">
        <v>450028</v>
      </c>
      <c r="D11" s="289">
        <f>IF(inputPrYr!F20&gt;0,(inputPrYr!F20),"  ")</f>
        <v>0.418</v>
      </c>
      <c r="E11" s="119">
        <f>IF(inputPrYr!E20&gt;0,ROUND(+C11*E$25,0),"  ")</f>
        <v>51727</v>
      </c>
      <c r="F11" s="119">
        <f>IF(inputPrYr!E20&gt;0,ROUND(+C11*F$27,0),"  ")</f>
        <v>192</v>
      </c>
      <c r="G11" s="119">
        <f>IF(inputPrYr!E20&gt;0,ROUND(+C11*G$29,0),"  ")</f>
        <v>380</v>
      </c>
      <c r="H11" s="63"/>
      <c r="I11" s="68"/>
    </row>
    <row r="12" spans="1:9" ht="15.75">
      <c r="A12" s="69"/>
      <c r="B12" s="25" t="str">
        <f>IF((inputPrYr!$B21&gt;" "),(inputPrYr!$B21),"  ")</f>
        <v>Developmental Disabilities</v>
      </c>
      <c r="C12" s="119">
        <v>339684</v>
      </c>
      <c r="D12" s="289">
        <f>IF(inputPrYr!F21&gt;0,(inputPrYr!F21),"  ")</f>
        <v>0.315</v>
      </c>
      <c r="E12" s="119">
        <f>IF(inputPrYr!E21&gt;0,ROUND(+C12*E$25,0),"  ")</f>
        <v>39044</v>
      </c>
      <c r="F12" s="119">
        <f>IF(inputPrYr!E21&gt;0,ROUND(+C12*F$27,0),"  ")</f>
        <v>145</v>
      </c>
      <c r="G12" s="119">
        <f>IF(inputPrYr!E21&gt;0,ROUND(+C12*G$29,0),"  ")</f>
        <v>287</v>
      </c>
      <c r="H12" s="63"/>
      <c r="I12" s="68"/>
    </row>
    <row r="13" spans="1:9" ht="15.75">
      <c r="A13" s="69"/>
      <c r="B13" s="25" t="str">
        <f>IF((inputPrYr!$B22&gt;" "),(inputPrYr!$B22),"  ")</f>
        <v>County Health</v>
      </c>
      <c r="C13" s="119">
        <v>1654068</v>
      </c>
      <c r="D13" s="289">
        <f>IF(inputPrYr!F22&gt;0,(inputPrYr!F22),"  ")</f>
        <v>1.535</v>
      </c>
      <c r="E13" s="119">
        <f>IF(inputPrYr!E22&gt;0,ROUND(+C13*E$25,0),"  ")</f>
        <v>190123</v>
      </c>
      <c r="F13" s="119">
        <f>IF(inputPrYr!E22&gt;0,ROUND(+C13*F$27,0),"  ")</f>
        <v>706</v>
      </c>
      <c r="G13" s="119">
        <f>IF(inputPrYr!E22&gt;0,ROUND(+C13*G$29,0),"  ")</f>
        <v>1397</v>
      </c>
      <c r="H13" s="63"/>
      <c r="I13" s="68"/>
    </row>
    <row r="14" spans="1:9" ht="15.75">
      <c r="A14" s="69"/>
      <c r="B14" s="25" t="str">
        <f>IF((inputPrYr!$B23&gt;" "),(inputPrYr!$B23),"  ")</f>
        <v>County Initiative for Funding Infrastructure</v>
      </c>
      <c r="C14" s="119">
        <v>0</v>
      </c>
      <c r="D14" s="289" t="str">
        <f>IF(inputPrYr!F23&gt;0,(inputPrYr!F23),"  ")</f>
        <v>  </v>
      </c>
      <c r="E14" s="119" t="str">
        <f>IF(inputPrYr!E23&gt;0,ROUND(+C14*E$25,0),"  ")</f>
        <v>  </v>
      </c>
      <c r="F14" s="119" t="str">
        <f>IF(inputPrYr!E23&gt;0,ROUND(+C14*F$27,0),"  ")</f>
        <v>  </v>
      </c>
      <c r="G14" s="119" t="str">
        <f>IF(inputPrYr!E23&gt;0,ROUND(+C14*G$29,0),"  ")</f>
        <v>  </v>
      </c>
      <c r="H14" s="63"/>
      <c r="I14" s="68"/>
    </row>
    <row r="15" spans="1:9" ht="15.75">
      <c r="A15" s="69"/>
      <c r="B15" s="25" t="str">
        <f>IF((inputPrYr!$B24&gt;" "),(inputPrYr!$B24),"  ")</f>
        <v>Consolidated Parks General Fund</v>
      </c>
      <c r="C15" s="119">
        <v>1475572</v>
      </c>
      <c r="D15" s="289">
        <f>IF(inputPrYr!F24&gt;0,(inputPrYr!F24),"  ")</f>
        <v>1.369</v>
      </c>
      <c r="E15" s="119">
        <f>IF(inputPrYr!E24&gt;0,ROUND(+C15*E$25,0),"  ")</f>
        <v>169606</v>
      </c>
      <c r="F15" s="119">
        <f>IF(inputPrYr!E24&gt;0,ROUND(+C15*F$27,0),"  ")</f>
        <v>630</v>
      </c>
      <c r="G15" s="119">
        <f>IF(inputPrYr!E24&gt;0,ROUND(+C15*G$29,0),"  ")</f>
        <v>1247</v>
      </c>
      <c r="H15" s="63"/>
      <c r="I15" s="68"/>
    </row>
    <row r="16" spans="1:9" ht="16.5" thickBot="1">
      <c r="A16" s="69"/>
      <c r="B16" s="87" t="s">
        <v>138</v>
      </c>
      <c r="C16" s="287">
        <f>SUM(C7:C15)</f>
        <v>39226929</v>
      </c>
      <c r="D16" s="288">
        <f>SUM(D7:D15)</f>
        <v>36.398999999999994</v>
      </c>
      <c r="E16" s="287">
        <f>SUM(E7:E15)</f>
        <v>4508842</v>
      </c>
      <c r="F16" s="287">
        <f>SUM(F7:F15)</f>
        <v>16739</v>
      </c>
      <c r="G16" s="287">
        <f>SUM(G7:G15)</f>
        <v>33139</v>
      </c>
      <c r="H16" s="68"/>
      <c r="I16" s="68"/>
    </row>
    <row r="17" spans="1:9" ht="16.5" thickTop="1">
      <c r="A17" s="69"/>
      <c r="B17" s="52"/>
      <c r="C17" s="63"/>
      <c r="D17" s="70"/>
      <c r="E17" s="63"/>
      <c r="F17" s="63"/>
      <c r="G17" s="63"/>
      <c r="H17" s="63"/>
      <c r="I17" s="68"/>
    </row>
    <row r="18" spans="1:9" ht="15.75">
      <c r="A18" s="69"/>
      <c r="B18" s="15" t="s">
        <v>139</v>
      </c>
      <c r="C18" s="61"/>
      <c r="D18" s="61"/>
      <c r="E18" s="62">
        <v>4508842</v>
      </c>
      <c r="F18" s="61"/>
      <c r="G18" s="30"/>
      <c r="H18" s="30"/>
      <c r="I18" s="53"/>
    </row>
    <row r="19" spans="1:9" ht="15.75">
      <c r="A19" s="69"/>
      <c r="B19" s="15"/>
      <c r="C19" s="61"/>
      <c r="D19" s="61"/>
      <c r="E19" s="63"/>
      <c r="F19" s="61"/>
      <c r="G19" s="30"/>
      <c r="H19" s="30"/>
      <c r="I19" s="53"/>
    </row>
    <row r="20" spans="1:9" ht="15.75">
      <c r="A20" s="69"/>
      <c r="B20" s="15" t="s">
        <v>140</v>
      </c>
      <c r="C20" s="30"/>
      <c r="D20" s="30"/>
      <c r="E20" s="30"/>
      <c r="F20" s="62">
        <v>16739</v>
      </c>
      <c r="G20" s="30"/>
      <c r="H20" s="30"/>
      <c r="I20" s="53"/>
    </row>
    <row r="21" spans="1:9" ht="15.75">
      <c r="A21" s="69"/>
      <c r="B21" s="15"/>
      <c r="C21" s="30"/>
      <c r="D21" s="30"/>
      <c r="E21" s="30"/>
      <c r="F21" s="63"/>
      <c r="G21" s="30"/>
      <c r="H21" s="30"/>
      <c r="I21" s="53"/>
    </row>
    <row r="22" spans="1:9" ht="15.75">
      <c r="A22" s="69"/>
      <c r="B22" s="15" t="s">
        <v>210</v>
      </c>
      <c r="C22" s="30"/>
      <c r="D22" s="30"/>
      <c r="E22" s="30"/>
      <c r="F22" s="30"/>
      <c r="G22" s="62">
        <v>33139</v>
      </c>
      <c r="H22" s="63"/>
      <c r="I22" s="53"/>
    </row>
    <row r="23" spans="1:9" ht="15.75">
      <c r="A23" s="69"/>
      <c r="B23" s="14"/>
      <c r="C23" s="30"/>
      <c r="D23" s="30"/>
      <c r="E23" s="30"/>
      <c r="F23" s="30"/>
      <c r="G23" s="30"/>
      <c r="H23" s="30"/>
      <c r="I23" s="53"/>
    </row>
    <row r="24" spans="1:9" ht="15.75">
      <c r="A24" s="69"/>
      <c r="B24" s="14"/>
      <c r="C24" s="30"/>
      <c r="D24" s="30"/>
      <c r="E24" s="30"/>
      <c r="F24" s="30"/>
      <c r="G24" s="30"/>
      <c r="H24" s="30"/>
      <c r="I24" s="53"/>
    </row>
    <row r="25" spans="1:9" ht="15.75">
      <c r="A25" s="69"/>
      <c r="B25" s="15" t="s">
        <v>141</v>
      </c>
      <c r="C25" s="30"/>
      <c r="D25" s="30"/>
      <c r="E25" s="64">
        <f>IF(C16=0,0,E18/C16)</f>
        <v>0.11494251818693224</v>
      </c>
      <c r="F25" s="30"/>
      <c r="G25" s="30"/>
      <c r="H25" s="30"/>
      <c r="I25" s="53"/>
    </row>
    <row r="26" spans="1:9" ht="15.75">
      <c r="A26" s="69"/>
      <c r="B26" s="15"/>
      <c r="C26" s="30"/>
      <c r="D26" s="30"/>
      <c r="E26" s="65"/>
      <c r="F26" s="30"/>
      <c r="G26" s="30"/>
      <c r="H26" s="30"/>
      <c r="I26" s="53"/>
    </row>
    <row r="27" spans="1:9" ht="15.75">
      <c r="A27" s="69"/>
      <c r="B27" s="15" t="s">
        <v>267</v>
      </c>
      <c r="C27" s="30"/>
      <c r="D27" s="30"/>
      <c r="E27" s="30"/>
      <c r="F27" s="64">
        <f>IF(C16=0,0,F20/C16)</f>
        <v>0.00042672216323638284</v>
      </c>
      <c r="G27" s="30"/>
      <c r="H27" s="30"/>
      <c r="I27" s="53"/>
    </row>
    <row r="28" spans="1:9" ht="15.75">
      <c r="A28" s="69"/>
      <c r="B28" s="15"/>
      <c r="C28" s="30"/>
      <c r="D28" s="30"/>
      <c r="E28" s="30"/>
      <c r="F28" s="65"/>
      <c r="G28" s="30"/>
      <c r="H28" s="30"/>
      <c r="I28" s="53"/>
    </row>
    <row r="29" spans="1:9" ht="15.75">
      <c r="A29" s="69"/>
      <c r="B29" s="15" t="s">
        <v>266</v>
      </c>
      <c r="C29" s="30"/>
      <c r="D29" s="30"/>
      <c r="E29" s="30"/>
      <c r="F29" s="30"/>
      <c r="G29" s="64">
        <f>IF(C16=0,0,G22/C16)</f>
        <v>0.0008448023040498531</v>
      </c>
      <c r="H29" s="65"/>
      <c r="I29" s="53"/>
    </row>
    <row r="30" spans="1:9" ht="15.75">
      <c r="A30" s="69"/>
      <c r="B30" s="28"/>
      <c r="C30" s="53"/>
      <c r="D30" s="53"/>
      <c r="E30" s="53"/>
      <c r="F30" s="53"/>
      <c r="G30" s="53"/>
      <c r="H30" s="53"/>
      <c r="I30" s="53"/>
    </row>
    <row r="31" spans="1:9" ht="15.75">
      <c r="A31" s="69"/>
      <c r="B31" s="28"/>
      <c r="C31" s="53"/>
      <c r="D31" s="53"/>
      <c r="E31" s="53"/>
      <c r="F31" s="53"/>
      <c r="G31" s="53"/>
      <c r="H31" s="53"/>
      <c r="I31" s="53"/>
    </row>
  </sheetData>
  <sheetProtection/>
  <mergeCells count="4">
    <mergeCell ref="C5:C6"/>
    <mergeCell ref="D5:D6"/>
    <mergeCell ref="E5:G5"/>
    <mergeCell ref="B3:G3"/>
  </mergeCells>
  <printOptions/>
  <pageMargins left="1.5" right="0.75" top="0.25" bottom="0.18" header="0" footer="0"/>
  <pageSetup blackAndWhite="1" firstPageNumber="3" useFirstPageNumber="1" fitToHeight="1" fitToWidth="1" horizontalDpi="600" verticalDpi="600" orientation="landscape" scale="95" r:id="rId1"/>
  <headerFooter alignWithMargins="0">
    <oddHeader>&amp;RState of Kansas
County</oddHeader>
    <oddFooter>&amp;C&amp;"Arial,Regular"&amp;11WY-&amp;P</oddFooter>
  </headerFooter>
</worksheet>
</file>

<file path=xl/worksheets/sheet3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2" sqref="A2"/>
    </sheetView>
  </sheetViews>
  <sheetFormatPr defaultColWidth="8.796875" defaultRowHeight="15"/>
  <cols>
    <col min="1" max="1" width="71.296875" style="0" customWidth="1"/>
  </cols>
  <sheetData>
    <row r="3" spans="1:12" ht="15">
      <c r="A3" s="168" t="s">
        <v>375</v>
      </c>
      <c r="B3" s="168"/>
      <c r="C3" s="168"/>
      <c r="D3" s="168"/>
      <c r="E3" s="168"/>
      <c r="F3" s="168"/>
      <c r="G3" s="168"/>
      <c r="H3" s="168"/>
      <c r="I3" s="168"/>
      <c r="J3" s="168"/>
      <c r="K3" s="168"/>
      <c r="L3" s="168"/>
    </row>
    <row r="5" ht="15">
      <c r="A5" s="169" t="s">
        <v>376</v>
      </c>
    </row>
    <row r="6" ht="15">
      <c r="A6" s="169" t="str">
        <f>CONCATENATE(inputPrYr!C4-2," 'total expenditures' exceed your ",inputPrYr!C4-2," 'budget authority.'")</f>
        <v>2011 'total expenditures' exceed your 2011 'budget authority.'</v>
      </c>
    </row>
    <row r="7" ht="15">
      <c r="A7" s="169"/>
    </row>
    <row r="8" ht="15">
      <c r="A8" s="169" t="s">
        <v>377</v>
      </c>
    </row>
    <row r="9" ht="15">
      <c r="A9" s="169" t="s">
        <v>378</v>
      </c>
    </row>
    <row r="10" ht="15">
      <c r="A10" s="169" t="s">
        <v>379</v>
      </c>
    </row>
    <row r="11" ht="15">
      <c r="A11" s="169"/>
    </row>
    <row r="12" ht="15">
      <c r="A12" s="169"/>
    </row>
    <row r="13" ht="15">
      <c r="A13" s="170" t="s">
        <v>380</v>
      </c>
    </row>
    <row r="15" ht="15">
      <c r="A15" s="169" t="s">
        <v>381</v>
      </c>
    </row>
    <row r="16" ht="15">
      <c r="A16" s="169" t="str">
        <f>CONCATENATE("(i.e. an audit has not been completed, or the ",inputPrYr!C4," adopted")</f>
        <v>(i.e. an audit has not been completed, or the 2013 adopted</v>
      </c>
    </row>
    <row r="17" ht="15">
      <c r="A17" s="169" t="s">
        <v>382</v>
      </c>
    </row>
    <row r="18" ht="15">
      <c r="A18" s="169" t="s">
        <v>383</v>
      </c>
    </row>
    <row r="19" ht="15">
      <c r="A19" s="169" t="s">
        <v>384</v>
      </c>
    </row>
    <row r="21" ht="15">
      <c r="A21" s="170" t="s">
        <v>385</v>
      </c>
    </row>
    <row r="22" ht="15">
      <c r="A22" s="170"/>
    </row>
    <row r="23" ht="15">
      <c r="A23" s="169" t="s">
        <v>386</v>
      </c>
    </row>
    <row r="24" ht="15">
      <c r="A24" s="169" t="s">
        <v>387</v>
      </c>
    </row>
    <row r="25" ht="15">
      <c r="A25" s="169" t="str">
        <f>CONCATENATE("particular fund.  If your ",inputPrYr!C4-2," budget was amended, did you")</f>
        <v>particular fund.  If your 2011 budget was amended, did you</v>
      </c>
    </row>
    <row r="26" ht="15">
      <c r="A26" s="169" t="s">
        <v>388</v>
      </c>
    </row>
    <row r="27" ht="15">
      <c r="A27" s="169"/>
    </row>
    <row r="28" ht="15">
      <c r="A28" s="169" t="str">
        <f>CONCATENATE("Next, look to see if any of your ",inputPrYr!C4-2," expenditures can be")</f>
        <v>Next, look to see if any of your 2011 expenditures can be</v>
      </c>
    </row>
    <row r="29" ht="15">
      <c r="A29" s="169" t="s">
        <v>389</v>
      </c>
    </row>
    <row r="30" ht="15">
      <c r="A30" s="169" t="s">
        <v>390</v>
      </c>
    </row>
    <row r="31" ht="15">
      <c r="A31" s="169" t="s">
        <v>391</v>
      </c>
    </row>
    <row r="32" ht="15">
      <c r="A32" s="169"/>
    </row>
    <row r="33" ht="15">
      <c r="A33" s="169" t="str">
        <f>CONCATENATE("Additionally, do your ",inputPrYr!C4-2," receipts contain a reimbursement")</f>
        <v>Additionally, do your 2011 receipts contain a reimbursement</v>
      </c>
    </row>
    <row r="34" ht="15">
      <c r="A34" s="169" t="s">
        <v>392</v>
      </c>
    </row>
    <row r="35" ht="15">
      <c r="A35" s="169" t="s">
        <v>393</v>
      </c>
    </row>
    <row r="36" ht="15">
      <c r="A36" s="169"/>
    </row>
    <row r="37" ht="15">
      <c r="A37" s="169" t="s">
        <v>394</v>
      </c>
    </row>
    <row r="38" ht="15">
      <c r="A38" s="169" t="s">
        <v>395</v>
      </c>
    </row>
    <row r="39" ht="15">
      <c r="A39" s="169" t="s">
        <v>396</v>
      </c>
    </row>
    <row r="40" ht="15">
      <c r="A40" s="169" t="s">
        <v>397</v>
      </c>
    </row>
    <row r="41" ht="15">
      <c r="A41" s="169" t="s">
        <v>398</v>
      </c>
    </row>
    <row r="42" ht="15">
      <c r="A42" s="169" t="s">
        <v>399</v>
      </c>
    </row>
    <row r="43" ht="15">
      <c r="A43" s="169" t="s">
        <v>400</v>
      </c>
    </row>
    <row r="44" ht="15">
      <c r="A44" s="169" t="s">
        <v>401</v>
      </c>
    </row>
    <row r="45" ht="15">
      <c r="A45" s="169"/>
    </row>
    <row r="46" ht="15">
      <c r="A46" s="169" t="s">
        <v>402</v>
      </c>
    </row>
    <row r="47" ht="15">
      <c r="A47" s="169" t="s">
        <v>403</v>
      </c>
    </row>
    <row r="48" ht="15">
      <c r="A48" s="169" t="s">
        <v>404</v>
      </c>
    </row>
    <row r="49" ht="15">
      <c r="A49" s="169"/>
    </row>
    <row r="50" ht="15">
      <c r="A50" s="169" t="s">
        <v>405</v>
      </c>
    </row>
    <row r="51" ht="15">
      <c r="A51" s="169" t="s">
        <v>406</v>
      </c>
    </row>
    <row r="52" ht="15">
      <c r="A52" s="169" t="s">
        <v>407</v>
      </c>
    </row>
    <row r="53" ht="15">
      <c r="A53" s="169"/>
    </row>
    <row r="54" ht="15">
      <c r="A54" s="170" t="s">
        <v>408</v>
      </c>
    </row>
    <row r="55" ht="15">
      <c r="A55" s="169"/>
    </row>
    <row r="56" ht="15">
      <c r="A56" s="169" t="s">
        <v>409</v>
      </c>
    </row>
    <row r="57" ht="15">
      <c r="A57" s="169" t="s">
        <v>410</v>
      </c>
    </row>
    <row r="58" ht="15">
      <c r="A58" s="169" t="s">
        <v>411</v>
      </c>
    </row>
    <row r="59" ht="15">
      <c r="A59" s="169" t="s">
        <v>412</v>
      </c>
    </row>
    <row r="60" ht="15">
      <c r="A60" s="169" t="s">
        <v>413</v>
      </c>
    </row>
    <row r="61" ht="15">
      <c r="A61" s="169" t="s">
        <v>414</v>
      </c>
    </row>
    <row r="62" ht="15">
      <c r="A62" s="169" t="s">
        <v>415</v>
      </c>
    </row>
    <row r="63" ht="15">
      <c r="A63" s="169" t="s">
        <v>416</v>
      </c>
    </row>
    <row r="64" ht="15">
      <c r="A64" s="169" t="s">
        <v>417</v>
      </c>
    </row>
    <row r="65" ht="15">
      <c r="A65" s="169" t="s">
        <v>418</v>
      </c>
    </row>
    <row r="66" ht="15">
      <c r="A66" s="169" t="s">
        <v>419</v>
      </c>
    </row>
    <row r="67" ht="15">
      <c r="A67" s="169" t="s">
        <v>420</v>
      </c>
    </row>
    <row r="68" ht="15">
      <c r="A68" s="169" t="s">
        <v>421</v>
      </c>
    </row>
    <row r="69" ht="15">
      <c r="A69" s="169"/>
    </row>
    <row r="70" ht="15">
      <c r="A70" s="169" t="s">
        <v>422</v>
      </c>
    </row>
    <row r="71" ht="15">
      <c r="A71" s="169" t="s">
        <v>423</v>
      </c>
    </row>
    <row r="72" ht="15">
      <c r="A72" s="169" t="s">
        <v>424</v>
      </c>
    </row>
    <row r="73" ht="15">
      <c r="A73" s="169"/>
    </row>
    <row r="74" ht="15">
      <c r="A74" s="170" t="str">
        <f>CONCATENATE("What if the ",inputPrYr!C4-2," financial records have been closed?")</f>
        <v>What if the 2011 financial records have been closed?</v>
      </c>
    </row>
    <row r="76" ht="15">
      <c r="A76" s="169" t="s">
        <v>425</v>
      </c>
    </row>
    <row r="77" ht="15">
      <c r="A77" s="169" t="str">
        <f>CONCATENATE("(i.e. an audit for ",inputPrYr!C4-2," has been completed, or the ",inputPrYr!C4)</f>
        <v>(i.e. an audit for 2011 has been completed, or the 2013</v>
      </c>
    </row>
    <row r="78" ht="15">
      <c r="A78" s="169" t="s">
        <v>426</v>
      </c>
    </row>
    <row r="79" ht="15">
      <c r="A79" s="169" t="s">
        <v>427</v>
      </c>
    </row>
    <row r="80" ht="15">
      <c r="A80" s="169"/>
    </row>
    <row r="81" ht="15">
      <c r="A81" s="169" t="s">
        <v>428</v>
      </c>
    </row>
    <row r="82" ht="15">
      <c r="A82" s="169" t="s">
        <v>429</v>
      </c>
    </row>
    <row r="83" ht="15">
      <c r="A83" s="169" t="s">
        <v>430</v>
      </c>
    </row>
    <row r="84" ht="15">
      <c r="A84" s="169"/>
    </row>
    <row r="85" ht="15">
      <c r="A85" s="169" t="s">
        <v>431</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2" sqref="A2"/>
    </sheetView>
  </sheetViews>
  <sheetFormatPr defaultColWidth="8.796875" defaultRowHeight="15"/>
  <cols>
    <col min="1" max="1" width="71.296875" style="0" customWidth="1"/>
  </cols>
  <sheetData>
    <row r="3" spans="1:10" ht="15">
      <c r="A3" s="168" t="s">
        <v>432</v>
      </c>
      <c r="B3" s="168"/>
      <c r="C3" s="168"/>
      <c r="D3" s="168"/>
      <c r="E3" s="168"/>
      <c r="F3" s="168"/>
      <c r="G3" s="168"/>
      <c r="H3" s="171"/>
      <c r="I3" s="171"/>
      <c r="J3" s="171"/>
    </row>
    <row r="5" ht="15">
      <c r="A5" s="169" t="s">
        <v>433</v>
      </c>
    </row>
    <row r="6" ht="15">
      <c r="A6" t="str">
        <f>CONCATENATE(inputPrYr!C4-2," expenditures show that you finished the year with a ")</f>
        <v>2011 expenditures show that you finished the year with a </v>
      </c>
    </row>
    <row r="7" ht="15">
      <c r="A7" t="s">
        <v>434</v>
      </c>
    </row>
    <row r="9" ht="15">
      <c r="A9" t="s">
        <v>435</v>
      </c>
    </row>
    <row r="10" ht="15">
      <c r="A10" t="s">
        <v>436</v>
      </c>
    </row>
    <row r="11" ht="15">
      <c r="A11" t="s">
        <v>437</v>
      </c>
    </row>
    <row r="13" ht="15">
      <c r="A13" s="170" t="s">
        <v>438</v>
      </c>
    </row>
    <row r="14" ht="15">
      <c r="A14" s="170"/>
    </row>
    <row r="15" ht="15">
      <c r="A15" s="169" t="s">
        <v>439</v>
      </c>
    </row>
    <row r="16" ht="15">
      <c r="A16" s="169" t="s">
        <v>440</v>
      </c>
    </row>
    <row r="17" ht="15">
      <c r="A17" s="169" t="s">
        <v>441</v>
      </c>
    </row>
    <row r="18" ht="15">
      <c r="A18" s="169"/>
    </row>
    <row r="19" ht="15">
      <c r="A19" s="170" t="s">
        <v>442</v>
      </c>
    </row>
    <row r="20" ht="15">
      <c r="A20" s="170"/>
    </row>
    <row r="21" ht="15">
      <c r="A21" s="169" t="s">
        <v>443</v>
      </c>
    </row>
    <row r="22" ht="15">
      <c r="A22" s="169" t="s">
        <v>444</v>
      </c>
    </row>
    <row r="23" ht="15">
      <c r="A23" s="169" t="s">
        <v>445</v>
      </c>
    </row>
    <row r="24" ht="15">
      <c r="A24" s="169"/>
    </row>
    <row r="25" ht="15">
      <c r="A25" s="170" t="s">
        <v>446</v>
      </c>
    </row>
    <row r="26" ht="15">
      <c r="A26" s="170"/>
    </row>
    <row r="27" ht="15">
      <c r="A27" s="169" t="s">
        <v>447</v>
      </c>
    </row>
    <row r="28" ht="15">
      <c r="A28" s="169" t="s">
        <v>448</v>
      </c>
    </row>
    <row r="29" ht="15">
      <c r="A29" s="169" t="s">
        <v>449</v>
      </c>
    </row>
    <row r="30" ht="15">
      <c r="A30" s="169"/>
    </row>
    <row r="31" ht="15">
      <c r="A31" s="170" t="s">
        <v>450</v>
      </c>
    </row>
    <row r="32" ht="15">
      <c r="A32" s="170"/>
    </row>
    <row r="33" spans="1:8" ht="15">
      <c r="A33" s="169" t="str">
        <f>CONCATENATE("If your financial records for ",inputPrYr!C4-2," are not closed")</f>
        <v>If your financial records for 2011 are not closed</v>
      </c>
      <c r="B33" s="169"/>
      <c r="C33" s="169"/>
      <c r="D33" s="169"/>
      <c r="E33" s="169"/>
      <c r="F33" s="169"/>
      <c r="G33" s="169"/>
      <c r="H33" s="169"/>
    </row>
    <row r="34" spans="1:8" ht="15">
      <c r="A34" s="169" t="str">
        <f>CONCATENATE("(i.e. an audit has not been completed, or the ",inputPrYr!C4," adopted ")</f>
        <v>(i.e. an audit has not been completed, or the 2013 adopted </v>
      </c>
      <c r="B34" s="169"/>
      <c r="C34" s="169"/>
      <c r="D34" s="169"/>
      <c r="E34" s="169"/>
      <c r="F34" s="169"/>
      <c r="G34" s="169"/>
      <c r="H34" s="169"/>
    </row>
    <row r="35" spans="1:8" ht="15">
      <c r="A35" s="169" t="s">
        <v>451</v>
      </c>
      <c r="B35" s="169"/>
      <c r="C35" s="169"/>
      <c r="D35" s="169"/>
      <c r="E35" s="169"/>
      <c r="F35" s="169"/>
      <c r="G35" s="169"/>
      <c r="H35" s="169"/>
    </row>
    <row r="36" spans="1:8" ht="15">
      <c r="A36" s="169" t="s">
        <v>452</v>
      </c>
      <c r="B36" s="169"/>
      <c r="C36" s="169"/>
      <c r="D36" s="169"/>
      <c r="E36" s="169"/>
      <c r="F36" s="169"/>
      <c r="G36" s="169"/>
      <c r="H36" s="169"/>
    </row>
    <row r="37" spans="1:8" ht="15">
      <c r="A37" s="169" t="s">
        <v>453</v>
      </c>
      <c r="B37" s="169"/>
      <c r="C37" s="169"/>
      <c r="D37" s="169"/>
      <c r="E37" s="169"/>
      <c r="F37" s="169"/>
      <c r="G37" s="169"/>
      <c r="H37" s="169"/>
    </row>
    <row r="38" spans="1:8" ht="15">
      <c r="A38" s="169" t="s">
        <v>454</v>
      </c>
      <c r="B38" s="169"/>
      <c r="C38" s="169"/>
      <c r="D38" s="169"/>
      <c r="E38" s="169"/>
      <c r="F38" s="169"/>
      <c r="G38" s="169"/>
      <c r="H38" s="169"/>
    </row>
    <row r="39" spans="1:8" ht="15">
      <c r="A39" s="169" t="s">
        <v>455</v>
      </c>
      <c r="B39" s="169"/>
      <c r="C39" s="169"/>
      <c r="D39" s="169"/>
      <c r="E39" s="169"/>
      <c r="F39" s="169"/>
      <c r="G39" s="169"/>
      <c r="H39" s="169"/>
    </row>
    <row r="40" spans="1:8" ht="15">
      <c r="A40" s="169"/>
      <c r="B40" s="169"/>
      <c r="C40" s="169"/>
      <c r="D40" s="169"/>
      <c r="E40" s="169"/>
      <c r="F40" s="169"/>
      <c r="G40" s="169"/>
      <c r="H40" s="169"/>
    </row>
    <row r="41" spans="1:8" ht="15">
      <c r="A41" s="169" t="s">
        <v>456</v>
      </c>
      <c r="B41" s="169"/>
      <c r="C41" s="169"/>
      <c r="D41" s="169"/>
      <c r="E41" s="169"/>
      <c r="F41" s="169"/>
      <c r="G41" s="169"/>
      <c r="H41" s="169"/>
    </row>
    <row r="42" spans="1:8" ht="15">
      <c r="A42" s="169" t="s">
        <v>457</v>
      </c>
      <c r="B42" s="169"/>
      <c r="C42" s="169"/>
      <c r="D42" s="169"/>
      <c r="E42" s="169"/>
      <c r="F42" s="169"/>
      <c r="G42" s="169"/>
      <c r="H42" s="169"/>
    </row>
    <row r="43" spans="1:8" ht="15">
      <c r="A43" s="169" t="s">
        <v>458</v>
      </c>
      <c r="B43" s="169"/>
      <c r="C43" s="169"/>
      <c r="D43" s="169"/>
      <c r="E43" s="169"/>
      <c r="F43" s="169"/>
      <c r="G43" s="169"/>
      <c r="H43" s="169"/>
    </row>
    <row r="44" spans="1:8" ht="15">
      <c r="A44" s="169" t="s">
        <v>459</v>
      </c>
      <c r="B44" s="169"/>
      <c r="C44" s="169"/>
      <c r="D44" s="169"/>
      <c r="E44" s="169"/>
      <c r="F44" s="169"/>
      <c r="G44" s="169"/>
      <c r="H44" s="169"/>
    </row>
    <row r="45" spans="1:8" ht="15">
      <c r="A45" s="169"/>
      <c r="B45" s="169"/>
      <c r="C45" s="169"/>
      <c r="D45" s="169"/>
      <c r="E45" s="169"/>
      <c r="F45" s="169"/>
      <c r="G45" s="169"/>
      <c r="H45" s="169"/>
    </row>
    <row r="46" spans="1:8" ht="15">
      <c r="A46" s="169" t="s">
        <v>460</v>
      </c>
      <c r="B46" s="169"/>
      <c r="C46" s="169"/>
      <c r="D46" s="169"/>
      <c r="E46" s="169"/>
      <c r="F46" s="169"/>
      <c r="G46" s="169"/>
      <c r="H46" s="169"/>
    </row>
    <row r="47" spans="1:8" ht="15">
      <c r="A47" s="169" t="s">
        <v>461</v>
      </c>
      <c r="B47" s="169"/>
      <c r="C47" s="169"/>
      <c r="D47" s="169"/>
      <c r="E47" s="169"/>
      <c r="F47" s="169"/>
      <c r="G47" s="169"/>
      <c r="H47" s="169"/>
    </row>
    <row r="48" spans="1:8" ht="15">
      <c r="A48" s="169" t="s">
        <v>462</v>
      </c>
      <c r="B48" s="169"/>
      <c r="C48" s="169"/>
      <c r="D48" s="169"/>
      <c r="E48" s="169"/>
      <c r="F48" s="169"/>
      <c r="G48" s="169"/>
      <c r="H48" s="169"/>
    </row>
    <row r="49" spans="1:8" ht="15">
      <c r="A49" s="169" t="s">
        <v>463</v>
      </c>
      <c r="B49" s="169"/>
      <c r="C49" s="169"/>
      <c r="D49" s="169"/>
      <c r="E49" s="169"/>
      <c r="F49" s="169"/>
      <c r="G49" s="169"/>
      <c r="H49" s="169"/>
    </row>
    <row r="50" spans="1:8" ht="15">
      <c r="A50" s="169" t="s">
        <v>464</v>
      </c>
      <c r="B50" s="169"/>
      <c r="C50" s="169"/>
      <c r="D50" s="169"/>
      <c r="E50" s="169"/>
      <c r="F50" s="169"/>
      <c r="G50" s="169"/>
      <c r="H50" s="169"/>
    </row>
    <row r="51" spans="1:8" ht="15">
      <c r="A51" s="169"/>
      <c r="B51" s="169"/>
      <c r="C51" s="169"/>
      <c r="D51" s="169"/>
      <c r="E51" s="169"/>
      <c r="F51" s="169"/>
      <c r="G51" s="169"/>
      <c r="H51" s="169"/>
    </row>
    <row r="52" spans="1:8" ht="15">
      <c r="A52" s="170" t="s">
        <v>465</v>
      </c>
      <c r="B52" s="170"/>
      <c r="C52" s="170"/>
      <c r="D52" s="170"/>
      <c r="E52" s="170"/>
      <c r="F52" s="170"/>
      <c r="G52" s="170"/>
      <c r="H52" s="169"/>
    </row>
    <row r="53" spans="1:8" ht="15">
      <c r="A53" s="170" t="s">
        <v>466</v>
      </c>
      <c r="B53" s="170"/>
      <c r="C53" s="170"/>
      <c r="D53" s="170"/>
      <c r="E53" s="170"/>
      <c r="F53" s="170"/>
      <c r="G53" s="170"/>
      <c r="H53" s="169"/>
    </row>
    <row r="54" spans="1:8" ht="15">
      <c r="A54" s="169"/>
      <c r="B54" s="169"/>
      <c r="C54" s="169"/>
      <c r="D54" s="169"/>
      <c r="E54" s="169"/>
      <c r="F54" s="169"/>
      <c r="G54" s="169"/>
      <c r="H54" s="169"/>
    </row>
    <row r="55" spans="1:8" ht="15">
      <c r="A55" s="169" t="s">
        <v>467</v>
      </c>
      <c r="B55" s="169"/>
      <c r="C55" s="169"/>
      <c r="D55" s="169"/>
      <c r="E55" s="169"/>
      <c r="F55" s="169"/>
      <c r="G55" s="169"/>
      <c r="H55" s="169"/>
    </row>
    <row r="56" spans="1:8" ht="15">
      <c r="A56" s="169" t="s">
        <v>468</v>
      </c>
      <c r="B56" s="169"/>
      <c r="C56" s="169"/>
      <c r="D56" s="169"/>
      <c r="E56" s="169"/>
      <c r="F56" s="169"/>
      <c r="G56" s="169"/>
      <c r="H56" s="169"/>
    </row>
    <row r="57" spans="1:8" ht="15">
      <c r="A57" s="169" t="s">
        <v>469</v>
      </c>
      <c r="B57" s="169"/>
      <c r="C57" s="169"/>
      <c r="D57" s="169"/>
      <c r="E57" s="169"/>
      <c r="F57" s="169"/>
      <c r="G57" s="169"/>
      <c r="H57" s="169"/>
    </row>
    <row r="58" spans="1:8" ht="15">
      <c r="A58" s="169" t="s">
        <v>470</v>
      </c>
      <c r="B58" s="169"/>
      <c r="C58" s="169"/>
      <c r="D58" s="169"/>
      <c r="E58" s="169"/>
      <c r="F58" s="169"/>
      <c r="G58" s="169"/>
      <c r="H58" s="169"/>
    </row>
    <row r="59" spans="1:8" ht="15">
      <c r="A59" s="169"/>
      <c r="B59" s="169"/>
      <c r="C59" s="169"/>
      <c r="D59" s="169"/>
      <c r="E59" s="169"/>
      <c r="F59" s="169"/>
      <c r="G59" s="169"/>
      <c r="H59" s="169"/>
    </row>
    <row r="60" spans="1:8" ht="15">
      <c r="A60" s="169" t="s">
        <v>471</v>
      </c>
      <c r="B60" s="169"/>
      <c r="C60" s="169"/>
      <c r="D60" s="169"/>
      <c r="E60" s="169"/>
      <c r="F60" s="169"/>
      <c r="G60" s="169"/>
      <c r="H60" s="169"/>
    </row>
    <row r="61" spans="1:8" ht="15">
      <c r="A61" s="169" t="s">
        <v>472</v>
      </c>
      <c r="B61" s="169"/>
      <c r="C61" s="169"/>
      <c r="D61" s="169"/>
      <c r="E61" s="169"/>
      <c r="F61" s="169"/>
      <c r="G61" s="169"/>
      <c r="H61" s="169"/>
    </row>
    <row r="62" spans="1:8" ht="15">
      <c r="A62" s="169" t="s">
        <v>473</v>
      </c>
      <c r="B62" s="169"/>
      <c r="C62" s="169"/>
      <c r="D62" s="169"/>
      <c r="E62" s="169"/>
      <c r="F62" s="169"/>
      <c r="G62" s="169"/>
      <c r="H62" s="169"/>
    </row>
    <row r="63" spans="1:8" ht="15">
      <c r="A63" s="169" t="s">
        <v>474</v>
      </c>
      <c r="B63" s="169"/>
      <c r="C63" s="169"/>
      <c r="D63" s="169"/>
      <c r="E63" s="169"/>
      <c r="F63" s="169"/>
      <c r="G63" s="169"/>
      <c r="H63" s="169"/>
    </row>
    <row r="64" spans="1:8" ht="15">
      <c r="A64" s="169" t="s">
        <v>475</v>
      </c>
      <c r="B64" s="169"/>
      <c r="C64" s="169"/>
      <c r="D64" s="169"/>
      <c r="E64" s="169"/>
      <c r="F64" s="169"/>
      <c r="G64" s="169"/>
      <c r="H64" s="169"/>
    </row>
    <row r="65" spans="1:8" ht="15">
      <c r="A65" s="169" t="s">
        <v>476</v>
      </c>
      <c r="B65" s="169"/>
      <c r="C65" s="169"/>
      <c r="D65" s="169"/>
      <c r="E65" s="169"/>
      <c r="F65" s="169"/>
      <c r="G65" s="169"/>
      <c r="H65" s="169"/>
    </row>
    <row r="66" spans="1:8" ht="15">
      <c r="A66" s="169"/>
      <c r="B66" s="169"/>
      <c r="C66" s="169"/>
      <c r="D66" s="169"/>
      <c r="E66" s="169"/>
      <c r="F66" s="169"/>
      <c r="G66" s="169"/>
      <c r="H66" s="169"/>
    </row>
    <row r="67" spans="1:8" ht="15">
      <c r="A67" s="169" t="s">
        <v>477</v>
      </c>
      <c r="B67" s="169"/>
      <c r="C67" s="169"/>
      <c r="D67" s="169"/>
      <c r="E67" s="169"/>
      <c r="F67" s="169"/>
      <c r="G67" s="169"/>
      <c r="H67" s="169"/>
    </row>
    <row r="68" spans="1:8" ht="15">
      <c r="A68" s="169" t="s">
        <v>478</v>
      </c>
      <c r="B68" s="169"/>
      <c r="C68" s="169"/>
      <c r="D68" s="169"/>
      <c r="E68" s="169"/>
      <c r="F68" s="169"/>
      <c r="G68" s="169"/>
      <c r="H68" s="169"/>
    </row>
    <row r="69" spans="1:8" ht="15">
      <c r="A69" s="169" t="s">
        <v>479</v>
      </c>
      <c r="B69" s="169"/>
      <c r="C69" s="169"/>
      <c r="D69" s="169"/>
      <c r="E69" s="169"/>
      <c r="F69" s="169"/>
      <c r="G69" s="169"/>
      <c r="H69" s="169"/>
    </row>
    <row r="70" spans="1:8" ht="15">
      <c r="A70" s="169" t="s">
        <v>480</v>
      </c>
      <c r="B70" s="169"/>
      <c r="C70" s="169"/>
      <c r="D70" s="169"/>
      <c r="E70" s="169"/>
      <c r="F70" s="169"/>
      <c r="G70" s="169"/>
      <c r="H70" s="169"/>
    </row>
    <row r="71" spans="1:8" ht="15">
      <c r="A71" s="169" t="s">
        <v>481</v>
      </c>
      <c r="B71" s="169"/>
      <c r="C71" s="169"/>
      <c r="D71" s="169"/>
      <c r="E71" s="169"/>
      <c r="F71" s="169"/>
      <c r="G71" s="169"/>
      <c r="H71" s="169"/>
    </row>
    <row r="72" spans="1:8" ht="15">
      <c r="A72" s="169" t="s">
        <v>482</v>
      </c>
      <c r="B72" s="169"/>
      <c r="C72" s="169"/>
      <c r="D72" s="169"/>
      <c r="E72" s="169"/>
      <c r="F72" s="169"/>
      <c r="G72" s="169"/>
      <c r="H72" s="169"/>
    </row>
    <row r="73" spans="1:8" ht="15">
      <c r="A73" s="169" t="s">
        <v>483</v>
      </c>
      <c r="B73" s="169"/>
      <c r="C73" s="169"/>
      <c r="D73" s="169"/>
      <c r="E73" s="169"/>
      <c r="F73" s="169"/>
      <c r="G73" s="169"/>
      <c r="H73" s="169"/>
    </row>
    <row r="74" spans="1:8" ht="15">
      <c r="A74" s="169"/>
      <c r="B74" s="169"/>
      <c r="C74" s="169"/>
      <c r="D74" s="169"/>
      <c r="E74" s="169"/>
      <c r="F74" s="169"/>
      <c r="G74" s="169"/>
      <c r="H74" s="169"/>
    </row>
    <row r="75" spans="1:8" ht="15">
      <c r="A75" s="169" t="s">
        <v>484</v>
      </c>
      <c r="B75" s="169"/>
      <c r="C75" s="169"/>
      <c r="D75" s="169"/>
      <c r="E75" s="169"/>
      <c r="F75" s="169"/>
      <c r="G75" s="169"/>
      <c r="H75" s="169"/>
    </row>
    <row r="76" spans="1:8" ht="15">
      <c r="A76" s="169" t="s">
        <v>485</v>
      </c>
      <c r="B76" s="169"/>
      <c r="C76" s="169"/>
      <c r="D76" s="169"/>
      <c r="E76" s="169"/>
      <c r="F76" s="169"/>
      <c r="G76" s="169"/>
      <c r="H76" s="169"/>
    </row>
    <row r="77" spans="1:8" ht="15">
      <c r="A77" s="169" t="s">
        <v>486</v>
      </c>
      <c r="B77" s="169"/>
      <c r="C77" s="169"/>
      <c r="D77" s="169"/>
      <c r="E77" s="169"/>
      <c r="F77" s="169"/>
      <c r="G77" s="169"/>
      <c r="H77" s="169"/>
    </row>
    <row r="78" spans="1:8" ht="15">
      <c r="A78" s="169"/>
      <c r="B78" s="169"/>
      <c r="C78" s="169"/>
      <c r="D78" s="169"/>
      <c r="E78" s="169"/>
      <c r="F78" s="169"/>
      <c r="G78" s="169"/>
      <c r="H78" s="169"/>
    </row>
    <row r="79" ht="15">
      <c r="A79" s="169" t="s">
        <v>431</v>
      </c>
    </row>
    <row r="80" ht="15">
      <c r="A80" s="170"/>
    </row>
    <row r="81" ht="15">
      <c r="A81" s="169"/>
    </row>
    <row r="82" ht="15">
      <c r="A82" s="169"/>
    </row>
    <row r="83" ht="15">
      <c r="A83" s="169"/>
    </row>
    <row r="84" ht="15">
      <c r="A84" s="169"/>
    </row>
    <row r="85" ht="15">
      <c r="A85" s="169"/>
    </row>
    <row r="86" ht="15">
      <c r="A86" s="169"/>
    </row>
    <row r="87" ht="15">
      <c r="A87" s="169"/>
    </row>
    <row r="88" ht="15">
      <c r="A88" s="169"/>
    </row>
    <row r="89" ht="15">
      <c r="A89" s="169"/>
    </row>
    <row r="90" ht="15">
      <c r="A90" s="169"/>
    </row>
    <row r="91" ht="15">
      <c r="A91" s="169"/>
    </row>
    <row r="92" ht="15">
      <c r="A92" s="169"/>
    </row>
    <row r="93" ht="15">
      <c r="A93" s="169"/>
    </row>
    <row r="94" ht="15">
      <c r="A94" s="169"/>
    </row>
    <row r="95" ht="15">
      <c r="A95" s="169"/>
    </row>
    <row r="96" ht="15">
      <c r="A96" s="169"/>
    </row>
    <row r="97" ht="15">
      <c r="A97" s="169"/>
    </row>
    <row r="98" ht="15">
      <c r="A98" s="169"/>
    </row>
    <row r="99" ht="15">
      <c r="A99" s="169"/>
    </row>
    <row r="100" ht="15">
      <c r="A100" s="169"/>
    </row>
    <row r="101" ht="15">
      <c r="A101" s="169"/>
    </row>
    <row r="103" ht="15">
      <c r="A103" s="169"/>
    </row>
    <row r="104" ht="15">
      <c r="A104" s="169"/>
    </row>
    <row r="105" ht="15">
      <c r="A105" s="169"/>
    </row>
    <row r="107" ht="15">
      <c r="A107" s="170"/>
    </row>
    <row r="108" ht="15">
      <c r="A108" s="170"/>
    </row>
    <row r="109" ht="15">
      <c r="A109" s="170"/>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2" sqref="A2"/>
    </sheetView>
  </sheetViews>
  <sheetFormatPr defaultColWidth="8.796875" defaultRowHeight="15"/>
  <cols>
    <col min="1" max="1" width="71.296875" style="0" customWidth="1"/>
  </cols>
  <sheetData>
    <row r="3" spans="1:12" ht="15">
      <c r="A3" s="168" t="s">
        <v>487</v>
      </c>
      <c r="B3" s="168"/>
      <c r="C3" s="168"/>
      <c r="D3" s="168"/>
      <c r="E3" s="168"/>
      <c r="F3" s="168"/>
      <c r="G3" s="168"/>
      <c r="H3" s="168"/>
      <c r="I3" s="168"/>
      <c r="J3" s="168"/>
      <c r="K3" s="168"/>
      <c r="L3" s="168"/>
    </row>
    <row r="4" spans="1:12" ht="15">
      <c r="A4" s="168"/>
      <c r="B4" s="168"/>
      <c r="C4" s="168"/>
      <c r="D4" s="168"/>
      <c r="E4" s="168"/>
      <c r="F4" s="168"/>
      <c r="G4" s="168"/>
      <c r="H4" s="168"/>
      <c r="I4" s="168"/>
      <c r="J4" s="168"/>
      <c r="K4" s="168"/>
      <c r="L4" s="168"/>
    </row>
    <row r="5" spans="1:12" ht="15">
      <c r="A5" s="169" t="s">
        <v>376</v>
      </c>
      <c r="I5" s="168"/>
      <c r="J5" s="168"/>
      <c r="K5" s="168"/>
      <c r="L5" s="168"/>
    </row>
    <row r="6" spans="1:12" ht="15">
      <c r="A6" s="169" t="str">
        <f>CONCATENATE("estimated ",inputPrYr!C4-1," 'total expenditures' exceed your ",inputPrYr!C4-1,"")</f>
        <v>estimated 2012 'total expenditures' exceed your 2012</v>
      </c>
      <c r="I6" s="168"/>
      <c r="J6" s="168"/>
      <c r="K6" s="168"/>
      <c r="L6" s="168"/>
    </row>
    <row r="7" spans="1:12" ht="15">
      <c r="A7" s="172" t="s">
        <v>488</v>
      </c>
      <c r="I7" s="168"/>
      <c r="J7" s="168"/>
      <c r="K7" s="168"/>
      <c r="L7" s="168"/>
    </row>
    <row r="8" spans="1:12" ht="15">
      <c r="A8" s="169"/>
      <c r="I8" s="168"/>
      <c r="J8" s="168"/>
      <c r="K8" s="168"/>
      <c r="L8" s="168"/>
    </row>
    <row r="9" spans="1:12" ht="15">
      <c r="A9" s="169" t="s">
        <v>489</v>
      </c>
      <c r="I9" s="168"/>
      <c r="J9" s="168"/>
      <c r="K9" s="168"/>
      <c r="L9" s="168"/>
    </row>
    <row r="10" spans="1:12" ht="15">
      <c r="A10" s="169" t="s">
        <v>490</v>
      </c>
      <c r="I10" s="168"/>
      <c r="J10" s="168"/>
      <c r="K10" s="168"/>
      <c r="L10" s="168"/>
    </row>
    <row r="11" spans="1:12" ht="15">
      <c r="A11" s="169" t="s">
        <v>491</v>
      </c>
      <c r="I11" s="168"/>
      <c r="J11" s="168"/>
      <c r="K11" s="168"/>
      <c r="L11" s="168"/>
    </row>
    <row r="12" spans="1:12" ht="15">
      <c r="A12" s="169" t="s">
        <v>492</v>
      </c>
      <c r="I12" s="168"/>
      <c r="J12" s="168"/>
      <c r="K12" s="168"/>
      <c r="L12" s="168"/>
    </row>
    <row r="13" spans="1:12" ht="15">
      <c r="A13" s="169" t="s">
        <v>493</v>
      </c>
      <c r="I13" s="168"/>
      <c r="J13" s="168"/>
      <c r="K13" s="168"/>
      <c r="L13" s="168"/>
    </row>
    <row r="14" spans="1:12" ht="15">
      <c r="A14" s="168"/>
      <c r="B14" s="168"/>
      <c r="C14" s="168"/>
      <c r="D14" s="168"/>
      <c r="E14" s="168"/>
      <c r="F14" s="168"/>
      <c r="G14" s="168"/>
      <c r="H14" s="168"/>
      <c r="I14" s="168"/>
      <c r="J14" s="168"/>
      <c r="K14" s="168"/>
      <c r="L14" s="168"/>
    </row>
    <row r="15" ht="15">
      <c r="A15" s="170" t="s">
        <v>494</v>
      </c>
    </row>
    <row r="16" ht="15">
      <c r="A16" s="170" t="s">
        <v>495</v>
      </c>
    </row>
    <row r="17" ht="15">
      <c r="A17" s="170"/>
    </row>
    <row r="18" spans="1:7" ht="15">
      <c r="A18" s="169" t="s">
        <v>496</v>
      </c>
      <c r="B18" s="169"/>
      <c r="C18" s="169"/>
      <c r="D18" s="169"/>
      <c r="E18" s="169"/>
      <c r="F18" s="169"/>
      <c r="G18" s="169"/>
    </row>
    <row r="19" spans="1:7" ht="15">
      <c r="A19" s="169" t="str">
        <f>CONCATENATE("your ",inputPrYr!C4-1," numbers to see what steps might be necessary to")</f>
        <v>your 2012 numbers to see what steps might be necessary to</v>
      </c>
      <c r="B19" s="169"/>
      <c r="C19" s="169"/>
      <c r="D19" s="169"/>
      <c r="E19" s="169"/>
      <c r="F19" s="169"/>
      <c r="G19" s="169"/>
    </row>
    <row r="20" spans="1:7" ht="15">
      <c r="A20" s="169" t="s">
        <v>497</v>
      </c>
      <c r="B20" s="169"/>
      <c r="C20" s="169"/>
      <c r="D20" s="169"/>
      <c r="E20" s="169"/>
      <c r="F20" s="169"/>
      <c r="G20" s="169"/>
    </row>
    <row r="21" spans="1:7" ht="15">
      <c r="A21" s="169" t="s">
        <v>498</v>
      </c>
      <c r="B21" s="169"/>
      <c r="C21" s="169"/>
      <c r="D21" s="169"/>
      <c r="E21" s="169"/>
      <c r="F21" s="169"/>
      <c r="G21" s="169"/>
    </row>
    <row r="22" ht="15">
      <c r="A22" s="169"/>
    </row>
    <row r="23" ht="15">
      <c r="A23" s="170" t="s">
        <v>499</v>
      </c>
    </row>
    <row r="24" ht="15">
      <c r="A24" s="170"/>
    </row>
    <row r="25" ht="15">
      <c r="A25" s="169" t="s">
        <v>500</v>
      </c>
    </row>
    <row r="26" spans="1:6" ht="15">
      <c r="A26" s="169" t="s">
        <v>501</v>
      </c>
      <c r="B26" s="169"/>
      <c r="C26" s="169"/>
      <c r="D26" s="169"/>
      <c r="E26" s="169"/>
      <c r="F26" s="169"/>
    </row>
    <row r="27" spans="1:6" ht="15">
      <c r="A27" s="169" t="s">
        <v>502</v>
      </c>
      <c r="B27" s="169"/>
      <c r="C27" s="169"/>
      <c r="D27" s="169"/>
      <c r="E27" s="169"/>
      <c r="F27" s="169"/>
    </row>
    <row r="28" spans="1:6" ht="15">
      <c r="A28" s="169" t="s">
        <v>503</v>
      </c>
      <c r="B28" s="169"/>
      <c r="C28" s="169"/>
      <c r="D28" s="169"/>
      <c r="E28" s="169"/>
      <c r="F28" s="169"/>
    </row>
    <row r="29" spans="1:6" ht="15">
      <c r="A29" s="169"/>
      <c r="B29" s="169"/>
      <c r="C29" s="169"/>
      <c r="D29" s="169"/>
      <c r="E29" s="169"/>
      <c r="F29" s="169"/>
    </row>
    <row r="30" spans="1:7" ht="15">
      <c r="A30" s="170" t="s">
        <v>504</v>
      </c>
      <c r="B30" s="170"/>
      <c r="C30" s="170"/>
      <c r="D30" s="170"/>
      <c r="E30" s="170"/>
      <c r="F30" s="170"/>
      <c r="G30" s="170"/>
    </row>
    <row r="31" spans="1:7" ht="15">
      <c r="A31" s="170" t="s">
        <v>505</v>
      </c>
      <c r="B31" s="170"/>
      <c r="C31" s="170"/>
      <c r="D31" s="170"/>
      <c r="E31" s="170"/>
      <c r="F31" s="170"/>
      <c r="G31" s="170"/>
    </row>
    <row r="32" spans="1:6" ht="15">
      <c r="A32" s="169"/>
      <c r="B32" s="169"/>
      <c r="C32" s="169"/>
      <c r="D32" s="169"/>
      <c r="E32" s="169"/>
      <c r="F32" s="169"/>
    </row>
    <row r="33" spans="1:6" ht="15">
      <c r="A33" s="173" t="str">
        <f>CONCATENATE("Well, let's look to see if any of your ",inputPrYr!C4-1," expenditures can")</f>
        <v>Well, let's look to see if any of your 2012 expenditures can</v>
      </c>
      <c r="B33" s="169"/>
      <c r="C33" s="169"/>
      <c r="D33" s="169"/>
      <c r="E33" s="169"/>
      <c r="F33" s="169"/>
    </row>
    <row r="34" spans="1:6" ht="15">
      <c r="A34" s="173" t="s">
        <v>506</v>
      </c>
      <c r="B34" s="169"/>
      <c r="C34" s="169"/>
      <c r="D34" s="169"/>
      <c r="E34" s="169"/>
      <c r="F34" s="169"/>
    </row>
    <row r="35" spans="1:6" ht="15">
      <c r="A35" s="173" t="s">
        <v>390</v>
      </c>
      <c r="B35" s="169"/>
      <c r="C35" s="169"/>
      <c r="D35" s="169"/>
      <c r="E35" s="169"/>
      <c r="F35" s="169"/>
    </row>
    <row r="36" spans="1:6" ht="15">
      <c r="A36" s="173" t="s">
        <v>391</v>
      </c>
      <c r="B36" s="169"/>
      <c r="C36" s="169"/>
      <c r="D36" s="169"/>
      <c r="E36" s="169"/>
      <c r="F36" s="169"/>
    </row>
    <row r="37" spans="1:6" ht="15">
      <c r="A37" s="173"/>
      <c r="B37" s="169"/>
      <c r="C37" s="169"/>
      <c r="D37" s="169"/>
      <c r="E37" s="169"/>
      <c r="F37" s="169"/>
    </row>
    <row r="38" spans="1:6" ht="15">
      <c r="A38" s="173" t="str">
        <f>CONCATENATE("Additionally, do your ",inputPrYr!C4-1," receipts contain a reimbursement")</f>
        <v>Additionally, do your 2012 receipts contain a reimbursement</v>
      </c>
      <c r="B38" s="169"/>
      <c r="C38" s="169"/>
      <c r="D38" s="169"/>
      <c r="E38" s="169"/>
      <c r="F38" s="169"/>
    </row>
    <row r="39" spans="1:6" ht="15">
      <c r="A39" s="173" t="s">
        <v>392</v>
      </c>
      <c r="B39" s="169"/>
      <c r="C39" s="169"/>
      <c r="D39" s="169"/>
      <c r="E39" s="169"/>
      <c r="F39" s="169"/>
    </row>
    <row r="40" spans="1:6" ht="15">
      <c r="A40" s="173" t="s">
        <v>393</v>
      </c>
      <c r="B40" s="169"/>
      <c r="C40" s="169"/>
      <c r="D40" s="169"/>
      <c r="E40" s="169"/>
      <c r="F40" s="169"/>
    </row>
    <row r="41" spans="1:6" ht="15">
      <c r="A41" s="173"/>
      <c r="B41" s="169"/>
      <c r="C41" s="169"/>
      <c r="D41" s="169"/>
      <c r="E41" s="169"/>
      <c r="F41" s="169"/>
    </row>
    <row r="42" spans="1:6" ht="15">
      <c r="A42" s="173" t="s">
        <v>394</v>
      </c>
      <c r="B42" s="169"/>
      <c r="C42" s="169"/>
      <c r="D42" s="169"/>
      <c r="E42" s="169"/>
      <c r="F42" s="169"/>
    </row>
    <row r="43" spans="1:6" ht="15">
      <c r="A43" s="173" t="s">
        <v>395</v>
      </c>
      <c r="B43" s="169"/>
      <c r="C43" s="169"/>
      <c r="D43" s="169"/>
      <c r="E43" s="169"/>
      <c r="F43" s="169"/>
    </row>
    <row r="44" spans="1:6" ht="15">
      <c r="A44" s="173" t="s">
        <v>396</v>
      </c>
      <c r="B44" s="169"/>
      <c r="C44" s="169"/>
      <c r="D44" s="169"/>
      <c r="E44" s="169"/>
      <c r="F44" s="169"/>
    </row>
    <row r="45" spans="1:6" ht="15">
      <c r="A45" s="173" t="s">
        <v>507</v>
      </c>
      <c r="B45" s="169"/>
      <c r="C45" s="169"/>
      <c r="D45" s="169"/>
      <c r="E45" s="169"/>
      <c r="F45" s="169"/>
    </row>
    <row r="46" spans="1:6" ht="15">
      <c r="A46" s="173" t="s">
        <v>398</v>
      </c>
      <c r="B46" s="169"/>
      <c r="C46" s="169"/>
      <c r="D46" s="169"/>
      <c r="E46" s="169"/>
      <c r="F46" s="169"/>
    </row>
    <row r="47" spans="1:6" ht="15">
      <c r="A47" s="173" t="s">
        <v>508</v>
      </c>
      <c r="B47" s="169"/>
      <c r="C47" s="169"/>
      <c r="D47" s="169"/>
      <c r="E47" s="169"/>
      <c r="F47" s="169"/>
    </row>
    <row r="48" spans="1:6" ht="15">
      <c r="A48" s="173" t="s">
        <v>509</v>
      </c>
      <c r="B48" s="169"/>
      <c r="C48" s="169"/>
      <c r="D48" s="169"/>
      <c r="E48" s="169"/>
      <c r="F48" s="169"/>
    </row>
    <row r="49" spans="1:6" ht="15">
      <c r="A49" s="173" t="s">
        <v>401</v>
      </c>
      <c r="B49" s="169"/>
      <c r="C49" s="169"/>
      <c r="D49" s="169"/>
      <c r="E49" s="169"/>
      <c r="F49" s="169"/>
    </row>
    <row r="50" spans="1:6" ht="15">
      <c r="A50" s="173"/>
      <c r="B50" s="169"/>
      <c r="C50" s="169"/>
      <c r="D50" s="169"/>
      <c r="E50" s="169"/>
      <c r="F50" s="169"/>
    </row>
    <row r="51" spans="1:6" ht="15">
      <c r="A51" s="173" t="s">
        <v>402</v>
      </c>
      <c r="B51" s="169"/>
      <c r="C51" s="169"/>
      <c r="D51" s="169"/>
      <c r="E51" s="169"/>
      <c r="F51" s="169"/>
    </row>
    <row r="52" spans="1:6" ht="15">
      <c r="A52" s="173" t="s">
        <v>403</v>
      </c>
      <c r="B52" s="169"/>
      <c r="C52" s="169"/>
      <c r="D52" s="169"/>
      <c r="E52" s="169"/>
      <c r="F52" s="169"/>
    </row>
    <row r="53" spans="1:6" ht="15">
      <c r="A53" s="173" t="s">
        <v>404</v>
      </c>
      <c r="B53" s="169"/>
      <c r="C53" s="169"/>
      <c r="D53" s="169"/>
      <c r="E53" s="169"/>
      <c r="F53" s="169"/>
    </row>
    <row r="54" spans="1:6" ht="15">
      <c r="A54" s="173"/>
      <c r="B54" s="169"/>
      <c r="C54" s="169"/>
      <c r="D54" s="169"/>
      <c r="E54" s="169"/>
      <c r="F54" s="169"/>
    </row>
    <row r="55" spans="1:6" ht="15">
      <c r="A55" s="173" t="s">
        <v>510</v>
      </c>
      <c r="B55" s="169"/>
      <c r="C55" s="169"/>
      <c r="D55" s="169"/>
      <c r="E55" s="169"/>
      <c r="F55" s="169"/>
    </row>
    <row r="56" spans="1:6" ht="15">
      <c r="A56" s="173" t="s">
        <v>511</v>
      </c>
      <c r="B56" s="169"/>
      <c r="C56" s="169"/>
      <c r="D56" s="169"/>
      <c r="E56" s="169"/>
      <c r="F56" s="169"/>
    </row>
    <row r="57" spans="1:6" ht="15">
      <c r="A57" s="173" t="s">
        <v>512</v>
      </c>
      <c r="B57" s="169"/>
      <c r="C57" s="169"/>
      <c r="D57" s="169"/>
      <c r="E57" s="169"/>
      <c r="F57" s="169"/>
    </row>
    <row r="58" spans="1:6" ht="15">
      <c r="A58" s="173" t="s">
        <v>513</v>
      </c>
      <c r="B58" s="169"/>
      <c r="C58" s="169"/>
      <c r="D58" s="169"/>
      <c r="E58" s="169"/>
      <c r="F58" s="169"/>
    </row>
    <row r="59" spans="1:6" ht="15">
      <c r="A59" s="173" t="s">
        <v>514</v>
      </c>
      <c r="B59" s="169"/>
      <c r="C59" s="169"/>
      <c r="D59" s="169"/>
      <c r="E59" s="169"/>
      <c r="F59" s="169"/>
    </row>
    <row r="60" spans="1:6" ht="15">
      <c r="A60" s="173"/>
      <c r="B60" s="169"/>
      <c r="C60" s="169"/>
      <c r="D60" s="169"/>
      <c r="E60" s="169"/>
      <c r="F60" s="169"/>
    </row>
    <row r="61" spans="1:6" ht="15">
      <c r="A61" s="174" t="s">
        <v>515</v>
      </c>
      <c r="B61" s="169"/>
      <c r="C61" s="169"/>
      <c r="D61" s="169"/>
      <c r="E61" s="169"/>
      <c r="F61" s="169"/>
    </row>
    <row r="62" spans="1:6" ht="15">
      <c r="A62" s="174" t="s">
        <v>516</v>
      </c>
      <c r="B62" s="169"/>
      <c r="C62" s="169"/>
      <c r="D62" s="169"/>
      <c r="E62" s="169"/>
      <c r="F62" s="169"/>
    </row>
    <row r="63" spans="1:6" ht="15">
      <c r="A63" s="174" t="s">
        <v>517</v>
      </c>
      <c r="B63" s="169"/>
      <c r="C63" s="169"/>
      <c r="D63" s="169"/>
      <c r="E63" s="169"/>
      <c r="F63" s="169"/>
    </row>
    <row r="64" ht="15">
      <c r="A64" s="174" t="s">
        <v>518</v>
      </c>
    </row>
    <row r="65" ht="15">
      <c r="A65" s="174" t="s">
        <v>519</v>
      </c>
    </row>
    <row r="66" ht="15">
      <c r="A66" s="174" t="s">
        <v>520</v>
      </c>
    </row>
    <row r="68" ht="15">
      <c r="A68" s="169" t="s">
        <v>521</v>
      </c>
    </row>
    <row r="69" ht="15">
      <c r="A69" s="169" t="s">
        <v>522</v>
      </c>
    </row>
    <row r="70" ht="15">
      <c r="A70" s="169" t="s">
        <v>523</v>
      </c>
    </row>
    <row r="71" ht="15">
      <c r="A71" s="169" t="s">
        <v>524</v>
      </c>
    </row>
    <row r="72" ht="15">
      <c r="A72" s="169" t="s">
        <v>525</v>
      </c>
    </row>
    <row r="73" ht="15">
      <c r="A73" s="169" t="s">
        <v>526</v>
      </c>
    </row>
    <row r="75" ht="15">
      <c r="A75" s="169" t="s">
        <v>431</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2" sqref="A2"/>
    </sheetView>
  </sheetViews>
  <sheetFormatPr defaultColWidth="8.796875" defaultRowHeight="15"/>
  <cols>
    <col min="1" max="1" width="71.296875" style="0" customWidth="1"/>
  </cols>
  <sheetData>
    <row r="3" spans="1:7" ht="15">
      <c r="A3" s="168" t="s">
        <v>527</v>
      </c>
      <c r="B3" s="168"/>
      <c r="C3" s="168"/>
      <c r="D3" s="168"/>
      <c r="E3" s="168"/>
      <c r="F3" s="168"/>
      <c r="G3" s="168"/>
    </row>
    <row r="4" spans="1:7" ht="15">
      <c r="A4" s="168"/>
      <c r="B4" s="168"/>
      <c r="C4" s="168"/>
      <c r="D4" s="168"/>
      <c r="E4" s="168"/>
      <c r="F4" s="168"/>
      <c r="G4" s="168"/>
    </row>
    <row r="5" ht="15">
      <c r="A5" s="169" t="s">
        <v>433</v>
      </c>
    </row>
    <row r="6" ht="15">
      <c r="A6" s="169" t="str">
        <f>CONCATENATE(inputPrYr!C4-1," estimated expenditures show that at the end of this year")</f>
        <v>2012 estimated expenditures show that at the end of this year</v>
      </c>
    </row>
    <row r="7" ht="15">
      <c r="A7" s="169" t="s">
        <v>528</v>
      </c>
    </row>
    <row r="8" ht="15">
      <c r="A8" s="169" t="s">
        <v>529</v>
      </c>
    </row>
    <row r="10" ht="15">
      <c r="A10" t="s">
        <v>435</v>
      </c>
    </row>
    <row r="11" ht="15">
      <c r="A11" t="s">
        <v>436</v>
      </c>
    </row>
    <row r="12" ht="15">
      <c r="A12" t="s">
        <v>437</v>
      </c>
    </row>
    <row r="13" spans="1:7" ht="15">
      <c r="A13" s="168"/>
      <c r="B13" s="168"/>
      <c r="C13" s="168"/>
      <c r="D13" s="168"/>
      <c r="E13" s="168"/>
      <c r="F13" s="168"/>
      <c r="G13" s="168"/>
    </row>
    <row r="14" ht="15">
      <c r="A14" s="170" t="s">
        <v>530</v>
      </c>
    </row>
    <row r="15" ht="15">
      <c r="A15" s="169"/>
    </row>
    <row r="16" ht="15">
      <c r="A16" s="169" t="s">
        <v>531</v>
      </c>
    </row>
    <row r="17" ht="15">
      <c r="A17" s="169" t="s">
        <v>532</v>
      </c>
    </row>
    <row r="18" ht="15">
      <c r="A18" s="169" t="s">
        <v>533</v>
      </c>
    </row>
    <row r="19" ht="15">
      <c r="A19" s="169"/>
    </row>
    <row r="20" ht="15">
      <c r="A20" s="169" t="s">
        <v>534</v>
      </c>
    </row>
    <row r="21" ht="15">
      <c r="A21" s="169" t="s">
        <v>535</v>
      </c>
    </row>
    <row r="22" ht="15">
      <c r="A22" s="169" t="s">
        <v>536</v>
      </c>
    </row>
    <row r="23" ht="15">
      <c r="A23" s="169" t="s">
        <v>537</v>
      </c>
    </row>
    <row r="24" ht="15">
      <c r="A24" s="169"/>
    </row>
    <row r="25" ht="15">
      <c r="A25" s="170" t="s">
        <v>499</v>
      </c>
    </row>
    <row r="26" ht="15">
      <c r="A26" s="170"/>
    </row>
    <row r="27" ht="15">
      <c r="A27" s="169" t="s">
        <v>500</v>
      </c>
    </row>
    <row r="28" spans="1:6" ht="15">
      <c r="A28" s="169" t="s">
        <v>501</v>
      </c>
      <c r="B28" s="169"/>
      <c r="C28" s="169"/>
      <c r="D28" s="169"/>
      <c r="E28" s="169"/>
      <c r="F28" s="169"/>
    </row>
    <row r="29" spans="1:6" ht="15">
      <c r="A29" s="169" t="s">
        <v>502</v>
      </c>
      <c r="B29" s="169"/>
      <c r="C29" s="169"/>
      <c r="D29" s="169"/>
      <c r="E29" s="169"/>
      <c r="F29" s="169"/>
    </row>
    <row r="30" spans="1:6" ht="15">
      <c r="A30" s="169" t="s">
        <v>503</v>
      </c>
      <c r="B30" s="169"/>
      <c r="C30" s="169"/>
      <c r="D30" s="169"/>
      <c r="E30" s="169"/>
      <c r="F30" s="169"/>
    </row>
    <row r="31" ht="15">
      <c r="A31" s="169"/>
    </row>
    <row r="32" spans="1:7" ht="15">
      <c r="A32" s="170" t="s">
        <v>504</v>
      </c>
      <c r="B32" s="170"/>
      <c r="C32" s="170"/>
      <c r="D32" s="170"/>
      <c r="E32" s="170"/>
      <c r="F32" s="170"/>
      <c r="G32" s="170"/>
    </row>
    <row r="33" spans="1:7" ht="15">
      <c r="A33" s="170" t="s">
        <v>505</v>
      </c>
      <c r="B33" s="170"/>
      <c r="C33" s="170"/>
      <c r="D33" s="170"/>
      <c r="E33" s="170"/>
      <c r="F33" s="170"/>
      <c r="G33" s="170"/>
    </row>
    <row r="34" spans="1:7" ht="15">
      <c r="A34" s="170"/>
      <c r="B34" s="170"/>
      <c r="C34" s="170"/>
      <c r="D34" s="170"/>
      <c r="E34" s="170"/>
      <c r="F34" s="170"/>
      <c r="G34" s="170"/>
    </row>
    <row r="35" spans="1:7" ht="15">
      <c r="A35" s="169" t="s">
        <v>538</v>
      </c>
      <c r="B35" s="169"/>
      <c r="C35" s="169"/>
      <c r="D35" s="169"/>
      <c r="E35" s="169"/>
      <c r="F35" s="169"/>
      <c r="G35" s="169"/>
    </row>
    <row r="36" spans="1:7" ht="15">
      <c r="A36" s="169" t="s">
        <v>539</v>
      </c>
      <c r="B36" s="169"/>
      <c r="C36" s="169"/>
      <c r="D36" s="169"/>
      <c r="E36" s="169"/>
      <c r="F36" s="169"/>
      <c r="G36" s="169"/>
    </row>
    <row r="37" spans="1:7" ht="15">
      <c r="A37" s="169" t="s">
        <v>540</v>
      </c>
      <c r="B37" s="169"/>
      <c r="C37" s="169"/>
      <c r="D37" s="169"/>
      <c r="E37" s="169"/>
      <c r="F37" s="169"/>
      <c r="G37" s="169"/>
    </row>
    <row r="38" spans="1:7" ht="15">
      <c r="A38" s="169" t="s">
        <v>541</v>
      </c>
      <c r="B38" s="169"/>
      <c r="C38" s="169"/>
      <c r="D38" s="169"/>
      <c r="E38" s="169"/>
      <c r="F38" s="169"/>
      <c r="G38" s="169"/>
    </row>
    <row r="39" spans="1:7" ht="15">
      <c r="A39" s="169" t="s">
        <v>542</v>
      </c>
      <c r="B39" s="169"/>
      <c r="C39" s="169"/>
      <c r="D39" s="169"/>
      <c r="E39" s="169"/>
      <c r="F39" s="169"/>
      <c r="G39" s="169"/>
    </row>
    <row r="40" spans="1:7" ht="15">
      <c r="A40" s="170"/>
      <c r="B40" s="170"/>
      <c r="C40" s="170"/>
      <c r="D40" s="170"/>
      <c r="E40" s="170"/>
      <c r="F40" s="170"/>
      <c r="G40" s="170"/>
    </row>
    <row r="41" spans="1:6" ht="15">
      <c r="A41" s="173" t="str">
        <f>CONCATENATE("So, let's look to see if any of your ",inputPrYr!C4-1," expenditures can")</f>
        <v>So, let's look to see if any of your 2012 expenditures can</v>
      </c>
      <c r="B41" s="169"/>
      <c r="C41" s="169"/>
      <c r="D41" s="169"/>
      <c r="E41" s="169"/>
      <c r="F41" s="169"/>
    </row>
    <row r="42" spans="1:6" ht="15">
      <c r="A42" s="173" t="s">
        <v>506</v>
      </c>
      <c r="B42" s="169"/>
      <c r="C42" s="169"/>
      <c r="D42" s="169"/>
      <c r="E42" s="169"/>
      <c r="F42" s="169"/>
    </row>
    <row r="43" spans="1:6" ht="15">
      <c r="A43" s="173" t="s">
        <v>390</v>
      </c>
      <c r="B43" s="169"/>
      <c r="C43" s="169"/>
      <c r="D43" s="169"/>
      <c r="E43" s="169"/>
      <c r="F43" s="169"/>
    </row>
    <row r="44" spans="1:6" ht="15">
      <c r="A44" s="173" t="s">
        <v>391</v>
      </c>
      <c r="B44" s="169"/>
      <c r="C44" s="169"/>
      <c r="D44" s="169"/>
      <c r="E44" s="169"/>
      <c r="F44" s="169"/>
    </row>
    <row r="45" ht="15">
      <c r="A45" s="169"/>
    </row>
    <row r="46" spans="1:6" ht="15">
      <c r="A46" s="173" t="str">
        <f>CONCATENATE("Additionally, do your ",inputPrYr!C4-1," receipts contain a reimbursement")</f>
        <v>Additionally, do your 2012 receipts contain a reimbursement</v>
      </c>
      <c r="B46" s="169"/>
      <c r="C46" s="169"/>
      <c r="D46" s="169"/>
      <c r="E46" s="169"/>
      <c r="F46" s="169"/>
    </row>
    <row r="47" spans="1:6" ht="15">
      <c r="A47" s="173" t="s">
        <v>392</v>
      </c>
      <c r="B47" s="169"/>
      <c r="C47" s="169"/>
      <c r="D47" s="169"/>
      <c r="E47" s="169"/>
      <c r="F47" s="169"/>
    </row>
    <row r="48" spans="1:6" ht="15">
      <c r="A48" s="173" t="s">
        <v>393</v>
      </c>
      <c r="B48" s="169"/>
      <c r="C48" s="169"/>
      <c r="D48" s="169"/>
      <c r="E48" s="169"/>
      <c r="F48" s="169"/>
    </row>
    <row r="49" spans="1:7" ht="15">
      <c r="A49" s="169"/>
      <c r="B49" s="169"/>
      <c r="C49" s="169"/>
      <c r="D49" s="169"/>
      <c r="E49" s="169"/>
      <c r="F49" s="169"/>
      <c r="G49" s="169"/>
    </row>
    <row r="50" spans="1:7" ht="15">
      <c r="A50" s="169" t="s">
        <v>460</v>
      </c>
      <c r="B50" s="169"/>
      <c r="C50" s="169"/>
      <c r="D50" s="169"/>
      <c r="E50" s="169"/>
      <c r="F50" s="169"/>
      <c r="G50" s="169"/>
    </row>
    <row r="51" spans="1:7" ht="15">
      <c r="A51" s="169" t="s">
        <v>461</v>
      </c>
      <c r="B51" s="169"/>
      <c r="C51" s="169"/>
      <c r="D51" s="169"/>
      <c r="E51" s="169"/>
      <c r="F51" s="169"/>
      <c r="G51" s="169"/>
    </row>
    <row r="52" spans="1:7" ht="15">
      <c r="A52" s="169" t="s">
        <v>462</v>
      </c>
      <c r="B52" s="169"/>
      <c r="C52" s="169"/>
      <c r="D52" s="169"/>
      <c r="E52" s="169"/>
      <c r="F52" s="169"/>
      <c r="G52" s="169"/>
    </row>
    <row r="53" spans="1:7" ht="15">
      <c r="A53" s="169" t="s">
        <v>463</v>
      </c>
      <c r="B53" s="169"/>
      <c r="C53" s="169"/>
      <c r="D53" s="169"/>
      <c r="E53" s="169"/>
      <c r="F53" s="169"/>
      <c r="G53" s="169"/>
    </row>
    <row r="54" spans="1:7" ht="15">
      <c r="A54" s="169" t="s">
        <v>464</v>
      </c>
      <c r="B54" s="169"/>
      <c r="C54" s="169"/>
      <c r="D54" s="169"/>
      <c r="E54" s="169"/>
      <c r="F54" s="169"/>
      <c r="G54" s="169"/>
    </row>
    <row r="55" spans="1:7" ht="15">
      <c r="A55" s="169"/>
      <c r="B55" s="169"/>
      <c r="C55" s="169"/>
      <c r="D55" s="169"/>
      <c r="E55" s="169"/>
      <c r="F55" s="169"/>
      <c r="G55" s="169"/>
    </row>
    <row r="56" spans="1:6" ht="15">
      <c r="A56" s="173" t="s">
        <v>402</v>
      </c>
      <c r="B56" s="169"/>
      <c r="C56" s="169"/>
      <c r="D56" s="169"/>
      <c r="E56" s="169"/>
      <c r="F56" s="169"/>
    </row>
    <row r="57" spans="1:6" ht="15">
      <c r="A57" s="173" t="s">
        <v>403</v>
      </c>
      <c r="B57" s="169"/>
      <c r="C57" s="169"/>
      <c r="D57" s="169"/>
      <c r="E57" s="169"/>
      <c r="F57" s="169"/>
    </row>
    <row r="58" spans="1:6" ht="15">
      <c r="A58" s="173" t="s">
        <v>404</v>
      </c>
      <c r="B58" s="169"/>
      <c r="C58" s="169"/>
      <c r="D58" s="169"/>
      <c r="E58" s="169"/>
      <c r="F58" s="169"/>
    </row>
    <row r="59" spans="1:6" ht="15">
      <c r="A59" s="173"/>
      <c r="B59" s="169"/>
      <c r="C59" s="169"/>
      <c r="D59" s="169"/>
      <c r="E59" s="169"/>
      <c r="F59" s="169"/>
    </row>
    <row r="60" spans="1:7" ht="15">
      <c r="A60" s="169" t="s">
        <v>543</v>
      </c>
      <c r="B60" s="169"/>
      <c r="C60" s="169"/>
      <c r="D60" s="169"/>
      <c r="E60" s="169"/>
      <c r="F60" s="169"/>
      <c r="G60" s="169"/>
    </row>
    <row r="61" spans="1:7" ht="15">
      <c r="A61" s="169" t="s">
        <v>544</v>
      </c>
      <c r="B61" s="169"/>
      <c r="C61" s="169"/>
      <c r="D61" s="169"/>
      <c r="E61" s="169"/>
      <c r="F61" s="169"/>
      <c r="G61" s="169"/>
    </row>
    <row r="62" spans="1:7" ht="15">
      <c r="A62" s="169" t="s">
        <v>545</v>
      </c>
      <c r="B62" s="169"/>
      <c r="C62" s="169"/>
      <c r="D62" s="169"/>
      <c r="E62" s="169"/>
      <c r="F62" s="169"/>
      <c r="G62" s="169"/>
    </row>
    <row r="63" spans="1:7" ht="15">
      <c r="A63" s="169" t="s">
        <v>546</v>
      </c>
      <c r="B63" s="169"/>
      <c r="C63" s="169"/>
      <c r="D63" s="169"/>
      <c r="E63" s="169"/>
      <c r="F63" s="169"/>
      <c r="G63" s="169"/>
    </row>
    <row r="64" spans="1:7" ht="15">
      <c r="A64" s="169" t="s">
        <v>547</v>
      </c>
      <c r="B64" s="169"/>
      <c r="C64" s="169"/>
      <c r="D64" s="169"/>
      <c r="E64" s="169"/>
      <c r="F64" s="169"/>
      <c r="G64" s="169"/>
    </row>
    <row r="66" spans="1:6" ht="15">
      <c r="A66" s="173" t="s">
        <v>510</v>
      </c>
      <c r="B66" s="169"/>
      <c r="C66" s="169"/>
      <c r="D66" s="169"/>
      <c r="E66" s="169"/>
      <c r="F66" s="169"/>
    </row>
    <row r="67" spans="1:6" ht="15">
      <c r="A67" s="173" t="s">
        <v>511</v>
      </c>
      <c r="B67" s="169"/>
      <c r="C67" s="169"/>
      <c r="D67" s="169"/>
      <c r="E67" s="169"/>
      <c r="F67" s="169"/>
    </row>
    <row r="68" spans="1:6" ht="15">
      <c r="A68" s="173" t="s">
        <v>512</v>
      </c>
      <c r="B68" s="169"/>
      <c r="C68" s="169"/>
      <c r="D68" s="169"/>
      <c r="E68" s="169"/>
      <c r="F68" s="169"/>
    </row>
    <row r="69" spans="1:6" ht="15">
      <c r="A69" s="173" t="s">
        <v>513</v>
      </c>
      <c r="B69" s="169"/>
      <c r="C69" s="169"/>
      <c r="D69" s="169"/>
      <c r="E69" s="169"/>
      <c r="F69" s="169"/>
    </row>
    <row r="70" spans="1:6" ht="15">
      <c r="A70" s="173" t="s">
        <v>514</v>
      </c>
      <c r="B70" s="169"/>
      <c r="C70" s="169"/>
      <c r="D70" s="169"/>
      <c r="E70" s="169"/>
      <c r="F70" s="169"/>
    </row>
    <row r="71" ht="15">
      <c r="A71" s="169"/>
    </row>
    <row r="72" ht="15">
      <c r="A72" s="169" t="s">
        <v>431</v>
      </c>
    </row>
    <row r="73" ht="15">
      <c r="A73" s="169"/>
    </row>
    <row r="74" ht="15">
      <c r="A74" s="169"/>
    </row>
    <row r="75" ht="15">
      <c r="A75" s="169"/>
    </row>
    <row r="78" ht="15">
      <c r="A78" s="170"/>
    </row>
    <row r="80" ht="15">
      <c r="A80" s="169"/>
    </row>
    <row r="81" ht="15">
      <c r="A81" s="169"/>
    </row>
    <row r="82" ht="15">
      <c r="A82" s="169"/>
    </row>
    <row r="83" ht="15">
      <c r="A83" s="169"/>
    </row>
    <row r="84" ht="15">
      <c r="A84" s="169"/>
    </row>
    <row r="85" ht="15">
      <c r="A85" s="169"/>
    </row>
    <row r="86" ht="15">
      <c r="A86" s="169"/>
    </row>
    <row r="87" ht="15">
      <c r="A87" s="169"/>
    </row>
    <row r="88" ht="15">
      <c r="A88" s="169"/>
    </row>
    <row r="89" ht="15">
      <c r="A89" s="169"/>
    </row>
    <row r="90" ht="15">
      <c r="A90" s="169"/>
    </row>
    <row r="92" ht="15">
      <c r="A92" s="169"/>
    </row>
    <row r="93" ht="15">
      <c r="A93" s="169"/>
    </row>
    <row r="94" ht="15">
      <c r="A94" s="169"/>
    </row>
    <row r="95" ht="15">
      <c r="A95" s="169"/>
    </row>
    <row r="96" ht="15">
      <c r="A96" s="169"/>
    </row>
    <row r="97" ht="15">
      <c r="A97" s="169"/>
    </row>
    <row r="98" ht="15">
      <c r="A98" s="169"/>
    </row>
    <row r="99" ht="15">
      <c r="A99" s="169"/>
    </row>
    <row r="100" ht="15">
      <c r="A100" s="169"/>
    </row>
    <row r="101" ht="15">
      <c r="A101" s="169"/>
    </row>
    <row r="102" ht="15">
      <c r="A102" s="169"/>
    </row>
    <row r="103" ht="15">
      <c r="A103" s="169"/>
    </row>
    <row r="104" ht="15">
      <c r="A104" s="169"/>
    </row>
    <row r="105" ht="15">
      <c r="A105" s="169"/>
    </row>
    <row r="106" ht="15">
      <c r="A106" s="169"/>
    </row>
  </sheetData>
  <sheetProtection sheet="1"/>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2" sqref="A2"/>
    </sheetView>
  </sheetViews>
  <sheetFormatPr defaultColWidth="8.796875" defaultRowHeight="15"/>
  <cols>
    <col min="1" max="1" width="71.296875" style="0" customWidth="1"/>
  </cols>
  <sheetData>
    <row r="3" spans="1:7" ht="15">
      <c r="A3" s="168" t="s">
        <v>548</v>
      </c>
      <c r="B3" s="168"/>
      <c r="C3" s="168"/>
      <c r="D3" s="168"/>
      <c r="E3" s="168"/>
      <c r="F3" s="168"/>
      <c r="G3" s="168"/>
    </row>
    <row r="4" spans="1:7" ht="15">
      <c r="A4" s="168" t="s">
        <v>549</v>
      </c>
      <c r="B4" s="168"/>
      <c r="C4" s="168"/>
      <c r="D4" s="168"/>
      <c r="E4" s="168"/>
      <c r="F4" s="168"/>
      <c r="G4" s="168"/>
    </row>
    <row r="5" spans="1:7" ht="15">
      <c r="A5" s="168"/>
      <c r="B5" s="168"/>
      <c r="C5" s="168"/>
      <c r="D5" s="168"/>
      <c r="E5" s="168"/>
      <c r="F5" s="168"/>
      <c r="G5" s="168"/>
    </row>
    <row r="6" spans="1:7" ht="15">
      <c r="A6" s="168"/>
      <c r="B6" s="168"/>
      <c r="C6" s="168"/>
      <c r="D6" s="168"/>
      <c r="E6" s="168"/>
      <c r="F6" s="168"/>
      <c r="G6" s="168"/>
    </row>
    <row r="7" ht="15">
      <c r="A7" s="169" t="s">
        <v>376</v>
      </c>
    </row>
    <row r="8" ht="15">
      <c r="A8" s="169" t="str">
        <f>CONCATENATE("estimated ",inputPrYr!C4," 'total expenditures' exceed your ",inputPrYr!C4,"")</f>
        <v>estimated 2013 'total expenditures' exceed your 2013</v>
      </c>
    </row>
    <row r="9" ht="15">
      <c r="A9" s="172" t="s">
        <v>550</v>
      </c>
    </row>
    <row r="10" ht="15">
      <c r="A10" s="169"/>
    </row>
    <row r="11" ht="15">
      <c r="A11" s="169" t="s">
        <v>551</v>
      </c>
    </row>
    <row r="12" ht="15">
      <c r="A12" s="169" t="s">
        <v>552</v>
      </c>
    </row>
    <row r="13" ht="15">
      <c r="A13" s="169" t="s">
        <v>553</v>
      </c>
    </row>
    <row r="14" ht="15">
      <c r="A14" s="169"/>
    </row>
    <row r="15" ht="15">
      <c r="A15" s="170" t="s">
        <v>554</v>
      </c>
    </row>
    <row r="16" spans="1:7" ht="15">
      <c r="A16" s="168"/>
      <c r="B16" s="168"/>
      <c r="C16" s="168"/>
      <c r="D16" s="168"/>
      <c r="E16" s="168"/>
      <c r="F16" s="168"/>
      <c r="G16" s="168"/>
    </row>
    <row r="17" spans="1:8" ht="15">
      <c r="A17" s="175" t="s">
        <v>555</v>
      </c>
      <c r="B17" s="155"/>
      <c r="C17" s="155"/>
      <c r="D17" s="155"/>
      <c r="E17" s="155"/>
      <c r="F17" s="155"/>
      <c r="G17" s="155"/>
      <c r="H17" s="155"/>
    </row>
    <row r="18" spans="1:7" ht="15">
      <c r="A18" s="169" t="s">
        <v>556</v>
      </c>
      <c r="B18" s="176"/>
      <c r="C18" s="176"/>
      <c r="D18" s="176"/>
      <c r="E18" s="176"/>
      <c r="F18" s="176"/>
      <c r="G18" s="176"/>
    </row>
    <row r="19" ht="15">
      <c r="A19" s="169" t="s">
        <v>557</v>
      </c>
    </row>
    <row r="20" ht="15">
      <c r="A20" s="169" t="s">
        <v>558</v>
      </c>
    </row>
    <row r="22" ht="15">
      <c r="A22" s="170" t="s">
        <v>559</v>
      </c>
    </row>
    <row r="24" ht="15">
      <c r="A24" s="169" t="s">
        <v>560</v>
      </c>
    </row>
    <row r="25" ht="15">
      <c r="A25" s="169" t="s">
        <v>561</v>
      </c>
    </row>
    <row r="26" ht="15">
      <c r="A26" s="169" t="s">
        <v>562</v>
      </c>
    </row>
    <row r="28" ht="15">
      <c r="A28" s="170" t="s">
        <v>563</v>
      </c>
    </row>
    <row r="30" ht="15">
      <c r="A30" t="s">
        <v>564</v>
      </c>
    </row>
    <row r="31" ht="15">
      <c r="A31" t="s">
        <v>565</v>
      </c>
    </row>
    <row r="32" ht="15">
      <c r="A32" t="s">
        <v>566</v>
      </c>
    </row>
    <row r="33" ht="15">
      <c r="A33" s="169" t="s">
        <v>567</v>
      </c>
    </row>
    <row r="35" ht="15">
      <c r="A35" t="s">
        <v>568</v>
      </c>
    </row>
    <row r="36" ht="15">
      <c r="A36" t="s">
        <v>569</v>
      </c>
    </row>
    <row r="37" ht="15">
      <c r="A37" t="s">
        <v>570</v>
      </c>
    </row>
    <row r="38" ht="15">
      <c r="A38" t="s">
        <v>571</v>
      </c>
    </row>
    <row r="40" ht="15">
      <c r="A40" t="s">
        <v>572</v>
      </c>
    </row>
    <row r="41" ht="15">
      <c r="A41" t="s">
        <v>573</v>
      </c>
    </row>
    <row r="42" ht="15">
      <c r="A42" t="s">
        <v>574</v>
      </c>
    </row>
    <row r="43" ht="15">
      <c r="A43" t="s">
        <v>575</v>
      </c>
    </row>
    <row r="44" ht="15">
      <c r="A44" t="s">
        <v>576</v>
      </c>
    </row>
    <row r="45" ht="15">
      <c r="A45" t="s">
        <v>577</v>
      </c>
    </row>
    <row r="47" ht="15">
      <c r="A47" t="s">
        <v>578</v>
      </c>
    </row>
    <row r="48" ht="15">
      <c r="A48" t="s">
        <v>579</v>
      </c>
    </row>
    <row r="49" ht="15">
      <c r="A49" s="169" t="s">
        <v>580</v>
      </c>
    </row>
    <row r="50" ht="15">
      <c r="A50" s="169" t="s">
        <v>581</v>
      </c>
    </row>
    <row r="52" ht="15">
      <c r="A52" t="s">
        <v>431</v>
      </c>
    </row>
  </sheetData>
  <sheetProtection sheet="1"/>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193" customWidth="1"/>
    <col min="2" max="2" width="11.19921875" style="219" customWidth="1"/>
    <col min="3" max="3" width="7.3984375" style="219" customWidth="1"/>
    <col min="4" max="4" width="8.8984375" style="219" customWidth="1"/>
    <col min="5" max="5" width="1.59765625" style="219" customWidth="1"/>
    <col min="6" max="6" width="14.296875" style="219" customWidth="1"/>
    <col min="7" max="7" width="2.59765625" style="219" customWidth="1"/>
    <col min="8" max="8" width="9.796875" style="219" customWidth="1"/>
    <col min="9" max="9" width="2" style="219" customWidth="1"/>
    <col min="10" max="10" width="8.59765625" style="219" customWidth="1"/>
    <col min="11" max="11" width="11.69921875" style="219" customWidth="1"/>
    <col min="12" max="12" width="7.59765625" style="193" customWidth="1"/>
    <col min="13" max="14" width="8.8984375" style="193" customWidth="1"/>
    <col min="15" max="15" width="9.8984375" style="193" bestFit="1" customWidth="1"/>
    <col min="16" max="16384" width="8.8984375" style="193" customWidth="1"/>
  </cols>
  <sheetData>
    <row r="1" spans="1:12" ht="14.25">
      <c r="A1" s="218"/>
      <c r="B1" s="218"/>
      <c r="C1" s="218"/>
      <c r="D1" s="218"/>
      <c r="E1" s="218"/>
      <c r="F1" s="218"/>
      <c r="G1" s="218"/>
      <c r="H1" s="218"/>
      <c r="I1" s="218"/>
      <c r="J1" s="218"/>
      <c r="K1" s="218"/>
      <c r="L1" s="218"/>
    </row>
    <row r="2" spans="1:12" ht="14.25">
      <c r="A2" s="218"/>
      <c r="B2" s="218"/>
      <c r="C2" s="218"/>
      <c r="D2" s="218"/>
      <c r="E2" s="218"/>
      <c r="F2" s="218"/>
      <c r="G2" s="218"/>
      <c r="H2" s="218"/>
      <c r="I2" s="218"/>
      <c r="J2" s="218"/>
      <c r="K2" s="218"/>
      <c r="L2" s="218"/>
    </row>
    <row r="3" spans="1:12" ht="14.25">
      <c r="A3" s="218"/>
      <c r="B3" s="218"/>
      <c r="C3" s="218"/>
      <c r="D3" s="218"/>
      <c r="E3" s="218"/>
      <c r="F3" s="218"/>
      <c r="G3" s="218"/>
      <c r="H3" s="218"/>
      <c r="I3" s="218"/>
      <c r="J3" s="218"/>
      <c r="K3" s="218"/>
      <c r="L3" s="218"/>
    </row>
    <row r="4" spans="1:12" ht="14.25">
      <c r="A4" s="218"/>
      <c r="L4" s="218"/>
    </row>
    <row r="5" spans="1:12" ht="15" customHeight="1">
      <c r="A5" s="218"/>
      <c r="L5" s="218"/>
    </row>
    <row r="6" spans="1:12" ht="33" customHeight="1">
      <c r="A6" s="218"/>
      <c r="B6" s="951" t="s">
        <v>679</v>
      </c>
      <c r="C6" s="956"/>
      <c r="D6" s="956"/>
      <c r="E6" s="956"/>
      <c r="F6" s="956"/>
      <c r="G6" s="956"/>
      <c r="H6" s="956"/>
      <c r="I6" s="956"/>
      <c r="J6" s="956"/>
      <c r="K6" s="956"/>
      <c r="L6" s="220"/>
    </row>
    <row r="7" spans="1:12" ht="40.5" customHeight="1">
      <c r="A7" s="218"/>
      <c r="B7" s="965" t="s">
        <v>680</v>
      </c>
      <c r="C7" s="966"/>
      <c r="D7" s="966"/>
      <c r="E7" s="966"/>
      <c r="F7" s="966"/>
      <c r="G7" s="966"/>
      <c r="H7" s="966"/>
      <c r="I7" s="966"/>
      <c r="J7" s="966"/>
      <c r="K7" s="966"/>
      <c r="L7" s="218"/>
    </row>
    <row r="8" spans="1:12" ht="14.25">
      <c r="A8" s="218"/>
      <c r="B8" s="957" t="s">
        <v>681</v>
      </c>
      <c r="C8" s="957"/>
      <c r="D8" s="957"/>
      <c r="E8" s="957"/>
      <c r="F8" s="957"/>
      <c r="G8" s="957"/>
      <c r="H8" s="957"/>
      <c r="I8" s="957"/>
      <c r="J8" s="957"/>
      <c r="K8" s="957"/>
      <c r="L8" s="218"/>
    </row>
    <row r="9" spans="1:12" ht="14.25">
      <c r="A9" s="218"/>
      <c r="L9" s="218"/>
    </row>
    <row r="10" spans="1:12" ht="14.25">
      <c r="A10" s="218"/>
      <c r="B10" s="957" t="s">
        <v>682</v>
      </c>
      <c r="C10" s="957"/>
      <c r="D10" s="957"/>
      <c r="E10" s="957"/>
      <c r="F10" s="957"/>
      <c r="G10" s="957"/>
      <c r="H10" s="957"/>
      <c r="I10" s="957"/>
      <c r="J10" s="957"/>
      <c r="K10" s="957"/>
      <c r="L10" s="218"/>
    </row>
    <row r="11" spans="1:12" ht="14.25">
      <c r="A11" s="218"/>
      <c r="B11" s="274"/>
      <c r="C11" s="274"/>
      <c r="D11" s="274"/>
      <c r="E11" s="274"/>
      <c r="F11" s="274"/>
      <c r="G11" s="274"/>
      <c r="H11" s="274"/>
      <c r="I11" s="274"/>
      <c r="J11" s="274"/>
      <c r="K11" s="274"/>
      <c r="L11" s="218"/>
    </row>
    <row r="12" spans="1:12" ht="32.25" customHeight="1">
      <c r="A12" s="218"/>
      <c r="B12" s="952" t="s">
        <v>683</v>
      </c>
      <c r="C12" s="952"/>
      <c r="D12" s="952"/>
      <c r="E12" s="952"/>
      <c r="F12" s="952"/>
      <c r="G12" s="952"/>
      <c r="H12" s="952"/>
      <c r="I12" s="952"/>
      <c r="J12" s="952"/>
      <c r="K12" s="952"/>
      <c r="L12" s="218"/>
    </row>
    <row r="13" spans="1:12" ht="14.25">
      <c r="A13" s="218"/>
      <c r="L13" s="218"/>
    </row>
    <row r="14" spans="1:12" ht="14.25">
      <c r="A14" s="218"/>
      <c r="B14" s="201" t="s">
        <v>684</v>
      </c>
      <c r="L14" s="218"/>
    </row>
    <row r="15" spans="1:12" ht="14.25">
      <c r="A15" s="218"/>
      <c r="L15" s="218"/>
    </row>
    <row r="16" spans="1:12" ht="14.25">
      <c r="A16" s="218"/>
      <c r="B16" s="219" t="s">
        <v>685</v>
      </c>
      <c r="L16" s="218"/>
    </row>
    <row r="17" spans="1:12" ht="14.25">
      <c r="A17" s="218"/>
      <c r="B17" s="219" t="s">
        <v>686</v>
      </c>
      <c r="L17" s="218"/>
    </row>
    <row r="18" spans="1:12" ht="14.25">
      <c r="A18" s="218"/>
      <c r="L18" s="218"/>
    </row>
    <row r="19" spans="1:12" ht="14.25">
      <c r="A19" s="218"/>
      <c r="B19" s="201" t="s">
        <v>757</v>
      </c>
      <c r="L19" s="218"/>
    </row>
    <row r="20" spans="1:12" ht="14.25">
      <c r="A20" s="218"/>
      <c r="B20" s="201"/>
      <c r="L20" s="218"/>
    </row>
    <row r="21" spans="1:12" ht="14.25">
      <c r="A21" s="218"/>
      <c r="B21" s="219" t="s">
        <v>758</v>
      </c>
      <c r="L21" s="218"/>
    </row>
    <row r="22" spans="1:12" ht="14.25">
      <c r="A22" s="218"/>
      <c r="L22" s="218"/>
    </row>
    <row r="23" spans="1:12" ht="14.25">
      <c r="A23" s="218"/>
      <c r="B23" s="219" t="s">
        <v>687</v>
      </c>
      <c r="E23" s="219" t="s">
        <v>688</v>
      </c>
      <c r="F23" s="953">
        <v>312000000</v>
      </c>
      <c r="G23" s="953"/>
      <c r="L23" s="218"/>
    </row>
    <row r="24" spans="1:12" ht="14.25">
      <c r="A24" s="218"/>
      <c r="L24" s="218"/>
    </row>
    <row r="25" spans="1:12" ht="14.25">
      <c r="A25" s="218"/>
      <c r="C25" s="967">
        <f>F23</f>
        <v>312000000</v>
      </c>
      <c r="D25" s="967"/>
      <c r="E25" s="219" t="s">
        <v>689</v>
      </c>
      <c r="F25" s="221">
        <v>1000</v>
      </c>
      <c r="G25" s="221" t="s">
        <v>688</v>
      </c>
      <c r="H25" s="275">
        <f>F23/F25</f>
        <v>312000</v>
      </c>
      <c r="L25" s="218"/>
    </row>
    <row r="26" spans="1:12" ht="15" thickBot="1">
      <c r="A26" s="218"/>
      <c r="L26" s="218"/>
    </row>
    <row r="27" spans="1:12" ht="14.25">
      <c r="A27" s="218"/>
      <c r="B27" s="202" t="s">
        <v>684</v>
      </c>
      <c r="C27" s="222"/>
      <c r="D27" s="222"/>
      <c r="E27" s="222"/>
      <c r="F27" s="222"/>
      <c r="G27" s="222"/>
      <c r="H27" s="222"/>
      <c r="I27" s="222"/>
      <c r="J27" s="222"/>
      <c r="K27" s="223"/>
      <c r="L27" s="218"/>
    </row>
    <row r="28" spans="1:12" ht="14.25">
      <c r="A28" s="218"/>
      <c r="B28" s="224">
        <f>F23</f>
        <v>312000000</v>
      </c>
      <c r="C28" s="225" t="s">
        <v>690</v>
      </c>
      <c r="D28" s="225"/>
      <c r="E28" s="225" t="s">
        <v>689</v>
      </c>
      <c r="F28" s="278">
        <v>1000</v>
      </c>
      <c r="G28" s="278" t="s">
        <v>688</v>
      </c>
      <c r="H28" s="226">
        <f>B28/F28</f>
        <v>312000</v>
      </c>
      <c r="I28" s="225" t="s">
        <v>691</v>
      </c>
      <c r="J28" s="225"/>
      <c r="K28" s="227"/>
      <c r="L28" s="218"/>
    </row>
    <row r="29" spans="1:12" ht="15" thickBot="1">
      <c r="A29" s="218"/>
      <c r="B29" s="228"/>
      <c r="C29" s="229"/>
      <c r="D29" s="229"/>
      <c r="E29" s="229"/>
      <c r="F29" s="229"/>
      <c r="G29" s="229"/>
      <c r="H29" s="229"/>
      <c r="I29" s="229"/>
      <c r="J29" s="229"/>
      <c r="K29" s="230"/>
      <c r="L29" s="218"/>
    </row>
    <row r="30" spans="1:12" ht="40.5" customHeight="1">
      <c r="A30" s="218"/>
      <c r="B30" s="954" t="s">
        <v>680</v>
      </c>
      <c r="C30" s="954"/>
      <c r="D30" s="954"/>
      <c r="E30" s="954"/>
      <c r="F30" s="954"/>
      <c r="G30" s="954"/>
      <c r="H30" s="954"/>
      <c r="I30" s="954"/>
      <c r="J30" s="954"/>
      <c r="K30" s="954"/>
      <c r="L30" s="218"/>
    </row>
    <row r="31" spans="1:12" ht="14.25">
      <c r="A31" s="218"/>
      <c r="B31" s="957" t="s">
        <v>692</v>
      </c>
      <c r="C31" s="957"/>
      <c r="D31" s="957"/>
      <c r="E31" s="957"/>
      <c r="F31" s="957"/>
      <c r="G31" s="957"/>
      <c r="H31" s="957"/>
      <c r="I31" s="957"/>
      <c r="J31" s="957"/>
      <c r="K31" s="957"/>
      <c r="L31" s="218"/>
    </row>
    <row r="32" spans="1:12" ht="14.25">
      <c r="A32" s="218"/>
      <c r="L32" s="218"/>
    </row>
    <row r="33" spans="1:12" ht="14.25">
      <c r="A33" s="218"/>
      <c r="B33" s="957" t="s">
        <v>693</v>
      </c>
      <c r="C33" s="957"/>
      <c r="D33" s="957"/>
      <c r="E33" s="957"/>
      <c r="F33" s="957"/>
      <c r="G33" s="957"/>
      <c r="H33" s="957"/>
      <c r="I33" s="957"/>
      <c r="J33" s="957"/>
      <c r="K33" s="957"/>
      <c r="L33" s="218"/>
    </row>
    <row r="34" spans="1:12" ht="14.25">
      <c r="A34" s="218"/>
      <c r="L34" s="218"/>
    </row>
    <row r="35" spans="1:12" ht="89.25" customHeight="1">
      <c r="A35" s="218"/>
      <c r="B35" s="952" t="s">
        <v>694</v>
      </c>
      <c r="C35" s="958"/>
      <c r="D35" s="958"/>
      <c r="E35" s="958"/>
      <c r="F35" s="958"/>
      <c r="G35" s="958"/>
      <c r="H35" s="958"/>
      <c r="I35" s="958"/>
      <c r="J35" s="958"/>
      <c r="K35" s="958"/>
      <c r="L35" s="218"/>
    </row>
    <row r="36" spans="1:12" ht="14.25">
      <c r="A36" s="218"/>
      <c r="L36" s="218"/>
    </row>
    <row r="37" spans="1:12" ht="14.25">
      <c r="A37" s="218"/>
      <c r="B37" s="201" t="s">
        <v>695</v>
      </c>
      <c r="L37" s="218"/>
    </row>
    <row r="38" spans="1:12" ht="14.25">
      <c r="A38" s="218"/>
      <c r="L38" s="218"/>
    </row>
    <row r="39" spans="1:12" ht="14.25">
      <c r="A39" s="218"/>
      <c r="B39" s="219" t="s">
        <v>696</v>
      </c>
      <c r="L39" s="218"/>
    </row>
    <row r="40" spans="1:12" ht="14.25">
      <c r="A40" s="218"/>
      <c r="L40" s="218"/>
    </row>
    <row r="41" spans="1:12" ht="14.25">
      <c r="A41" s="218"/>
      <c r="C41" s="959">
        <v>312000000</v>
      </c>
      <c r="D41" s="959"/>
      <c r="E41" s="219" t="s">
        <v>689</v>
      </c>
      <c r="F41" s="221">
        <v>1000</v>
      </c>
      <c r="G41" s="221" t="s">
        <v>688</v>
      </c>
      <c r="H41" s="231">
        <f>C41/F41</f>
        <v>312000</v>
      </c>
      <c r="L41" s="218"/>
    </row>
    <row r="42" spans="1:12" ht="14.25">
      <c r="A42" s="218"/>
      <c r="L42" s="218"/>
    </row>
    <row r="43" spans="1:12" ht="14.25">
      <c r="A43" s="218"/>
      <c r="B43" s="219" t="s">
        <v>697</v>
      </c>
      <c r="L43" s="218"/>
    </row>
    <row r="44" spans="1:12" ht="14.25">
      <c r="A44" s="218"/>
      <c r="L44" s="218"/>
    </row>
    <row r="45" spans="1:12" ht="14.25">
      <c r="A45" s="218"/>
      <c r="B45" s="219" t="s">
        <v>698</v>
      </c>
      <c r="L45" s="218"/>
    </row>
    <row r="46" spans="1:12" ht="15" thickBot="1">
      <c r="A46" s="218"/>
      <c r="L46" s="218"/>
    </row>
    <row r="47" spans="1:12" ht="14.25">
      <c r="A47" s="218"/>
      <c r="B47" s="232" t="s">
        <v>684</v>
      </c>
      <c r="C47" s="222"/>
      <c r="D47" s="222"/>
      <c r="E47" s="222"/>
      <c r="F47" s="222"/>
      <c r="G47" s="222"/>
      <c r="H47" s="222"/>
      <c r="I47" s="222"/>
      <c r="J47" s="222"/>
      <c r="K47" s="223"/>
      <c r="L47" s="218"/>
    </row>
    <row r="48" spans="1:12" ht="14.25">
      <c r="A48" s="218"/>
      <c r="B48" s="960">
        <v>312000000</v>
      </c>
      <c r="C48" s="953"/>
      <c r="D48" s="225" t="s">
        <v>699</v>
      </c>
      <c r="E48" s="225" t="s">
        <v>689</v>
      </c>
      <c r="F48" s="278">
        <v>1000</v>
      </c>
      <c r="G48" s="278" t="s">
        <v>688</v>
      </c>
      <c r="H48" s="226">
        <f>B48/F48</f>
        <v>312000</v>
      </c>
      <c r="I48" s="225" t="s">
        <v>700</v>
      </c>
      <c r="J48" s="225"/>
      <c r="K48" s="227"/>
      <c r="L48" s="218"/>
    </row>
    <row r="49" spans="1:12" ht="14.25">
      <c r="A49" s="218"/>
      <c r="B49" s="233"/>
      <c r="C49" s="225"/>
      <c r="D49" s="225"/>
      <c r="E49" s="225"/>
      <c r="F49" s="225"/>
      <c r="G49" s="225"/>
      <c r="H49" s="225"/>
      <c r="I49" s="225"/>
      <c r="J49" s="225"/>
      <c r="K49" s="227"/>
      <c r="L49" s="218"/>
    </row>
    <row r="50" spans="1:12" ht="14.25">
      <c r="A50" s="218"/>
      <c r="B50" s="234">
        <v>50000</v>
      </c>
      <c r="C50" s="225" t="s">
        <v>701</v>
      </c>
      <c r="D50" s="225"/>
      <c r="E50" s="225" t="s">
        <v>689</v>
      </c>
      <c r="F50" s="226">
        <f>H48</f>
        <v>312000</v>
      </c>
      <c r="G50" s="961" t="s">
        <v>702</v>
      </c>
      <c r="H50" s="962"/>
      <c r="I50" s="278" t="s">
        <v>688</v>
      </c>
      <c r="J50" s="235">
        <f>B50/F50</f>
        <v>0.16025641025641027</v>
      </c>
      <c r="K50" s="227"/>
      <c r="L50" s="218"/>
    </row>
    <row r="51" spans="1:15" ht="15" thickBot="1">
      <c r="A51" s="218"/>
      <c r="B51" s="228"/>
      <c r="C51" s="229"/>
      <c r="D51" s="229"/>
      <c r="E51" s="229"/>
      <c r="F51" s="229"/>
      <c r="G51" s="229"/>
      <c r="H51" s="229"/>
      <c r="I51" s="963" t="s">
        <v>703</v>
      </c>
      <c r="J51" s="963"/>
      <c r="K51" s="964"/>
      <c r="L51" s="218"/>
      <c r="O51" s="236"/>
    </row>
    <row r="52" spans="1:12" ht="40.5" customHeight="1">
      <c r="A52" s="218"/>
      <c r="B52" s="954" t="s">
        <v>680</v>
      </c>
      <c r="C52" s="954"/>
      <c r="D52" s="954"/>
      <c r="E52" s="954"/>
      <c r="F52" s="954"/>
      <c r="G52" s="954"/>
      <c r="H52" s="954"/>
      <c r="I52" s="954"/>
      <c r="J52" s="954"/>
      <c r="K52" s="954"/>
      <c r="L52" s="218"/>
    </row>
    <row r="53" spans="1:12" ht="14.25">
      <c r="A53" s="218"/>
      <c r="B53" s="957" t="s">
        <v>704</v>
      </c>
      <c r="C53" s="957"/>
      <c r="D53" s="957"/>
      <c r="E53" s="957"/>
      <c r="F53" s="957"/>
      <c r="G53" s="957"/>
      <c r="H53" s="957"/>
      <c r="I53" s="957"/>
      <c r="J53" s="957"/>
      <c r="K53" s="957"/>
      <c r="L53" s="218"/>
    </row>
    <row r="54" spans="1:12" ht="14.25">
      <c r="A54" s="218"/>
      <c r="B54" s="274"/>
      <c r="C54" s="274"/>
      <c r="D54" s="274"/>
      <c r="E54" s="274"/>
      <c r="F54" s="274"/>
      <c r="G54" s="274"/>
      <c r="H54" s="274"/>
      <c r="I54" s="274"/>
      <c r="J54" s="274"/>
      <c r="K54" s="274"/>
      <c r="L54" s="218"/>
    </row>
    <row r="55" spans="1:12" ht="14.25">
      <c r="A55" s="218"/>
      <c r="B55" s="951" t="s">
        <v>705</v>
      </c>
      <c r="C55" s="951"/>
      <c r="D55" s="951"/>
      <c r="E55" s="951"/>
      <c r="F55" s="951"/>
      <c r="G55" s="951"/>
      <c r="H55" s="951"/>
      <c r="I55" s="951"/>
      <c r="J55" s="951"/>
      <c r="K55" s="951"/>
      <c r="L55" s="218"/>
    </row>
    <row r="56" spans="1:12" ht="15" customHeight="1">
      <c r="A56" s="218"/>
      <c r="L56" s="218"/>
    </row>
    <row r="57" spans="1:24" ht="74.25" customHeight="1">
      <c r="A57" s="218"/>
      <c r="B57" s="952" t="s">
        <v>706</v>
      </c>
      <c r="C57" s="958"/>
      <c r="D57" s="958"/>
      <c r="E57" s="958"/>
      <c r="F57" s="958"/>
      <c r="G57" s="958"/>
      <c r="H57" s="958"/>
      <c r="I57" s="958"/>
      <c r="J57" s="958"/>
      <c r="K57" s="958"/>
      <c r="L57" s="218"/>
      <c r="M57" s="203"/>
      <c r="N57" s="192"/>
      <c r="O57" s="192"/>
      <c r="P57" s="192"/>
      <c r="Q57" s="192"/>
      <c r="R57" s="192"/>
      <c r="S57" s="192"/>
      <c r="T57" s="192"/>
      <c r="U57" s="192"/>
      <c r="V57" s="192"/>
      <c r="W57" s="192"/>
      <c r="X57" s="192"/>
    </row>
    <row r="58" spans="1:24" ht="15" customHeight="1">
      <c r="A58" s="218"/>
      <c r="B58" s="952"/>
      <c r="C58" s="958"/>
      <c r="D58" s="958"/>
      <c r="E58" s="958"/>
      <c r="F58" s="958"/>
      <c r="G58" s="958"/>
      <c r="H58" s="958"/>
      <c r="I58" s="958"/>
      <c r="J58" s="958"/>
      <c r="K58" s="958"/>
      <c r="L58" s="218"/>
      <c r="M58" s="203"/>
      <c r="N58" s="192"/>
      <c r="O58" s="192"/>
      <c r="P58" s="192"/>
      <c r="Q58" s="192"/>
      <c r="R58" s="192"/>
      <c r="S58" s="192"/>
      <c r="T58" s="192"/>
      <c r="U58" s="192"/>
      <c r="V58" s="192"/>
      <c r="W58" s="192"/>
      <c r="X58" s="192"/>
    </row>
    <row r="59" spans="1:24" ht="14.25">
      <c r="A59" s="218"/>
      <c r="B59" s="201" t="s">
        <v>695</v>
      </c>
      <c r="L59" s="218"/>
      <c r="M59" s="192"/>
      <c r="N59" s="192"/>
      <c r="O59" s="192"/>
      <c r="P59" s="192"/>
      <c r="Q59" s="192"/>
      <c r="R59" s="192"/>
      <c r="S59" s="192"/>
      <c r="T59" s="192"/>
      <c r="U59" s="192"/>
      <c r="V59" s="192"/>
      <c r="W59" s="192"/>
      <c r="X59" s="192"/>
    </row>
    <row r="60" spans="1:24" ht="14.25">
      <c r="A60" s="218"/>
      <c r="L60" s="218"/>
      <c r="M60" s="192"/>
      <c r="N60" s="192"/>
      <c r="O60" s="192"/>
      <c r="P60" s="192"/>
      <c r="Q60" s="192"/>
      <c r="R60" s="192"/>
      <c r="S60" s="192"/>
      <c r="T60" s="192"/>
      <c r="U60" s="192"/>
      <c r="V60" s="192"/>
      <c r="W60" s="192"/>
      <c r="X60" s="192"/>
    </row>
    <row r="61" spans="1:24" ht="14.25">
      <c r="A61" s="218"/>
      <c r="B61" s="219" t="s">
        <v>707</v>
      </c>
      <c r="L61" s="218"/>
      <c r="M61" s="192"/>
      <c r="N61" s="192"/>
      <c r="O61" s="192"/>
      <c r="P61" s="192"/>
      <c r="Q61" s="192"/>
      <c r="R61" s="192"/>
      <c r="S61" s="192"/>
      <c r="T61" s="192"/>
      <c r="U61" s="192"/>
      <c r="V61" s="192"/>
      <c r="W61" s="192"/>
      <c r="X61" s="192"/>
    </row>
    <row r="62" spans="1:24" ht="14.25">
      <c r="A62" s="218"/>
      <c r="B62" s="219" t="s">
        <v>759</v>
      </c>
      <c r="L62" s="218"/>
      <c r="M62" s="192"/>
      <c r="N62" s="192"/>
      <c r="O62" s="192"/>
      <c r="P62" s="192"/>
      <c r="Q62" s="192"/>
      <c r="R62" s="192"/>
      <c r="S62" s="192"/>
      <c r="T62" s="192"/>
      <c r="U62" s="192"/>
      <c r="V62" s="192"/>
      <c r="W62" s="192"/>
      <c r="X62" s="192"/>
    </row>
    <row r="63" spans="1:24" ht="14.25">
      <c r="A63" s="218"/>
      <c r="B63" s="219" t="s">
        <v>760</v>
      </c>
      <c r="L63" s="218"/>
      <c r="M63" s="192"/>
      <c r="N63" s="192"/>
      <c r="O63" s="192"/>
      <c r="P63" s="192"/>
      <c r="Q63" s="192"/>
      <c r="R63" s="192"/>
      <c r="S63" s="192"/>
      <c r="T63" s="192"/>
      <c r="U63" s="192"/>
      <c r="V63" s="192"/>
      <c r="W63" s="192"/>
      <c r="X63" s="192"/>
    </row>
    <row r="64" spans="1:24" ht="14.25">
      <c r="A64" s="218"/>
      <c r="L64" s="218"/>
      <c r="M64" s="192"/>
      <c r="N64" s="192"/>
      <c r="O64" s="192"/>
      <c r="P64" s="192"/>
      <c r="Q64" s="192"/>
      <c r="R64" s="192"/>
      <c r="S64" s="192"/>
      <c r="T64" s="192"/>
      <c r="U64" s="192"/>
      <c r="V64" s="192"/>
      <c r="W64" s="192"/>
      <c r="X64" s="192"/>
    </row>
    <row r="65" spans="1:24" ht="14.25">
      <c r="A65" s="218"/>
      <c r="B65" s="219" t="s">
        <v>708</v>
      </c>
      <c r="L65" s="218"/>
      <c r="M65" s="192"/>
      <c r="N65" s="192"/>
      <c r="O65" s="192"/>
      <c r="P65" s="192"/>
      <c r="Q65" s="192"/>
      <c r="R65" s="192"/>
      <c r="S65" s="192"/>
      <c r="T65" s="192"/>
      <c r="U65" s="192"/>
      <c r="V65" s="192"/>
      <c r="W65" s="192"/>
      <c r="X65" s="192"/>
    </row>
    <row r="66" spans="1:24" ht="14.25">
      <c r="A66" s="218"/>
      <c r="B66" s="219" t="s">
        <v>709</v>
      </c>
      <c r="L66" s="218"/>
      <c r="M66" s="192"/>
      <c r="N66" s="192"/>
      <c r="O66" s="192"/>
      <c r="P66" s="192"/>
      <c r="Q66" s="192"/>
      <c r="R66" s="192"/>
      <c r="S66" s="192"/>
      <c r="T66" s="192"/>
      <c r="U66" s="192"/>
      <c r="V66" s="192"/>
      <c r="W66" s="192"/>
      <c r="X66" s="192"/>
    </row>
    <row r="67" spans="1:24" ht="14.25">
      <c r="A67" s="218"/>
      <c r="L67" s="218"/>
      <c r="M67" s="192"/>
      <c r="N67" s="192"/>
      <c r="O67" s="192"/>
      <c r="P67" s="192"/>
      <c r="Q67" s="192"/>
      <c r="R67" s="192"/>
      <c r="S67" s="192"/>
      <c r="T67" s="192"/>
      <c r="U67" s="192"/>
      <c r="V67" s="192"/>
      <c r="W67" s="192"/>
      <c r="X67" s="192"/>
    </row>
    <row r="68" spans="1:24" ht="14.25">
      <c r="A68" s="218"/>
      <c r="B68" s="219" t="s">
        <v>710</v>
      </c>
      <c r="L68" s="218"/>
      <c r="M68" s="204"/>
      <c r="N68" s="191"/>
      <c r="O68" s="191"/>
      <c r="P68" s="191"/>
      <c r="Q68" s="191"/>
      <c r="R68" s="191"/>
      <c r="S68" s="191"/>
      <c r="T68" s="191"/>
      <c r="U68" s="191"/>
      <c r="V68" s="191"/>
      <c r="W68" s="191"/>
      <c r="X68" s="192"/>
    </row>
    <row r="69" spans="1:24" ht="14.25">
      <c r="A69" s="218"/>
      <c r="B69" s="219" t="s">
        <v>761</v>
      </c>
      <c r="L69" s="218"/>
      <c r="M69" s="192"/>
      <c r="N69" s="192"/>
      <c r="O69" s="192"/>
      <c r="P69" s="192"/>
      <c r="Q69" s="192"/>
      <c r="R69" s="192"/>
      <c r="S69" s="192"/>
      <c r="T69" s="192"/>
      <c r="U69" s="192"/>
      <c r="V69" s="192"/>
      <c r="W69" s="192"/>
      <c r="X69" s="192"/>
    </row>
    <row r="70" spans="1:24" ht="14.25">
      <c r="A70" s="218"/>
      <c r="B70" s="219" t="s">
        <v>762</v>
      </c>
      <c r="L70" s="218"/>
      <c r="M70" s="192"/>
      <c r="N70" s="192"/>
      <c r="O70" s="192"/>
      <c r="P70" s="192"/>
      <c r="Q70" s="192"/>
      <c r="R70" s="192"/>
      <c r="S70" s="192"/>
      <c r="T70" s="192"/>
      <c r="U70" s="192"/>
      <c r="V70" s="192"/>
      <c r="W70" s="192"/>
      <c r="X70" s="192"/>
    </row>
    <row r="71" spans="1:12" ht="15" thickBot="1">
      <c r="A71" s="218"/>
      <c r="B71" s="225"/>
      <c r="C71" s="225"/>
      <c r="D71" s="225"/>
      <c r="E71" s="225"/>
      <c r="F71" s="225"/>
      <c r="G71" s="225"/>
      <c r="H71" s="225"/>
      <c r="I71" s="225"/>
      <c r="J71" s="225"/>
      <c r="K71" s="225"/>
      <c r="L71" s="218"/>
    </row>
    <row r="72" spans="1:12" ht="14.25">
      <c r="A72" s="218"/>
      <c r="B72" s="202" t="s">
        <v>684</v>
      </c>
      <c r="C72" s="222"/>
      <c r="D72" s="222"/>
      <c r="E72" s="222"/>
      <c r="F72" s="222"/>
      <c r="G72" s="222"/>
      <c r="H72" s="222"/>
      <c r="I72" s="222"/>
      <c r="J72" s="222"/>
      <c r="K72" s="223"/>
      <c r="L72" s="237"/>
    </row>
    <row r="73" spans="1:12" ht="14.25">
      <c r="A73" s="218"/>
      <c r="B73" s="233"/>
      <c r="C73" s="225" t="s">
        <v>690</v>
      </c>
      <c r="D73" s="225"/>
      <c r="E73" s="225"/>
      <c r="F73" s="225"/>
      <c r="G73" s="225"/>
      <c r="H73" s="225"/>
      <c r="I73" s="225"/>
      <c r="J73" s="225"/>
      <c r="K73" s="227"/>
      <c r="L73" s="237"/>
    </row>
    <row r="74" spans="1:12" ht="14.25">
      <c r="A74" s="218"/>
      <c r="B74" s="233" t="s">
        <v>711</v>
      </c>
      <c r="C74" s="953">
        <v>312000000</v>
      </c>
      <c r="D74" s="953"/>
      <c r="E74" s="278" t="s">
        <v>689</v>
      </c>
      <c r="F74" s="278">
        <v>1000</v>
      </c>
      <c r="G74" s="278" t="s">
        <v>688</v>
      </c>
      <c r="H74" s="269">
        <f>C74/F74</f>
        <v>312000</v>
      </c>
      <c r="I74" s="225" t="s">
        <v>712</v>
      </c>
      <c r="J74" s="225"/>
      <c r="K74" s="227"/>
      <c r="L74" s="237"/>
    </row>
    <row r="75" spans="1:12" ht="14.25">
      <c r="A75" s="218"/>
      <c r="B75" s="233"/>
      <c r="C75" s="225"/>
      <c r="D75" s="225"/>
      <c r="E75" s="278"/>
      <c r="F75" s="225"/>
      <c r="G75" s="225"/>
      <c r="H75" s="225"/>
      <c r="I75" s="225"/>
      <c r="J75" s="225"/>
      <c r="K75" s="227"/>
      <c r="L75" s="237"/>
    </row>
    <row r="76" spans="1:12" ht="14.25">
      <c r="A76" s="218"/>
      <c r="B76" s="233"/>
      <c r="C76" s="225" t="s">
        <v>713</v>
      </c>
      <c r="D76" s="225"/>
      <c r="E76" s="278"/>
      <c r="F76" s="225" t="s">
        <v>712</v>
      </c>
      <c r="G76" s="225"/>
      <c r="H76" s="225"/>
      <c r="I76" s="225"/>
      <c r="J76" s="225"/>
      <c r="K76" s="227"/>
      <c r="L76" s="237"/>
    </row>
    <row r="77" spans="1:12" ht="14.25">
      <c r="A77" s="218"/>
      <c r="B77" s="233" t="s">
        <v>716</v>
      </c>
      <c r="C77" s="953">
        <v>50000</v>
      </c>
      <c r="D77" s="953"/>
      <c r="E77" s="278" t="s">
        <v>689</v>
      </c>
      <c r="F77" s="269">
        <f>H74</f>
        <v>312000</v>
      </c>
      <c r="G77" s="278" t="s">
        <v>688</v>
      </c>
      <c r="H77" s="235">
        <f>C77/F77</f>
        <v>0.16025641025641027</v>
      </c>
      <c r="I77" s="225" t="s">
        <v>714</v>
      </c>
      <c r="J77" s="225"/>
      <c r="K77" s="227"/>
      <c r="L77" s="237"/>
    </row>
    <row r="78" spans="1:12" ht="14.25">
      <c r="A78" s="218"/>
      <c r="B78" s="233"/>
      <c r="C78" s="225"/>
      <c r="D78" s="225"/>
      <c r="E78" s="278"/>
      <c r="F78" s="225"/>
      <c r="G78" s="225"/>
      <c r="H78" s="225"/>
      <c r="I78" s="225"/>
      <c r="J78" s="225"/>
      <c r="K78" s="227"/>
      <c r="L78" s="237"/>
    </row>
    <row r="79" spans="1:12" ht="14.25">
      <c r="A79" s="218"/>
      <c r="B79" s="238"/>
      <c r="C79" s="239" t="s">
        <v>715</v>
      </c>
      <c r="D79" s="239"/>
      <c r="E79" s="270"/>
      <c r="F79" s="239"/>
      <c r="G79" s="239"/>
      <c r="H79" s="239"/>
      <c r="I79" s="239"/>
      <c r="J79" s="239"/>
      <c r="K79" s="240"/>
      <c r="L79" s="237"/>
    </row>
    <row r="80" spans="1:12" ht="14.25">
      <c r="A80" s="218"/>
      <c r="B80" s="233" t="s">
        <v>741</v>
      </c>
      <c r="C80" s="953">
        <v>100000</v>
      </c>
      <c r="D80" s="953"/>
      <c r="E80" s="278" t="s">
        <v>132</v>
      </c>
      <c r="F80" s="278">
        <v>0.115</v>
      </c>
      <c r="G80" s="278" t="s">
        <v>688</v>
      </c>
      <c r="H80" s="269">
        <f>C80*F80</f>
        <v>11500</v>
      </c>
      <c r="I80" s="225" t="s">
        <v>717</v>
      </c>
      <c r="J80" s="225"/>
      <c r="K80" s="227"/>
      <c r="L80" s="237"/>
    </row>
    <row r="81" spans="1:12" ht="14.25">
      <c r="A81" s="218"/>
      <c r="B81" s="233"/>
      <c r="C81" s="225"/>
      <c r="D81" s="225"/>
      <c r="E81" s="278"/>
      <c r="F81" s="225"/>
      <c r="G81" s="225"/>
      <c r="H81" s="225"/>
      <c r="I81" s="225"/>
      <c r="J81" s="225"/>
      <c r="K81" s="227"/>
      <c r="L81" s="237"/>
    </row>
    <row r="82" spans="1:12" ht="14.25">
      <c r="A82" s="218"/>
      <c r="B82" s="238"/>
      <c r="C82" s="239" t="s">
        <v>718</v>
      </c>
      <c r="D82" s="239"/>
      <c r="E82" s="270"/>
      <c r="F82" s="239" t="s">
        <v>714</v>
      </c>
      <c r="G82" s="239"/>
      <c r="H82" s="239"/>
      <c r="I82" s="239"/>
      <c r="J82" s="239" t="s">
        <v>719</v>
      </c>
      <c r="K82" s="240"/>
      <c r="L82" s="237"/>
    </row>
    <row r="83" spans="1:12" ht="14.25">
      <c r="A83" s="218"/>
      <c r="B83" s="233" t="s">
        <v>742</v>
      </c>
      <c r="C83" s="942">
        <f>H80</f>
        <v>11500</v>
      </c>
      <c r="D83" s="942"/>
      <c r="E83" s="278" t="s">
        <v>132</v>
      </c>
      <c r="F83" s="235">
        <f>H77</f>
        <v>0.16025641025641027</v>
      </c>
      <c r="G83" s="278" t="s">
        <v>689</v>
      </c>
      <c r="H83" s="278">
        <v>1000</v>
      </c>
      <c r="I83" s="278" t="s">
        <v>688</v>
      </c>
      <c r="J83" s="271">
        <f>C83*F83/H83</f>
        <v>1.842948717948718</v>
      </c>
      <c r="K83" s="227"/>
      <c r="L83" s="237"/>
    </row>
    <row r="84" spans="1:12" ht="15" thickBot="1">
      <c r="A84" s="218"/>
      <c r="B84" s="228"/>
      <c r="C84" s="241"/>
      <c r="D84" s="241"/>
      <c r="E84" s="242"/>
      <c r="F84" s="243"/>
      <c r="G84" s="242"/>
      <c r="H84" s="242"/>
      <c r="I84" s="242"/>
      <c r="J84" s="244"/>
      <c r="K84" s="230"/>
      <c r="L84" s="237"/>
    </row>
    <row r="85" spans="1:12" ht="40.5" customHeight="1">
      <c r="A85" s="218"/>
      <c r="B85" s="954" t="s">
        <v>680</v>
      </c>
      <c r="C85" s="954"/>
      <c r="D85" s="954"/>
      <c r="E85" s="954"/>
      <c r="F85" s="954"/>
      <c r="G85" s="954"/>
      <c r="H85" s="954"/>
      <c r="I85" s="954"/>
      <c r="J85" s="954"/>
      <c r="K85" s="954"/>
      <c r="L85" s="218"/>
    </row>
    <row r="86" spans="1:12" ht="14.25">
      <c r="A86" s="218"/>
      <c r="B86" s="951" t="s">
        <v>720</v>
      </c>
      <c r="C86" s="951"/>
      <c r="D86" s="951"/>
      <c r="E86" s="951"/>
      <c r="F86" s="951"/>
      <c r="G86" s="951"/>
      <c r="H86" s="951"/>
      <c r="I86" s="951"/>
      <c r="J86" s="951"/>
      <c r="K86" s="951"/>
      <c r="L86" s="218"/>
    </row>
    <row r="87" spans="1:12" ht="14.25">
      <c r="A87" s="218"/>
      <c r="B87" s="245"/>
      <c r="C87" s="245"/>
      <c r="D87" s="245"/>
      <c r="E87" s="245"/>
      <c r="F87" s="245"/>
      <c r="G87" s="245"/>
      <c r="H87" s="245"/>
      <c r="I87" s="245"/>
      <c r="J87" s="245"/>
      <c r="K87" s="245"/>
      <c r="L87" s="218"/>
    </row>
    <row r="88" spans="1:12" ht="14.25">
      <c r="A88" s="218"/>
      <c r="B88" s="951" t="s">
        <v>721</v>
      </c>
      <c r="C88" s="951"/>
      <c r="D88" s="951"/>
      <c r="E88" s="951"/>
      <c r="F88" s="951"/>
      <c r="G88" s="951"/>
      <c r="H88" s="951"/>
      <c r="I88" s="951"/>
      <c r="J88" s="951"/>
      <c r="K88" s="951"/>
      <c r="L88" s="218"/>
    </row>
    <row r="89" spans="1:12" ht="14.25">
      <c r="A89" s="218"/>
      <c r="B89" s="272"/>
      <c r="C89" s="272"/>
      <c r="D89" s="272"/>
      <c r="E89" s="272"/>
      <c r="F89" s="272"/>
      <c r="G89" s="272"/>
      <c r="H89" s="272"/>
      <c r="I89" s="272"/>
      <c r="J89" s="272"/>
      <c r="K89" s="272"/>
      <c r="L89" s="218"/>
    </row>
    <row r="90" spans="1:12" ht="45" customHeight="1">
      <c r="A90" s="218"/>
      <c r="B90" s="952" t="s">
        <v>722</v>
      </c>
      <c r="C90" s="952"/>
      <c r="D90" s="952"/>
      <c r="E90" s="952"/>
      <c r="F90" s="952"/>
      <c r="G90" s="952"/>
      <c r="H90" s="952"/>
      <c r="I90" s="952"/>
      <c r="J90" s="952"/>
      <c r="K90" s="952"/>
      <c r="L90" s="218"/>
    </row>
    <row r="91" spans="1:12" ht="15" customHeight="1" thickBot="1">
      <c r="A91" s="218"/>
      <c r="L91" s="218"/>
    </row>
    <row r="92" spans="1:12" ht="15" customHeight="1">
      <c r="A92" s="218"/>
      <c r="B92" s="205" t="s">
        <v>684</v>
      </c>
      <c r="C92" s="246"/>
      <c r="D92" s="246"/>
      <c r="E92" s="246"/>
      <c r="F92" s="246"/>
      <c r="G92" s="246"/>
      <c r="H92" s="246"/>
      <c r="I92" s="246"/>
      <c r="J92" s="246"/>
      <c r="K92" s="247"/>
      <c r="L92" s="218"/>
    </row>
    <row r="93" spans="1:12" ht="15" customHeight="1">
      <c r="A93" s="218"/>
      <c r="B93" s="248"/>
      <c r="C93" s="276" t="s">
        <v>690</v>
      </c>
      <c r="D93" s="276"/>
      <c r="E93" s="276"/>
      <c r="F93" s="276"/>
      <c r="G93" s="276"/>
      <c r="H93" s="276"/>
      <c r="I93" s="276"/>
      <c r="J93" s="276"/>
      <c r="K93" s="249"/>
      <c r="L93" s="218"/>
    </row>
    <row r="94" spans="1:12" ht="15" customHeight="1">
      <c r="A94" s="218"/>
      <c r="B94" s="248" t="s">
        <v>711</v>
      </c>
      <c r="C94" s="953">
        <v>312000000</v>
      </c>
      <c r="D94" s="953"/>
      <c r="E94" s="278" t="s">
        <v>689</v>
      </c>
      <c r="F94" s="278">
        <v>1000</v>
      </c>
      <c r="G94" s="278" t="s">
        <v>688</v>
      </c>
      <c r="H94" s="269">
        <f>C94/F94</f>
        <v>312000</v>
      </c>
      <c r="I94" s="276" t="s">
        <v>712</v>
      </c>
      <c r="J94" s="276"/>
      <c r="K94" s="249"/>
      <c r="L94" s="218"/>
    </row>
    <row r="95" spans="1:12" ht="15" customHeight="1">
      <c r="A95" s="218"/>
      <c r="B95" s="248"/>
      <c r="C95" s="276"/>
      <c r="D95" s="276"/>
      <c r="E95" s="278"/>
      <c r="F95" s="276"/>
      <c r="G95" s="276"/>
      <c r="H95" s="276"/>
      <c r="I95" s="276"/>
      <c r="J95" s="276"/>
      <c r="K95" s="249"/>
      <c r="L95" s="218"/>
    </row>
    <row r="96" spans="1:12" ht="15" customHeight="1">
      <c r="A96" s="218"/>
      <c r="B96" s="248"/>
      <c r="C96" s="276" t="s">
        <v>713</v>
      </c>
      <c r="D96" s="276"/>
      <c r="E96" s="278"/>
      <c r="F96" s="276" t="s">
        <v>712</v>
      </c>
      <c r="G96" s="276"/>
      <c r="H96" s="276"/>
      <c r="I96" s="276"/>
      <c r="J96" s="276"/>
      <c r="K96" s="249"/>
      <c r="L96" s="218"/>
    </row>
    <row r="97" spans="1:12" ht="15" customHeight="1">
      <c r="A97" s="218"/>
      <c r="B97" s="248" t="s">
        <v>716</v>
      </c>
      <c r="C97" s="953">
        <v>50000</v>
      </c>
      <c r="D97" s="953"/>
      <c r="E97" s="278" t="s">
        <v>689</v>
      </c>
      <c r="F97" s="269">
        <f>H94</f>
        <v>312000</v>
      </c>
      <c r="G97" s="278" t="s">
        <v>688</v>
      </c>
      <c r="H97" s="235">
        <f>C97/F97</f>
        <v>0.16025641025641027</v>
      </c>
      <c r="I97" s="276" t="s">
        <v>714</v>
      </c>
      <c r="J97" s="276"/>
      <c r="K97" s="249"/>
      <c r="L97" s="218"/>
    </row>
    <row r="98" spans="1:12" ht="15" customHeight="1">
      <c r="A98" s="218"/>
      <c r="B98" s="248"/>
      <c r="C98" s="276"/>
      <c r="D98" s="276"/>
      <c r="E98" s="278"/>
      <c r="F98" s="276"/>
      <c r="G98" s="276"/>
      <c r="H98" s="276"/>
      <c r="I98" s="276"/>
      <c r="J98" s="276"/>
      <c r="K98" s="249"/>
      <c r="L98" s="218"/>
    </row>
    <row r="99" spans="1:12" ht="15" customHeight="1">
      <c r="A99" s="218"/>
      <c r="B99" s="250"/>
      <c r="C99" s="251" t="s">
        <v>723</v>
      </c>
      <c r="D99" s="251"/>
      <c r="E99" s="270"/>
      <c r="F99" s="251"/>
      <c r="G99" s="251"/>
      <c r="H99" s="251"/>
      <c r="I99" s="251"/>
      <c r="J99" s="251"/>
      <c r="K99" s="252"/>
      <c r="L99" s="218"/>
    </row>
    <row r="100" spans="1:12" ht="15" customHeight="1">
      <c r="A100" s="218"/>
      <c r="B100" s="248" t="s">
        <v>741</v>
      </c>
      <c r="C100" s="953">
        <v>2500000</v>
      </c>
      <c r="D100" s="953"/>
      <c r="E100" s="278" t="s">
        <v>132</v>
      </c>
      <c r="F100" s="253">
        <v>0.3</v>
      </c>
      <c r="G100" s="278" t="s">
        <v>688</v>
      </c>
      <c r="H100" s="269">
        <f>C100*F100</f>
        <v>750000</v>
      </c>
      <c r="I100" s="276" t="s">
        <v>717</v>
      </c>
      <c r="J100" s="276"/>
      <c r="K100" s="249"/>
      <c r="L100" s="218"/>
    </row>
    <row r="101" spans="1:12" ht="15" customHeight="1">
      <c r="A101" s="218"/>
      <c r="B101" s="248"/>
      <c r="C101" s="276"/>
      <c r="D101" s="276"/>
      <c r="E101" s="278"/>
      <c r="F101" s="276"/>
      <c r="G101" s="276"/>
      <c r="H101" s="276"/>
      <c r="I101" s="276"/>
      <c r="J101" s="276"/>
      <c r="K101" s="249"/>
      <c r="L101" s="218"/>
    </row>
    <row r="102" spans="1:12" ht="15" customHeight="1">
      <c r="A102" s="218"/>
      <c r="B102" s="250"/>
      <c r="C102" s="251" t="s">
        <v>718</v>
      </c>
      <c r="D102" s="251"/>
      <c r="E102" s="270"/>
      <c r="F102" s="251" t="s">
        <v>714</v>
      </c>
      <c r="G102" s="251"/>
      <c r="H102" s="251"/>
      <c r="I102" s="251"/>
      <c r="J102" s="251" t="s">
        <v>719</v>
      </c>
      <c r="K102" s="252"/>
      <c r="L102" s="218"/>
    </row>
    <row r="103" spans="1:12" ht="15" customHeight="1">
      <c r="A103" s="218"/>
      <c r="B103" s="248" t="s">
        <v>742</v>
      </c>
      <c r="C103" s="942">
        <f>H100</f>
        <v>750000</v>
      </c>
      <c r="D103" s="942"/>
      <c r="E103" s="278" t="s">
        <v>132</v>
      </c>
      <c r="F103" s="235">
        <f>H97</f>
        <v>0.16025641025641027</v>
      </c>
      <c r="G103" s="278" t="s">
        <v>689</v>
      </c>
      <c r="H103" s="278">
        <v>1000</v>
      </c>
      <c r="I103" s="278" t="s">
        <v>688</v>
      </c>
      <c r="J103" s="271">
        <f>C103*F103/H103</f>
        <v>120.19230769230771</v>
      </c>
      <c r="K103" s="249"/>
      <c r="L103" s="218"/>
    </row>
    <row r="104" spans="1:12" ht="15" customHeight="1" thickBot="1">
      <c r="A104" s="218"/>
      <c r="B104" s="254"/>
      <c r="C104" s="241"/>
      <c r="D104" s="241"/>
      <c r="E104" s="242"/>
      <c r="F104" s="243"/>
      <c r="G104" s="242"/>
      <c r="H104" s="242"/>
      <c r="I104" s="242"/>
      <c r="J104" s="244"/>
      <c r="K104" s="277"/>
      <c r="L104" s="218"/>
    </row>
    <row r="105" spans="1:12" ht="40.5" customHeight="1">
      <c r="A105" s="218"/>
      <c r="B105" s="954" t="s">
        <v>680</v>
      </c>
      <c r="C105" s="955"/>
      <c r="D105" s="955"/>
      <c r="E105" s="955"/>
      <c r="F105" s="955"/>
      <c r="G105" s="955"/>
      <c r="H105" s="955"/>
      <c r="I105" s="955"/>
      <c r="J105" s="955"/>
      <c r="K105" s="955"/>
      <c r="L105" s="218"/>
    </row>
    <row r="106" spans="1:12" ht="15" customHeight="1">
      <c r="A106" s="218"/>
      <c r="B106" s="949" t="s">
        <v>724</v>
      </c>
      <c r="C106" s="956"/>
      <c r="D106" s="956"/>
      <c r="E106" s="956"/>
      <c r="F106" s="956"/>
      <c r="G106" s="956"/>
      <c r="H106" s="956"/>
      <c r="I106" s="956"/>
      <c r="J106" s="956"/>
      <c r="K106" s="956"/>
      <c r="L106" s="218"/>
    </row>
    <row r="107" spans="1:12" ht="15" customHeight="1">
      <c r="A107" s="218"/>
      <c r="B107" s="276"/>
      <c r="C107" s="255"/>
      <c r="D107" s="255"/>
      <c r="E107" s="278"/>
      <c r="F107" s="235"/>
      <c r="G107" s="278"/>
      <c r="H107" s="278"/>
      <c r="I107" s="278"/>
      <c r="J107" s="271"/>
      <c r="K107" s="276"/>
      <c r="L107" s="218"/>
    </row>
    <row r="108" spans="1:12" ht="15" customHeight="1">
      <c r="A108" s="218"/>
      <c r="B108" s="949" t="s">
        <v>725</v>
      </c>
      <c r="C108" s="950"/>
      <c r="D108" s="950"/>
      <c r="E108" s="950"/>
      <c r="F108" s="950"/>
      <c r="G108" s="950"/>
      <c r="H108" s="950"/>
      <c r="I108" s="950"/>
      <c r="J108" s="950"/>
      <c r="K108" s="950"/>
      <c r="L108" s="218"/>
    </row>
    <row r="109" spans="1:12" ht="15" customHeight="1">
      <c r="A109" s="218"/>
      <c r="B109" s="276"/>
      <c r="C109" s="255"/>
      <c r="D109" s="255"/>
      <c r="E109" s="278"/>
      <c r="F109" s="235"/>
      <c r="G109" s="278"/>
      <c r="H109" s="278"/>
      <c r="I109" s="278"/>
      <c r="J109" s="271"/>
      <c r="K109" s="276"/>
      <c r="L109" s="218"/>
    </row>
    <row r="110" spans="1:12" ht="59.25" customHeight="1">
      <c r="A110" s="218"/>
      <c r="B110" s="968" t="s">
        <v>726</v>
      </c>
      <c r="C110" s="958"/>
      <c r="D110" s="958"/>
      <c r="E110" s="958"/>
      <c r="F110" s="958"/>
      <c r="G110" s="958"/>
      <c r="H110" s="958"/>
      <c r="I110" s="958"/>
      <c r="J110" s="958"/>
      <c r="K110" s="958"/>
      <c r="L110" s="218"/>
    </row>
    <row r="111" spans="1:12" ht="15" thickBot="1">
      <c r="A111" s="218"/>
      <c r="B111" s="274"/>
      <c r="C111" s="274"/>
      <c r="D111" s="274"/>
      <c r="E111" s="274"/>
      <c r="F111" s="274"/>
      <c r="G111" s="274"/>
      <c r="H111" s="274"/>
      <c r="I111" s="274"/>
      <c r="J111" s="274"/>
      <c r="K111" s="274"/>
      <c r="L111" s="256"/>
    </row>
    <row r="112" spans="1:12" ht="14.25">
      <c r="A112" s="218"/>
      <c r="B112" s="202" t="s">
        <v>684</v>
      </c>
      <c r="C112" s="222"/>
      <c r="D112" s="222"/>
      <c r="E112" s="222"/>
      <c r="F112" s="222"/>
      <c r="G112" s="222"/>
      <c r="H112" s="222"/>
      <c r="I112" s="222"/>
      <c r="J112" s="222"/>
      <c r="K112" s="223"/>
      <c r="L112" s="218"/>
    </row>
    <row r="113" spans="1:12" ht="14.25">
      <c r="A113" s="218"/>
      <c r="B113" s="233"/>
      <c r="C113" s="225" t="s">
        <v>690</v>
      </c>
      <c r="D113" s="225"/>
      <c r="E113" s="225"/>
      <c r="F113" s="225"/>
      <c r="G113" s="225"/>
      <c r="H113" s="225"/>
      <c r="I113" s="225"/>
      <c r="J113" s="225"/>
      <c r="K113" s="227"/>
      <c r="L113" s="218"/>
    </row>
    <row r="114" spans="1:12" ht="14.25">
      <c r="A114" s="218"/>
      <c r="B114" s="233" t="s">
        <v>711</v>
      </c>
      <c r="C114" s="953">
        <v>312000000</v>
      </c>
      <c r="D114" s="953"/>
      <c r="E114" s="278" t="s">
        <v>689</v>
      </c>
      <c r="F114" s="278">
        <v>1000</v>
      </c>
      <c r="G114" s="278" t="s">
        <v>688</v>
      </c>
      <c r="H114" s="269">
        <f>C114/F114</f>
        <v>312000</v>
      </c>
      <c r="I114" s="225" t="s">
        <v>712</v>
      </c>
      <c r="J114" s="225"/>
      <c r="K114" s="227"/>
      <c r="L114" s="218"/>
    </row>
    <row r="115" spans="1:12" ht="14.25">
      <c r="A115" s="218"/>
      <c r="B115" s="233"/>
      <c r="C115" s="225"/>
      <c r="D115" s="225"/>
      <c r="E115" s="278"/>
      <c r="F115" s="225"/>
      <c r="G115" s="225"/>
      <c r="H115" s="225"/>
      <c r="I115" s="225"/>
      <c r="J115" s="225"/>
      <c r="K115" s="227"/>
      <c r="L115" s="218"/>
    </row>
    <row r="116" spans="1:12" ht="14.25">
      <c r="A116" s="218"/>
      <c r="B116" s="233"/>
      <c r="C116" s="225" t="s">
        <v>713</v>
      </c>
      <c r="D116" s="225"/>
      <c r="E116" s="278"/>
      <c r="F116" s="225" t="s">
        <v>712</v>
      </c>
      <c r="G116" s="225"/>
      <c r="H116" s="225"/>
      <c r="I116" s="225"/>
      <c r="J116" s="225"/>
      <c r="K116" s="227"/>
      <c r="L116" s="218"/>
    </row>
    <row r="117" spans="1:12" ht="14.25">
      <c r="A117" s="218"/>
      <c r="B117" s="233" t="s">
        <v>716</v>
      </c>
      <c r="C117" s="953">
        <v>50000</v>
      </c>
      <c r="D117" s="953"/>
      <c r="E117" s="278" t="s">
        <v>689</v>
      </c>
      <c r="F117" s="269">
        <f>H114</f>
        <v>312000</v>
      </c>
      <c r="G117" s="278" t="s">
        <v>688</v>
      </c>
      <c r="H117" s="235">
        <f>C117/F117</f>
        <v>0.16025641025641027</v>
      </c>
      <c r="I117" s="225" t="s">
        <v>714</v>
      </c>
      <c r="J117" s="225"/>
      <c r="K117" s="227"/>
      <c r="L117" s="218"/>
    </row>
    <row r="118" spans="1:12" ht="14.25">
      <c r="A118" s="218"/>
      <c r="B118" s="233"/>
      <c r="C118" s="225"/>
      <c r="D118" s="225"/>
      <c r="E118" s="278"/>
      <c r="F118" s="225"/>
      <c r="G118" s="225"/>
      <c r="H118" s="225"/>
      <c r="I118" s="225"/>
      <c r="J118" s="225"/>
      <c r="K118" s="227"/>
      <c r="L118" s="218"/>
    </row>
    <row r="119" spans="1:12" ht="14.25">
      <c r="A119" s="218"/>
      <c r="B119" s="238"/>
      <c r="C119" s="239" t="s">
        <v>723</v>
      </c>
      <c r="D119" s="239"/>
      <c r="E119" s="270"/>
      <c r="F119" s="239"/>
      <c r="G119" s="239"/>
      <c r="H119" s="239"/>
      <c r="I119" s="239"/>
      <c r="J119" s="239"/>
      <c r="K119" s="240"/>
      <c r="L119" s="218"/>
    </row>
    <row r="120" spans="1:12" ht="14.25">
      <c r="A120" s="218"/>
      <c r="B120" s="233" t="s">
        <v>741</v>
      </c>
      <c r="C120" s="953">
        <v>2500000</v>
      </c>
      <c r="D120" s="953"/>
      <c r="E120" s="278" t="s">
        <v>132</v>
      </c>
      <c r="F120" s="253">
        <v>0.25</v>
      </c>
      <c r="G120" s="278" t="s">
        <v>688</v>
      </c>
      <c r="H120" s="269">
        <f>C120*F120</f>
        <v>625000</v>
      </c>
      <c r="I120" s="225" t="s">
        <v>717</v>
      </c>
      <c r="J120" s="225"/>
      <c r="K120" s="227"/>
      <c r="L120" s="218"/>
    </row>
    <row r="121" spans="1:12" ht="14.25">
      <c r="A121" s="218"/>
      <c r="B121" s="233"/>
      <c r="C121" s="225"/>
      <c r="D121" s="225"/>
      <c r="E121" s="278"/>
      <c r="F121" s="225"/>
      <c r="G121" s="225"/>
      <c r="H121" s="225"/>
      <c r="I121" s="225"/>
      <c r="J121" s="225"/>
      <c r="K121" s="227"/>
      <c r="L121" s="218"/>
    </row>
    <row r="122" spans="1:12" ht="14.25">
      <c r="A122" s="218"/>
      <c r="B122" s="238"/>
      <c r="C122" s="239" t="s">
        <v>718</v>
      </c>
      <c r="D122" s="239"/>
      <c r="E122" s="270"/>
      <c r="F122" s="239" t="s">
        <v>714</v>
      </c>
      <c r="G122" s="239"/>
      <c r="H122" s="239"/>
      <c r="I122" s="239"/>
      <c r="J122" s="239" t="s">
        <v>719</v>
      </c>
      <c r="K122" s="240"/>
      <c r="L122" s="218"/>
    </row>
    <row r="123" spans="1:12" ht="14.25">
      <c r="A123" s="218"/>
      <c r="B123" s="233" t="s">
        <v>742</v>
      </c>
      <c r="C123" s="942">
        <f>H120</f>
        <v>625000</v>
      </c>
      <c r="D123" s="942"/>
      <c r="E123" s="278" t="s">
        <v>132</v>
      </c>
      <c r="F123" s="235">
        <f>H117</f>
        <v>0.16025641025641027</v>
      </c>
      <c r="G123" s="278" t="s">
        <v>689</v>
      </c>
      <c r="H123" s="278">
        <v>1000</v>
      </c>
      <c r="I123" s="278" t="s">
        <v>688</v>
      </c>
      <c r="J123" s="271">
        <f>C123*F123/H123</f>
        <v>100.16025641025642</v>
      </c>
      <c r="K123" s="227"/>
      <c r="L123" s="218"/>
    </row>
    <row r="124" spans="1:12" ht="15" thickBot="1">
      <c r="A124" s="218"/>
      <c r="B124" s="228"/>
      <c r="C124" s="241"/>
      <c r="D124" s="241"/>
      <c r="E124" s="242"/>
      <c r="F124" s="243"/>
      <c r="G124" s="242"/>
      <c r="H124" s="242"/>
      <c r="I124" s="242"/>
      <c r="J124" s="244"/>
      <c r="K124" s="230"/>
      <c r="L124" s="218"/>
    </row>
    <row r="125" spans="1:12" ht="40.5" customHeight="1">
      <c r="A125" s="218"/>
      <c r="B125" s="954" t="s">
        <v>680</v>
      </c>
      <c r="C125" s="954"/>
      <c r="D125" s="954"/>
      <c r="E125" s="954"/>
      <c r="F125" s="954"/>
      <c r="G125" s="954"/>
      <c r="H125" s="954"/>
      <c r="I125" s="954"/>
      <c r="J125" s="954"/>
      <c r="K125" s="954"/>
      <c r="L125" s="256"/>
    </row>
    <row r="126" spans="1:12" ht="14.25">
      <c r="A126" s="218"/>
      <c r="B126" s="951" t="s">
        <v>727</v>
      </c>
      <c r="C126" s="951"/>
      <c r="D126" s="951"/>
      <c r="E126" s="951"/>
      <c r="F126" s="951"/>
      <c r="G126" s="951"/>
      <c r="H126" s="951"/>
      <c r="I126" s="951"/>
      <c r="J126" s="951"/>
      <c r="K126" s="951"/>
      <c r="L126" s="256"/>
    </row>
    <row r="127" spans="1:12" ht="14.25">
      <c r="A127" s="218"/>
      <c r="B127" s="274"/>
      <c r="C127" s="274"/>
      <c r="D127" s="274"/>
      <c r="E127" s="274"/>
      <c r="F127" s="274"/>
      <c r="G127" s="274"/>
      <c r="H127" s="274"/>
      <c r="I127" s="274"/>
      <c r="J127" s="274"/>
      <c r="K127" s="274"/>
      <c r="L127" s="256"/>
    </row>
    <row r="128" spans="1:12" ht="14.25">
      <c r="A128" s="218"/>
      <c r="B128" s="951" t="s">
        <v>728</v>
      </c>
      <c r="C128" s="951"/>
      <c r="D128" s="951"/>
      <c r="E128" s="951"/>
      <c r="F128" s="951"/>
      <c r="G128" s="951"/>
      <c r="H128" s="951"/>
      <c r="I128" s="951"/>
      <c r="J128" s="951"/>
      <c r="K128" s="951"/>
      <c r="L128" s="256"/>
    </row>
    <row r="129" spans="1:12" ht="14.25">
      <c r="A129" s="218"/>
      <c r="B129" s="272"/>
      <c r="C129" s="272"/>
      <c r="D129" s="272"/>
      <c r="E129" s="272"/>
      <c r="F129" s="272"/>
      <c r="G129" s="272"/>
      <c r="H129" s="272"/>
      <c r="I129" s="272"/>
      <c r="J129" s="272"/>
      <c r="K129" s="272"/>
      <c r="L129" s="256"/>
    </row>
    <row r="130" spans="1:12" ht="74.25" customHeight="1">
      <c r="A130" s="218"/>
      <c r="B130" s="952" t="s">
        <v>743</v>
      </c>
      <c r="C130" s="952"/>
      <c r="D130" s="952"/>
      <c r="E130" s="952"/>
      <c r="F130" s="952"/>
      <c r="G130" s="952"/>
      <c r="H130" s="952"/>
      <c r="I130" s="952"/>
      <c r="J130" s="952"/>
      <c r="K130" s="952"/>
      <c r="L130" s="256"/>
    </row>
    <row r="131" spans="1:12" ht="15" thickBot="1">
      <c r="A131" s="218"/>
      <c r="L131" s="218"/>
    </row>
    <row r="132" spans="1:12" ht="14.25">
      <c r="A132" s="218"/>
      <c r="B132" s="202" t="s">
        <v>684</v>
      </c>
      <c r="C132" s="222"/>
      <c r="D132" s="222"/>
      <c r="E132" s="222"/>
      <c r="F132" s="222"/>
      <c r="G132" s="222"/>
      <c r="H132" s="222"/>
      <c r="I132" s="222"/>
      <c r="J132" s="222"/>
      <c r="K132" s="223"/>
      <c r="L132" s="218"/>
    </row>
    <row r="133" spans="1:12" ht="14.25">
      <c r="A133" s="218"/>
      <c r="B133" s="233"/>
      <c r="C133" s="969" t="s">
        <v>729</v>
      </c>
      <c r="D133" s="969"/>
      <c r="E133" s="225"/>
      <c r="F133" s="278" t="s">
        <v>730</v>
      </c>
      <c r="G133" s="225"/>
      <c r="H133" s="969" t="s">
        <v>717</v>
      </c>
      <c r="I133" s="969"/>
      <c r="J133" s="225"/>
      <c r="K133" s="227"/>
      <c r="L133" s="218"/>
    </row>
    <row r="134" spans="1:12" ht="14.25">
      <c r="A134" s="218"/>
      <c r="B134" s="233" t="s">
        <v>711</v>
      </c>
      <c r="C134" s="953">
        <v>100000</v>
      </c>
      <c r="D134" s="953"/>
      <c r="E134" s="278" t="s">
        <v>132</v>
      </c>
      <c r="F134" s="278">
        <v>0.115</v>
      </c>
      <c r="G134" s="278" t="s">
        <v>688</v>
      </c>
      <c r="H134" s="943">
        <f>C134*F134</f>
        <v>11500</v>
      </c>
      <c r="I134" s="943"/>
      <c r="J134" s="225"/>
      <c r="K134" s="227"/>
      <c r="L134" s="218"/>
    </row>
    <row r="135" spans="1:12" ht="14.25">
      <c r="A135" s="218"/>
      <c r="B135" s="233"/>
      <c r="C135" s="225"/>
      <c r="D135" s="225"/>
      <c r="E135" s="225"/>
      <c r="F135" s="225"/>
      <c r="G135" s="225"/>
      <c r="H135" s="225"/>
      <c r="I135" s="225"/>
      <c r="J135" s="225"/>
      <c r="K135" s="227"/>
      <c r="L135" s="218"/>
    </row>
    <row r="136" spans="1:12" ht="14.25">
      <c r="A136" s="218"/>
      <c r="B136" s="238"/>
      <c r="C136" s="944" t="s">
        <v>717</v>
      </c>
      <c r="D136" s="944"/>
      <c r="E136" s="239"/>
      <c r="F136" s="270" t="s">
        <v>731</v>
      </c>
      <c r="G136" s="270"/>
      <c r="H136" s="239"/>
      <c r="I136" s="239"/>
      <c r="J136" s="239" t="s">
        <v>732</v>
      </c>
      <c r="K136" s="240"/>
      <c r="L136" s="218"/>
    </row>
    <row r="137" spans="1:12" ht="14.25">
      <c r="A137" s="218"/>
      <c r="B137" s="233" t="s">
        <v>716</v>
      </c>
      <c r="C137" s="943">
        <f>H134</f>
        <v>11500</v>
      </c>
      <c r="D137" s="943"/>
      <c r="E137" s="278" t="s">
        <v>132</v>
      </c>
      <c r="F137" s="257">
        <v>52.869</v>
      </c>
      <c r="G137" s="278" t="s">
        <v>689</v>
      </c>
      <c r="H137" s="278">
        <v>1000</v>
      </c>
      <c r="I137" s="278" t="s">
        <v>688</v>
      </c>
      <c r="J137" s="258">
        <f>C137*F137/H137</f>
        <v>607.9935</v>
      </c>
      <c r="K137" s="227"/>
      <c r="L137" s="218"/>
    </row>
    <row r="138" spans="1:12" ht="15" thickBot="1">
      <c r="A138" s="218"/>
      <c r="B138" s="228"/>
      <c r="C138" s="259"/>
      <c r="D138" s="259"/>
      <c r="E138" s="242"/>
      <c r="F138" s="260"/>
      <c r="G138" s="242"/>
      <c r="H138" s="242"/>
      <c r="I138" s="242"/>
      <c r="J138" s="261"/>
      <c r="K138" s="230"/>
      <c r="L138" s="218"/>
    </row>
    <row r="139" spans="1:12" ht="40.5" customHeight="1">
      <c r="A139" s="218"/>
      <c r="B139" s="206" t="s">
        <v>680</v>
      </c>
      <c r="C139" s="207"/>
      <c r="D139" s="207"/>
      <c r="E139" s="208"/>
      <c r="F139" s="209"/>
      <c r="G139" s="208"/>
      <c r="H139" s="208"/>
      <c r="I139" s="208"/>
      <c r="J139" s="210"/>
      <c r="K139" s="211"/>
      <c r="L139" s="218"/>
    </row>
    <row r="140" spans="1:12" ht="14.25">
      <c r="A140" s="218"/>
      <c r="B140" s="212" t="s">
        <v>744</v>
      </c>
      <c r="C140" s="213"/>
      <c r="D140" s="213"/>
      <c r="E140" s="214"/>
      <c r="F140" s="215"/>
      <c r="G140" s="214"/>
      <c r="H140" s="214"/>
      <c r="I140" s="214"/>
      <c r="J140" s="216"/>
      <c r="K140" s="217"/>
      <c r="L140" s="218"/>
    </row>
    <row r="141" spans="1:12" ht="14.25">
      <c r="A141" s="218"/>
      <c r="B141" s="233"/>
      <c r="C141" s="269"/>
      <c r="D141" s="269"/>
      <c r="E141" s="278"/>
      <c r="F141" s="262"/>
      <c r="G141" s="278"/>
      <c r="H141" s="278"/>
      <c r="I141" s="278"/>
      <c r="J141" s="258"/>
      <c r="K141" s="227"/>
      <c r="L141" s="218"/>
    </row>
    <row r="142" spans="1:12" ht="14.25">
      <c r="A142" s="218"/>
      <c r="B142" s="212" t="s">
        <v>745</v>
      </c>
      <c r="C142" s="213"/>
      <c r="D142" s="213"/>
      <c r="E142" s="214"/>
      <c r="F142" s="215"/>
      <c r="G142" s="214"/>
      <c r="H142" s="214"/>
      <c r="I142" s="214"/>
      <c r="J142" s="216"/>
      <c r="K142" s="217"/>
      <c r="L142" s="218"/>
    </row>
    <row r="143" spans="1:12" ht="14.25">
      <c r="A143" s="218"/>
      <c r="B143" s="233"/>
      <c r="C143" s="269"/>
      <c r="D143" s="269"/>
      <c r="E143" s="278"/>
      <c r="F143" s="262"/>
      <c r="G143" s="278"/>
      <c r="H143" s="278"/>
      <c r="I143" s="278"/>
      <c r="J143" s="258"/>
      <c r="K143" s="227"/>
      <c r="L143" s="218"/>
    </row>
    <row r="144" spans="1:12" ht="76.5" customHeight="1">
      <c r="A144" s="218"/>
      <c r="B144" s="945" t="s">
        <v>746</v>
      </c>
      <c r="C144" s="946"/>
      <c r="D144" s="946"/>
      <c r="E144" s="946"/>
      <c r="F144" s="946"/>
      <c r="G144" s="946"/>
      <c r="H144" s="946"/>
      <c r="I144" s="946"/>
      <c r="J144" s="946"/>
      <c r="K144" s="947"/>
      <c r="L144" s="218"/>
    </row>
    <row r="145" spans="1:12" ht="15" thickBot="1">
      <c r="A145" s="218"/>
      <c r="B145" s="233"/>
      <c r="C145" s="269"/>
      <c r="D145" s="269"/>
      <c r="E145" s="278"/>
      <c r="F145" s="262"/>
      <c r="G145" s="278"/>
      <c r="H145" s="278"/>
      <c r="I145" s="278"/>
      <c r="J145" s="258"/>
      <c r="K145" s="227"/>
      <c r="L145" s="218"/>
    </row>
    <row r="146" spans="1:12" ht="14.25">
      <c r="A146" s="218"/>
      <c r="B146" s="202" t="s">
        <v>684</v>
      </c>
      <c r="C146" s="263"/>
      <c r="D146" s="263"/>
      <c r="E146" s="264"/>
      <c r="F146" s="265"/>
      <c r="G146" s="264"/>
      <c r="H146" s="264"/>
      <c r="I146" s="264"/>
      <c r="J146" s="266"/>
      <c r="K146" s="223"/>
      <c r="L146" s="218"/>
    </row>
    <row r="147" spans="1:12" ht="14.25">
      <c r="A147" s="218"/>
      <c r="B147" s="233"/>
      <c r="C147" s="943" t="s">
        <v>747</v>
      </c>
      <c r="D147" s="943"/>
      <c r="E147" s="278"/>
      <c r="F147" s="262" t="s">
        <v>748</v>
      </c>
      <c r="G147" s="278"/>
      <c r="H147" s="278"/>
      <c r="I147" s="278"/>
      <c r="J147" s="940" t="s">
        <v>749</v>
      </c>
      <c r="K147" s="948"/>
      <c r="L147" s="218"/>
    </row>
    <row r="148" spans="1:12" ht="14.25">
      <c r="A148" s="218"/>
      <c r="B148" s="233"/>
      <c r="C148" s="939">
        <v>52.869</v>
      </c>
      <c r="D148" s="939"/>
      <c r="E148" s="278" t="s">
        <v>132</v>
      </c>
      <c r="F148" s="273">
        <v>312000000</v>
      </c>
      <c r="G148" s="267" t="s">
        <v>689</v>
      </c>
      <c r="H148" s="278">
        <v>1000</v>
      </c>
      <c r="I148" s="278" t="s">
        <v>688</v>
      </c>
      <c r="J148" s="940">
        <f>C148*(F148/1000)</f>
        <v>16495128</v>
      </c>
      <c r="K148" s="941"/>
      <c r="L148" s="218"/>
    </row>
    <row r="149" spans="1:12" ht="15" thickBot="1">
      <c r="A149" s="218"/>
      <c r="B149" s="228"/>
      <c r="C149" s="259"/>
      <c r="D149" s="259"/>
      <c r="E149" s="242"/>
      <c r="F149" s="260"/>
      <c r="G149" s="242"/>
      <c r="H149" s="242"/>
      <c r="I149" s="242"/>
      <c r="J149" s="261"/>
      <c r="K149" s="230"/>
      <c r="L149" s="218"/>
    </row>
    <row r="150" spans="1:12" ht="15" thickBot="1">
      <c r="A150" s="218"/>
      <c r="B150" s="228"/>
      <c r="C150" s="229"/>
      <c r="D150" s="229"/>
      <c r="E150" s="229"/>
      <c r="F150" s="229"/>
      <c r="G150" s="229"/>
      <c r="H150" s="229"/>
      <c r="I150" s="229"/>
      <c r="J150" s="229"/>
      <c r="K150" s="230"/>
      <c r="L150" s="218"/>
    </row>
    <row r="151" spans="1:12" ht="14.25">
      <c r="A151" s="218"/>
      <c r="B151" s="218"/>
      <c r="C151" s="218"/>
      <c r="D151" s="218"/>
      <c r="E151" s="218"/>
      <c r="F151" s="218"/>
      <c r="G151" s="218"/>
      <c r="H151" s="218"/>
      <c r="I151" s="218"/>
      <c r="J151" s="218"/>
      <c r="K151" s="218"/>
      <c r="L151" s="218"/>
    </row>
    <row r="152" spans="1:12" ht="14.25">
      <c r="A152" s="218"/>
      <c r="B152" s="218"/>
      <c r="C152" s="218"/>
      <c r="D152" s="218"/>
      <c r="E152" s="218"/>
      <c r="F152" s="218"/>
      <c r="G152" s="218"/>
      <c r="H152" s="218"/>
      <c r="I152" s="218"/>
      <c r="J152" s="218"/>
      <c r="K152" s="218"/>
      <c r="L152" s="218"/>
    </row>
    <row r="153" spans="1:12" ht="14.25">
      <c r="A153" s="218"/>
      <c r="B153" s="218"/>
      <c r="C153" s="218"/>
      <c r="D153" s="218"/>
      <c r="E153" s="218"/>
      <c r="F153" s="218"/>
      <c r="G153" s="218"/>
      <c r="H153" s="218"/>
      <c r="I153" s="218"/>
      <c r="J153" s="218"/>
      <c r="K153" s="218"/>
      <c r="L153" s="218"/>
    </row>
    <row r="154" spans="1:12" ht="14.25">
      <c r="A154" s="268"/>
      <c r="B154" s="268"/>
      <c r="C154" s="268"/>
      <c r="D154" s="268"/>
      <c r="E154" s="268"/>
      <c r="F154" s="268"/>
      <c r="G154" s="268"/>
      <c r="H154" s="268"/>
      <c r="I154" s="268"/>
      <c r="J154" s="268"/>
      <c r="K154" s="268"/>
      <c r="L154" s="268"/>
    </row>
    <row r="155" spans="1:12" ht="14.25">
      <c r="A155" s="268"/>
      <c r="B155" s="268"/>
      <c r="C155" s="268"/>
      <c r="D155" s="268"/>
      <c r="E155" s="268"/>
      <c r="F155" s="268"/>
      <c r="G155" s="268"/>
      <c r="H155" s="268"/>
      <c r="I155" s="268"/>
      <c r="J155" s="268"/>
      <c r="K155" s="268"/>
      <c r="L155" s="268"/>
    </row>
    <row r="156" spans="1:12" ht="14.25">
      <c r="A156" s="268"/>
      <c r="B156" s="268"/>
      <c r="C156" s="268"/>
      <c r="D156" s="268"/>
      <c r="E156" s="268"/>
      <c r="F156" s="268"/>
      <c r="G156" s="268"/>
      <c r="H156" s="268"/>
      <c r="I156" s="268"/>
      <c r="J156" s="268"/>
      <c r="K156" s="268"/>
      <c r="L156" s="268"/>
    </row>
    <row r="157" spans="1:12" ht="14.25">
      <c r="A157" s="268"/>
      <c r="B157" s="268"/>
      <c r="C157" s="268"/>
      <c r="D157" s="268"/>
      <c r="E157" s="268"/>
      <c r="F157" s="268"/>
      <c r="G157" s="268"/>
      <c r="H157" s="268"/>
      <c r="I157" s="268"/>
      <c r="J157" s="268"/>
      <c r="K157" s="268"/>
      <c r="L157" s="268"/>
    </row>
    <row r="158" spans="1:12" ht="14.25">
      <c r="A158" s="268"/>
      <c r="B158" s="268"/>
      <c r="C158" s="268"/>
      <c r="D158" s="268"/>
      <c r="E158" s="268"/>
      <c r="F158" s="268"/>
      <c r="G158" s="268"/>
      <c r="H158" s="268"/>
      <c r="I158" s="268"/>
      <c r="J158" s="268"/>
      <c r="K158" s="268"/>
      <c r="L158" s="268"/>
    </row>
    <row r="159" spans="1:12" ht="14.25">
      <c r="A159" s="268"/>
      <c r="B159" s="268"/>
      <c r="C159" s="268"/>
      <c r="D159" s="268"/>
      <c r="E159" s="268"/>
      <c r="F159" s="268"/>
      <c r="G159" s="268"/>
      <c r="H159" s="268"/>
      <c r="I159" s="268"/>
      <c r="J159" s="268"/>
      <c r="K159" s="268"/>
      <c r="L159" s="268"/>
    </row>
    <row r="160" spans="1:12" ht="14.25">
      <c r="A160" s="268"/>
      <c r="B160" s="268"/>
      <c r="C160" s="268"/>
      <c r="D160" s="268"/>
      <c r="E160" s="268"/>
      <c r="F160" s="268"/>
      <c r="G160" s="268"/>
      <c r="H160" s="268"/>
      <c r="I160" s="268"/>
      <c r="J160" s="268"/>
      <c r="K160" s="268"/>
      <c r="L160" s="268"/>
    </row>
    <row r="161" spans="1:12" ht="14.25">
      <c r="A161" s="268"/>
      <c r="B161" s="268"/>
      <c r="C161" s="268"/>
      <c r="D161" s="268"/>
      <c r="E161" s="268"/>
      <c r="F161" s="268"/>
      <c r="G161" s="268"/>
      <c r="H161" s="268"/>
      <c r="I161" s="268"/>
      <c r="J161" s="268"/>
      <c r="K161" s="268"/>
      <c r="L161" s="268"/>
    </row>
    <row r="162" spans="1:12" ht="14.25">
      <c r="A162" s="268"/>
      <c r="B162" s="268"/>
      <c r="C162" s="268"/>
      <c r="D162" s="268"/>
      <c r="E162" s="268"/>
      <c r="F162" s="268"/>
      <c r="G162" s="268"/>
      <c r="H162" s="268"/>
      <c r="I162" s="268"/>
      <c r="J162" s="268"/>
      <c r="K162" s="268"/>
      <c r="L162" s="268"/>
    </row>
    <row r="163" spans="1:12" ht="14.25">
      <c r="A163" s="268"/>
      <c r="B163" s="268"/>
      <c r="C163" s="268"/>
      <c r="D163" s="268"/>
      <c r="E163" s="268"/>
      <c r="F163" s="268"/>
      <c r="G163" s="268"/>
      <c r="H163" s="268"/>
      <c r="I163" s="268"/>
      <c r="J163" s="268"/>
      <c r="K163" s="268"/>
      <c r="L163" s="268"/>
    </row>
    <row r="164" spans="1:12" ht="14.25">
      <c r="A164" s="268"/>
      <c r="B164" s="268"/>
      <c r="C164" s="268"/>
      <c r="D164" s="268"/>
      <c r="E164" s="268"/>
      <c r="F164" s="268"/>
      <c r="G164" s="268"/>
      <c r="H164" s="268"/>
      <c r="I164" s="268"/>
      <c r="J164" s="268"/>
      <c r="K164" s="268"/>
      <c r="L164" s="268"/>
    </row>
    <row r="165" spans="1:12" ht="14.25">
      <c r="A165" s="268"/>
      <c r="B165" s="268"/>
      <c r="C165" s="268"/>
      <c r="D165" s="268"/>
      <c r="E165" s="268"/>
      <c r="F165" s="268"/>
      <c r="G165" s="268"/>
      <c r="H165" s="268"/>
      <c r="I165" s="268"/>
      <c r="J165" s="268"/>
      <c r="K165" s="268"/>
      <c r="L165" s="268"/>
    </row>
    <row r="166" spans="1:12" ht="14.25">
      <c r="A166" s="268"/>
      <c r="B166" s="268"/>
      <c r="C166" s="268"/>
      <c r="D166" s="268"/>
      <c r="E166" s="268"/>
      <c r="F166" s="268"/>
      <c r="G166" s="268"/>
      <c r="H166" s="268"/>
      <c r="I166" s="268"/>
      <c r="J166" s="268"/>
      <c r="K166" s="268"/>
      <c r="L166" s="268"/>
    </row>
    <row r="167" spans="1:12" ht="14.25">
      <c r="A167" s="268"/>
      <c r="B167" s="268"/>
      <c r="C167" s="268"/>
      <c r="D167" s="268"/>
      <c r="E167" s="268"/>
      <c r="F167" s="268"/>
      <c r="G167" s="268"/>
      <c r="H167" s="268"/>
      <c r="I167" s="268"/>
      <c r="J167" s="268"/>
      <c r="K167" s="268"/>
      <c r="L167" s="268"/>
    </row>
    <row r="168" spans="1:12" ht="14.25">
      <c r="A168" s="268"/>
      <c r="B168" s="268"/>
      <c r="C168" s="268"/>
      <c r="D168" s="268"/>
      <c r="E168" s="268"/>
      <c r="F168" s="268"/>
      <c r="G168" s="268"/>
      <c r="H168" s="268"/>
      <c r="I168" s="268"/>
      <c r="J168" s="268"/>
      <c r="K168" s="268"/>
      <c r="L168" s="268"/>
    </row>
    <row r="169" spans="1:12" ht="14.25">
      <c r="A169" s="268"/>
      <c r="B169" s="268"/>
      <c r="C169" s="268"/>
      <c r="D169" s="268"/>
      <c r="E169" s="268"/>
      <c r="F169" s="268"/>
      <c r="G169" s="268"/>
      <c r="H169" s="268"/>
      <c r="I169" s="268"/>
      <c r="J169" s="268"/>
      <c r="K169" s="268"/>
      <c r="L169" s="268"/>
    </row>
    <row r="170" spans="1:12" ht="14.25">
      <c r="A170" s="268"/>
      <c r="B170" s="268"/>
      <c r="C170" s="268"/>
      <c r="D170" s="268"/>
      <c r="E170" s="268"/>
      <c r="F170" s="268"/>
      <c r="G170" s="268"/>
      <c r="H170" s="268"/>
      <c r="I170" s="268"/>
      <c r="J170" s="268"/>
      <c r="K170" s="268"/>
      <c r="L170" s="268"/>
    </row>
    <row r="171" spans="1:12" ht="14.25">
      <c r="A171" s="268"/>
      <c r="B171" s="268"/>
      <c r="C171" s="268"/>
      <c r="D171" s="268"/>
      <c r="E171" s="268"/>
      <c r="F171" s="268"/>
      <c r="G171" s="268"/>
      <c r="H171" s="268"/>
      <c r="I171" s="268"/>
      <c r="J171" s="268"/>
      <c r="K171" s="268"/>
      <c r="L171" s="268"/>
    </row>
    <row r="172" spans="1:12" ht="14.25">
      <c r="A172" s="268"/>
      <c r="B172" s="268"/>
      <c r="C172" s="268"/>
      <c r="D172" s="268"/>
      <c r="E172" s="268"/>
      <c r="F172" s="268"/>
      <c r="G172" s="268"/>
      <c r="H172" s="268"/>
      <c r="I172" s="268"/>
      <c r="J172" s="268"/>
      <c r="K172" s="268"/>
      <c r="L172" s="268"/>
    </row>
    <row r="173" spans="1:12" ht="14.25">
      <c r="A173" s="268"/>
      <c r="B173" s="268"/>
      <c r="C173" s="268"/>
      <c r="D173" s="268"/>
      <c r="E173" s="268"/>
      <c r="F173" s="268"/>
      <c r="G173" s="268"/>
      <c r="H173" s="268"/>
      <c r="I173" s="268"/>
      <c r="J173" s="268"/>
      <c r="K173" s="268"/>
      <c r="L173" s="268"/>
    </row>
    <row r="174" spans="1:12" ht="14.25">
      <c r="A174" s="268"/>
      <c r="B174" s="268"/>
      <c r="C174" s="268"/>
      <c r="D174" s="268"/>
      <c r="E174" s="268"/>
      <c r="F174" s="268"/>
      <c r="G174" s="268"/>
      <c r="H174" s="268"/>
      <c r="I174" s="268"/>
      <c r="J174" s="268"/>
      <c r="K174" s="268"/>
      <c r="L174" s="268"/>
    </row>
    <row r="175" spans="1:12" ht="14.25">
      <c r="A175" s="268"/>
      <c r="B175" s="268"/>
      <c r="C175" s="268"/>
      <c r="D175" s="268"/>
      <c r="E175" s="268"/>
      <c r="F175" s="268"/>
      <c r="G175" s="268"/>
      <c r="H175" s="268"/>
      <c r="I175" s="268"/>
      <c r="J175" s="268"/>
      <c r="K175" s="268"/>
      <c r="L175" s="268"/>
    </row>
    <row r="176" spans="1:12" ht="14.25">
      <c r="A176" s="268"/>
      <c r="B176" s="268"/>
      <c r="C176" s="268"/>
      <c r="D176" s="268"/>
      <c r="E176" s="268"/>
      <c r="F176" s="268"/>
      <c r="G176" s="268"/>
      <c r="H176" s="268"/>
      <c r="I176" s="268"/>
      <c r="J176" s="268"/>
      <c r="K176" s="268"/>
      <c r="L176" s="268"/>
    </row>
    <row r="177" spans="1:12" ht="14.25">
      <c r="A177" s="268"/>
      <c r="B177" s="268"/>
      <c r="C177" s="268"/>
      <c r="D177" s="268"/>
      <c r="E177" s="268"/>
      <c r="F177" s="268"/>
      <c r="G177" s="268"/>
      <c r="H177" s="268"/>
      <c r="I177" s="268"/>
      <c r="J177" s="268"/>
      <c r="K177" s="268"/>
      <c r="L177" s="268"/>
    </row>
    <row r="178" spans="1:12" ht="14.25">
      <c r="A178" s="268"/>
      <c r="B178" s="268"/>
      <c r="C178" s="268"/>
      <c r="D178" s="268"/>
      <c r="E178" s="268"/>
      <c r="F178" s="268"/>
      <c r="G178" s="268"/>
      <c r="H178" s="268"/>
      <c r="I178" s="268"/>
      <c r="J178" s="268"/>
      <c r="K178" s="268"/>
      <c r="L178" s="268"/>
    </row>
    <row r="179" spans="1:12" ht="14.25">
      <c r="A179" s="268"/>
      <c r="B179" s="268"/>
      <c r="C179" s="268"/>
      <c r="D179" s="268"/>
      <c r="E179" s="268"/>
      <c r="F179" s="268"/>
      <c r="G179" s="268"/>
      <c r="H179" s="268"/>
      <c r="I179" s="268"/>
      <c r="J179" s="268"/>
      <c r="K179" s="268"/>
      <c r="L179" s="268"/>
    </row>
    <row r="180" spans="1:12" ht="14.25">
      <c r="A180" s="268"/>
      <c r="B180" s="268"/>
      <c r="C180" s="268"/>
      <c r="D180" s="268"/>
      <c r="E180" s="268"/>
      <c r="F180" s="268"/>
      <c r="G180" s="268"/>
      <c r="H180" s="268"/>
      <c r="I180" s="268"/>
      <c r="J180" s="268"/>
      <c r="K180" s="268"/>
      <c r="L180" s="268"/>
    </row>
    <row r="181" spans="1:12" ht="14.25">
      <c r="A181" s="268"/>
      <c r="B181" s="268"/>
      <c r="C181" s="268"/>
      <c r="D181" s="268"/>
      <c r="E181" s="268"/>
      <c r="F181" s="268"/>
      <c r="G181" s="268"/>
      <c r="H181" s="268"/>
      <c r="I181" s="268"/>
      <c r="J181" s="268"/>
      <c r="K181" s="268"/>
      <c r="L181" s="268"/>
    </row>
    <row r="182" spans="1:12" ht="14.25">
      <c r="A182" s="268"/>
      <c r="B182" s="268"/>
      <c r="C182" s="268"/>
      <c r="D182" s="268"/>
      <c r="E182" s="268"/>
      <c r="F182" s="268"/>
      <c r="G182" s="268"/>
      <c r="H182" s="268"/>
      <c r="I182" s="268"/>
      <c r="J182" s="268"/>
      <c r="K182" s="268"/>
      <c r="L182" s="268"/>
    </row>
    <row r="183" spans="1:12" ht="14.25">
      <c r="A183" s="268"/>
      <c r="B183" s="268"/>
      <c r="C183" s="268"/>
      <c r="D183" s="268"/>
      <c r="E183" s="268"/>
      <c r="F183" s="268"/>
      <c r="G183" s="268"/>
      <c r="H183" s="268"/>
      <c r="I183" s="268"/>
      <c r="J183" s="268"/>
      <c r="K183" s="268"/>
      <c r="L183" s="268"/>
    </row>
    <row r="184" spans="1:12" ht="14.25">
      <c r="A184" s="268"/>
      <c r="B184" s="268"/>
      <c r="C184" s="268"/>
      <c r="D184" s="268"/>
      <c r="E184" s="268"/>
      <c r="F184" s="268"/>
      <c r="G184" s="268"/>
      <c r="H184" s="268"/>
      <c r="I184" s="268"/>
      <c r="J184" s="268"/>
      <c r="K184" s="268"/>
      <c r="L184" s="268"/>
    </row>
    <row r="185" spans="1:12" ht="14.25">
      <c r="A185" s="268"/>
      <c r="B185" s="268"/>
      <c r="C185" s="268"/>
      <c r="D185" s="268"/>
      <c r="E185" s="268"/>
      <c r="F185" s="268"/>
      <c r="G185" s="268"/>
      <c r="H185" s="268"/>
      <c r="I185" s="268"/>
      <c r="J185" s="268"/>
      <c r="K185" s="268"/>
      <c r="L185" s="268"/>
    </row>
    <row r="186" spans="1:12" ht="14.25">
      <c r="A186" s="268"/>
      <c r="B186" s="268"/>
      <c r="C186" s="268"/>
      <c r="D186" s="268"/>
      <c r="E186" s="268"/>
      <c r="F186" s="268"/>
      <c r="G186" s="268"/>
      <c r="H186" s="268"/>
      <c r="I186" s="268"/>
      <c r="J186" s="268"/>
      <c r="K186" s="268"/>
      <c r="L186" s="268"/>
    </row>
    <row r="187" spans="1:12" ht="14.25">
      <c r="A187" s="268"/>
      <c r="B187" s="268"/>
      <c r="C187" s="268"/>
      <c r="D187" s="268"/>
      <c r="E187" s="268"/>
      <c r="F187" s="268"/>
      <c r="G187" s="268"/>
      <c r="H187" s="268"/>
      <c r="I187" s="268"/>
      <c r="J187" s="268"/>
      <c r="K187" s="268"/>
      <c r="L187" s="268"/>
    </row>
    <row r="188" spans="1:12" ht="14.25">
      <c r="A188" s="268"/>
      <c r="B188" s="268"/>
      <c r="C188" s="268"/>
      <c r="D188" s="268"/>
      <c r="E188" s="268"/>
      <c r="F188" s="268"/>
      <c r="G188" s="268"/>
      <c r="H188" s="268"/>
      <c r="I188" s="268"/>
      <c r="J188" s="268"/>
      <c r="K188" s="268"/>
      <c r="L188" s="268"/>
    </row>
    <row r="189" spans="1:12" ht="14.25">
      <c r="A189" s="268"/>
      <c r="B189" s="268"/>
      <c r="C189" s="268"/>
      <c r="D189" s="268"/>
      <c r="E189" s="268"/>
      <c r="F189" s="268"/>
      <c r="G189" s="268"/>
      <c r="H189" s="268"/>
      <c r="I189" s="268"/>
      <c r="J189" s="268"/>
      <c r="K189" s="268"/>
      <c r="L189" s="268"/>
    </row>
    <row r="190" spans="1:12" ht="14.25">
      <c r="A190" s="268"/>
      <c r="B190" s="268"/>
      <c r="C190" s="268"/>
      <c r="D190" s="268"/>
      <c r="E190" s="268"/>
      <c r="F190" s="268"/>
      <c r="G190" s="268"/>
      <c r="H190" s="268"/>
      <c r="I190" s="268"/>
      <c r="J190" s="268"/>
      <c r="K190" s="268"/>
      <c r="L190" s="268"/>
    </row>
    <row r="191" spans="1:12" ht="14.25">
      <c r="A191" s="268"/>
      <c r="B191" s="268"/>
      <c r="C191" s="268"/>
      <c r="D191" s="268"/>
      <c r="E191" s="268"/>
      <c r="F191" s="268"/>
      <c r="G191" s="268"/>
      <c r="H191" s="268"/>
      <c r="I191" s="268"/>
      <c r="J191" s="268"/>
      <c r="K191" s="268"/>
      <c r="L191" s="268"/>
    </row>
    <row r="192" spans="1:12" ht="14.25">
      <c r="A192" s="268"/>
      <c r="B192" s="268"/>
      <c r="C192" s="268"/>
      <c r="D192" s="268"/>
      <c r="E192" s="268"/>
      <c r="F192" s="268"/>
      <c r="G192" s="268"/>
      <c r="H192" s="268"/>
      <c r="I192" s="268"/>
      <c r="J192" s="268"/>
      <c r="K192" s="268"/>
      <c r="L192" s="268"/>
    </row>
    <row r="193" spans="1:12" ht="14.25">
      <c r="A193" s="268"/>
      <c r="B193" s="268"/>
      <c r="C193" s="268"/>
      <c r="D193" s="268"/>
      <c r="E193" s="268"/>
      <c r="F193" s="268"/>
      <c r="G193" s="268"/>
      <c r="H193" s="268"/>
      <c r="I193" s="268"/>
      <c r="J193" s="268"/>
      <c r="K193" s="268"/>
      <c r="L193" s="268"/>
    </row>
    <row r="194" spans="1:12" ht="14.25">
      <c r="A194" s="268"/>
      <c r="B194" s="268"/>
      <c r="C194" s="268"/>
      <c r="D194" s="268"/>
      <c r="E194" s="268"/>
      <c r="F194" s="268"/>
      <c r="G194" s="268"/>
      <c r="H194" s="268"/>
      <c r="I194" s="268"/>
      <c r="J194" s="268"/>
      <c r="K194" s="268"/>
      <c r="L194" s="268"/>
    </row>
    <row r="195" spans="1:12" ht="14.25">
      <c r="A195" s="268"/>
      <c r="B195" s="268"/>
      <c r="C195" s="268"/>
      <c r="D195" s="268"/>
      <c r="E195" s="268"/>
      <c r="F195" s="268"/>
      <c r="G195" s="268"/>
      <c r="H195" s="268"/>
      <c r="I195" s="268"/>
      <c r="J195" s="268"/>
      <c r="K195" s="268"/>
      <c r="L195" s="268"/>
    </row>
    <row r="196" spans="1:12" ht="14.25">
      <c r="A196" s="268"/>
      <c r="B196" s="268"/>
      <c r="C196" s="268"/>
      <c r="D196" s="268"/>
      <c r="E196" s="268"/>
      <c r="F196" s="268"/>
      <c r="G196" s="268"/>
      <c r="H196" s="268"/>
      <c r="I196" s="268"/>
      <c r="J196" s="268"/>
      <c r="K196" s="268"/>
      <c r="L196" s="268"/>
    </row>
    <row r="197" spans="1:12" ht="14.25">
      <c r="A197" s="268"/>
      <c r="B197" s="268"/>
      <c r="C197" s="268"/>
      <c r="D197" s="268"/>
      <c r="E197" s="268"/>
      <c r="F197" s="268"/>
      <c r="G197" s="268"/>
      <c r="H197" s="268"/>
      <c r="I197" s="268"/>
      <c r="J197" s="268"/>
      <c r="K197" s="268"/>
      <c r="L197" s="268"/>
    </row>
    <row r="198" spans="1:12" ht="14.25">
      <c r="A198" s="268"/>
      <c r="B198" s="268"/>
      <c r="C198" s="268"/>
      <c r="D198" s="268"/>
      <c r="E198" s="268"/>
      <c r="F198" s="268"/>
      <c r="G198" s="268"/>
      <c r="H198" s="268"/>
      <c r="I198" s="268"/>
      <c r="J198" s="268"/>
      <c r="K198" s="268"/>
      <c r="L198" s="268"/>
    </row>
    <row r="199" spans="1:12" ht="14.25">
      <c r="A199" s="268"/>
      <c r="B199" s="268"/>
      <c r="C199" s="268"/>
      <c r="D199" s="268"/>
      <c r="E199" s="268"/>
      <c r="F199" s="268"/>
      <c r="G199" s="268"/>
      <c r="H199" s="268"/>
      <c r="I199" s="268"/>
      <c r="J199" s="268"/>
      <c r="K199" s="268"/>
      <c r="L199" s="268"/>
    </row>
    <row r="200" spans="1:12" ht="14.25">
      <c r="A200" s="268"/>
      <c r="B200" s="268"/>
      <c r="C200" s="268"/>
      <c r="D200" s="268"/>
      <c r="E200" s="268"/>
      <c r="F200" s="268"/>
      <c r="G200" s="268"/>
      <c r="H200" s="268"/>
      <c r="I200" s="268"/>
      <c r="J200" s="268"/>
      <c r="K200" s="268"/>
      <c r="L200" s="268"/>
    </row>
    <row r="201" spans="1:12" ht="14.25">
      <c r="A201" s="268"/>
      <c r="B201" s="268"/>
      <c r="C201" s="268"/>
      <c r="D201" s="268"/>
      <c r="E201" s="268"/>
      <c r="F201" s="268"/>
      <c r="G201" s="268"/>
      <c r="H201" s="268"/>
      <c r="I201" s="268"/>
      <c r="J201" s="268"/>
      <c r="K201" s="268"/>
      <c r="L201" s="268"/>
    </row>
    <row r="202" spans="1:12" ht="14.25">
      <c r="A202" s="268"/>
      <c r="B202" s="268"/>
      <c r="C202" s="268"/>
      <c r="D202" s="268"/>
      <c r="E202" s="268"/>
      <c r="F202" s="268"/>
      <c r="G202" s="268"/>
      <c r="H202" s="268"/>
      <c r="I202" s="268"/>
      <c r="J202" s="268"/>
      <c r="K202" s="268"/>
      <c r="L202" s="268"/>
    </row>
    <row r="203" spans="1:12" ht="14.25">
      <c r="A203" s="268"/>
      <c r="B203" s="268"/>
      <c r="C203" s="268"/>
      <c r="D203" s="268"/>
      <c r="E203" s="268"/>
      <c r="F203" s="268"/>
      <c r="G203" s="268"/>
      <c r="H203" s="268"/>
      <c r="I203" s="268"/>
      <c r="J203" s="268"/>
      <c r="K203" s="268"/>
      <c r="L203" s="268"/>
    </row>
    <row r="204" spans="1:12" ht="14.25">
      <c r="A204" s="268"/>
      <c r="B204" s="268"/>
      <c r="C204" s="268"/>
      <c r="D204" s="268"/>
      <c r="E204" s="268"/>
      <c r="F204" s="268"/>
      <c r="G204" s="268"/>
      <c r="H204" s="268"/>
      <c r="I204" s="268"/>
      <c r="J204" s="268"/>
      <c r="K204" s="268"/>
      <c r="L204" s="268"/>
    </row>
    <row r="205" spans="1:12" ht="14.25">
      <c r="A205" s="268"/>
      <c r="B205" s="268"/>
      <c r="C205" s="268"/>
      <c r="D205" s="268"/>
      <c r="E205" s="268"/>
      <c r="F205" s="268"/>
      <c r="G205" s="268"/>
      <c r="H205" s="268"/>
      <c r="I205" s="268"/>
      <c r="J205" s="268"/>
      <c r="K205" s="268"/>
      <c r="L205" s="268"/>
    </row>
    <row r="206" spans="1:12" ht="14.25">
      <c r="A206" s="268"/>
      <c r="B206" s="268"/>
      <c r="C206" s="268"/>
      <c r="D206" s="268"/>
      <c r="E206" s="268"/>
      <c r="F206" s="268"/>
      <c r="G206" s="268"/>
      <c r="H206" s="268"/>
      <c r="I206" s="268"/>
      <c r="J206" s="268"/>
      <c r="K206" s="268"/>
      <c r="L206" s="268"/>
    </row>
    <row r="207" spans="1:12" ht="14.25">
      <c r="A207" s="268"/>
      <c r="B207" s="268"/>
      <c r="C207" s="268"/>
      <c r="D207" s="268"/>
      <c r="E207" s="268"/>
      <c r="F207" s="268"/>
      <c r="G207" s="268"/>
      <c r="H207" s="268"/>
      <c r="I207" s="268"/>
      <c r="J207" s="268"/>
      <c r="K207" s="268"/>
      <c r="L207" s="268"/>
    </row>
    <row r="208" spans="1:12" ht="14.25">
      <c r="A208" s="268"/>
      <c r="B208" s="268"/>
      <c r="C208" s="268"/>
      <c r="D208" s="268"/>
      <c r="E208" s="268"/>
      <c r="F208" s="268"/>
      <c r="G208" s="268"/>
      <c r="H208" s="268"/>
      <c r="I208" s="268"/>
      <c r="J208" s="268"/>
      <c r="K208" s="268"/>
      <c r="L208" s="268"/>
    </row>
    <row r="209" spans="1:12" ht="14.25">
      <c r="A209" s="268"/>
      <c r="B209" s="268"/>
      <c r="C209" s="268"/>
      <c r="D209" s="268"/>
      <c r="E209" s="268"/>
      <c r="F209" s="268"/>
      <c r="G209" s="268"/>
      <c r="H209" s="268"/>
      <c r="I209" s="268"/>
      <c r="J209" s="268"/>
      <c r="K209" s="268"/>
      <c r="L209" s="268"/>
    </row>
    <row r="210" spans="1:12" ht="14.25">
      <c r="A210" s="268"/>
      <c r="B210" s="268"/>
      <c r="C210" s="268"/>
      <c r="D210" s="268"/>
      <c r="E210" s="268"/>
      <c r="F210" s="268"/>
      <c r="G210" s="268"/>
      <c r="H210" s="268"/>
      <c r="I210" s="268"/>
      <c r="J210" s="268"/>
      <c r="K210" s="268"/>
      <c r="L210" s="268"/>
    </row>
    <row r="211" spans="1:12" ht="14.25">
      <c r="A211" s="268"/>
      <c r="B211" s="268"/>
      <c r="C211" s="268"/>
      <c r="D211" s="268"/>
      <c r="E211" s="268"/>
      <c r="F211" s="268"/>
      <c r="G211" s="268"/>
      <c r="H211" s="268"/>
      <c r="I211" s="268"/>
      <c r="J211" s="268"/>
      <c r="K211" s="268"/>
      <c r="L211" s="268"/>
    </row>
    <row r="212" spans="1:12" ht="14.25">
      <c r="A212" s="268"/>
      <c r="B212" s="268"/>
      <c r="C212" s="268"/>
      <c r="D212" s="268"/>
      <c r="E212" s="268"/>
      <c r="F212" s="268"/>
      <c r="G212" s="268"/>
      <c r="H212" s="268"/>
      <c r="I212" s="268"/>
      <c r="J212" s="268"/>
      <c r="K212" s="268"/>
      <c r="L212" s="268"/>
    </row>
    <row r="213" spans="1:12" ht="14.25">
      <c r="A213" s="268"/>
      <c r="B213" s="268"/>
      <c r="C213" s="268"/>
      <c r="D213" s="268"/>
      <c r="E213" s="268"/>
      <c r="F213" s="268"/>
      <c r="G213" s="268"/>
      <c r="H213" s="268"/>
      <c r="I213" s="268"/>
      <c r="J213" s="268"/>
      <c r="K213" s="268"/>
      <c r="L213" s="268"/>
    </row>
    <row r="214" spans="1:12" ht="14.25">
      <c r="A214" s="268"/>
      <c r="B214" s="268"/>
      <c r="C214" s="268"/>
      <c r="D214" s="268"/>
      <c r="E214" s="268"/>
      <c r="F214" s="268"/>
      <c r="G214" s="268"/>
      <c r="H214" s="268"/>
      <c r="I214" s="268"/>
      <c r="J214" s="268"/>
      <c r="K214" s="268"/>
      <c r="L214" s="268"/>
    </row>
    <row r="215" spans="1:12" ht="14.25">
      <c r="A215" s="268"/>
      <c r="B215" s="268"/>
      <c r="C215" s="268"/>
      <c r="D215" s="268"/>
      <c r="E215" s="268"/>
      <c r="F215" s="268"/>
      <c r="G215" s="268"/>
      <c r="H215" s="268"/>
      <c r="I215" s="268"/>
      <c r="J215" s="268"/>
      <c r="K215" s="268"/>
      <c r="L215" s="268"/>
    </row>
    <row r="216" spans="1:12" ht="14.25">
      <c r="A216" s="268"/>
      <c r="B216" s="268"/>
      <c r="C216" s="268"/>
      <c r="D216" s="268"/>
      <c r="E216" s="268"/>
      <c r="F216" s="268"/>
      <c r="G216" s="268"/>
      <c r="H216" s="268"/>
      <c r="I216" s="268"/>
      <c r="J216" s="268"/>
      <c r="K216" s="268"/>
      <c r="L216" s="268"/>
    </row>
    <row r="217" spans="1:12" ht="14.25">
      <c r="A217" s="268"/>
      <c r="B217" s="268"/>
      <c r="C217" s="268"/>
      <c r="D217" s="268"/>
      <c r="E217" s="268"/>
      <c r="F217" s="268"/>
      <c r="G217" s="268"/>
      <c r="H217" s="268"/>
      <c r="I217" s="268"/>
      <c r="J217" s="268"/>
      <c r="K217" s="268"/>
      <c r="L217" s="268"/>
    </row>
    <row r="218" spans="1:12" ht="14.25">
      <c r="A218" s="268"/>
      <c r="B218" s="268"/>
      <c r="C218" s="268"/>
      <c r="D218" s="268"/>
      <c r="E218" s="268"/>
      <c r="F218" s="268"/>
      <c r="G218" s="268"/>
      <c r="H218" s="268"/>
      <c r="I218" s="268"/>
      <c r="J218" s="268"/>
      <c r="K218" s="268"/>
      <c r="L218" s="268"/>
    </row>
    <row r="219" spans="1:12" ht="14.25">
      <c r="A219" s="268"/>
      <c r="B219" s="268"/>
      <c r="C219" s="268"/>
      <c r="D219" s="268"/>
      <c r="E219" s="268"/>
      <c r="F219" s="268"/>
      <c r="G219" s="268"/>
      <c r="H219" s="268"/>
      <c r="I219" s="268"/>
      <c r="J219" s="268"/>
      <c r="K219" s="268"/>
      <c r="L219" s="268"/>
    </row>
    <row r="220" spans="1:12" ht="14.25">
      <c r="A220" s="268"/>
      <c r="B220" s="268"/>
      <c r="C220" s="268"/>
      <c r="D220" s="268"/>
      <c r="E220" s="268"/>
      <c r="F220" s="268"/>
      <c r="G220" s="268"/>
      <c r="H220" s="268"/>
      <c r="I220" s="268"/>
      <c r="J220" s="268"/>
      <c r="K220" s="268"/>
      <c r="L220" s="268"/>
    </row>
    <row r="221" spans="1:12" ht="14.25">
      <c r="A221" s="268"/>
      <c r="B221" s="268"/>
      <c r="C221" s="268"/>
      <c r="D221" s="268"/>
      <c r="E221" s="268"/>
      <c r="F221" s="268"/>
      <c r="G221" s="268"/>
      <c r="H221" s="268"/>
      <c r="I221" s="268"/>
      <c r="J221" s="268"/>
      <c r="K221" s="268"/>
      <c r="L221" s="268"/>
    </row>
    <row r="222" spans="1:12" ht="14.25">
      <c r="A222" s="268"/>
      <c r="B222" s="268"/>
      <c r="C222" s="268"/>
      <c r="D222" s="268"/>
      <c r="E222" s="268"/>
      <c r="F222" s="268"/>
      <c r="G222" s="268"/>
      <c r="H222" s="268"/>
      <c r="I222" s="268"/>
      <c r="J222" s="268"/>
      <c r="K222" s="268"/>
      <c r="L222" s="268"/>
    </row>
    <row r="223" spans="1:12" ht="14.25">
      <c r="A223" s="268"/>
      <c r="B223" s="268"/>
      <c r="C223" s="268"/>
      <c r="D223" s="268"/>
      <c r="E223" s="268"/>
      <c r="F223" s="268"/>
      <c r="G223" s="268"/>
      <c r="H223" s="268"/>
      <c r="I223" s="268"/>
      <c r="J223" s="268"/>
      <c r="K223" s="268"/>
      <c r="L223" s="268"/>
    </row>
    <row r="224" spans="1:12" ht="14.25">
      <c r="A224" s="268"/>
      <c r="B224" s="268"/>
      <c r="C224" s="268"/>
      <c r="D224" s="268"/>
      <c r="E224" s="268"/>
      <c r="F224" s="268"/>
      <c r="G224" s="268"/>
      <c r="H224" s="268"/>
      <c r="I224" s="268"/>
      <c r="J224" s="268"/>
      <c r="K224" s="268"/>
      <c r="L224" s="268"/>
    </row>
    <row r="225" spans="1:12" ht="14.25">
      <c r="A225" s="268"/>
      <c r="B225" s="268"/>
      <c r="C225" s="268"/>
      <c r="D225" s="268"/>
      <c r="E225" s="268"/>
      <c r="F225" s="268"/>
      <c r="G225" s="268"/>
      <c r="H225" s="268"/>
      <c r="I225" s="268"/>
      <c r="J225" s="268"/>
      <c r="K225" s="268"/>
      <c r="L225" s="268"/>
    </row>
    <row r="226" spans="1:12" ht="14.25">
      <c r="A226" s="268"/>
      <c r="B226" s="268"/>
      <c r="C226" s="268"/>
      <c r="D226" s="268"/>
      <c r="E226" s="268"/>
      <c r="F226" s="268"/>
      <c r="G226" s="268"/>
      <c r="H226" s="268"/>
      <c r="I226" s="268"/>
      <c r="J226" s="268"/>
      <c r="K226" s="268"/>
      <c r="L226" s="268"/>
    </row>
    <row r="227" spans="1:12" ht="14.25">
      <c r="A227" s="268"/>
      <c r="B227" s="268"/>
      <c r="C227" s="268"/>
      <c r="D227" s="268"/>
      <c r="E227" s="268"/>
      <c r="F227" s="268"/>
      <c r="G227" s="268"/>
      <c r="H227" s="268"/>
      <c r="I227" s="268"/>
      <c r="J227" s="268"/>
      <c r="K227" s="268"/>
      <c r="L227" s="268"/>
    </row>
    <row r="228" spans="1:12" ht="14.25">
      <c r="A228" s="268"/>
      <c r="B228" s="268"/>
      <c r="C228" s="268"/>
      <c r="D228" s="268"/>
      <c r="E228" s="268"/>
      <c r="F228" s="268"/>
      <c r="G228" s="268"/>
      <c r="H228" s="268"/>
      <c r="I228" s="268"/>
      <c r="J228" s="268"/>
      <c r="K228" s="268"/>
      <c r="L228" s="268"/>
    </row>
    <row r="229" spans="1:12" ht="14.25">
      <c r="A229" s="268"/>
      <c r="B229" s="268"/>
      <c r="C229" s="268"/>
      <c r="D229" s="268"/>
      <c r="E229" s="268"/>
      <c r="F229" s="268"/>
      <c r="G229" s="268"/>
      <c r="H229" s="268"/>
      <c r="I229" s="268"/>
      <c r="J229" s="268"/>
      <c r="K229" s="268"/>
      <c r="L229" s="268"/>
    </row>
    <row r="230" spans="1:12" ht="14.25">
      <c r="A230" s="268"/>
      <c r="B230" s="268"/>
      <c r="C230" s="268"/>
      <c r="D230" s="268"/>
      <c r="E230" s="268"/>
      <c r="F230" s="268"/>
      <c r="G230" s="268"/>
      <c r="H230" s="268"/>
      <c r="I230" s="268"/>
      <c r="J230" s="268"/>
      <c r="K230" s="268"/>
      <c r="L230" s="268"/>
    </row>
    <row r="231" spans="1:12" ht="14.25">
      <c r="A231" s="268"/>
      <c r="B231" s="268"/>
      <c r="C231" s="268"/>
      <c r="D231" s="268"/>
      <c r="E231" s="268"/>
      <c r="F231" s="268"/>
      <c r="G231" s="268"/>
      <c r="H231" s="268"/>
      <c r="I231" s="268"/>
      <c r="J231" s="268"/>
      <c r="K231" s="268"/>
      <c r="L231" s="268"/>
    </row>
    <row r="232" spans="1:12" ht="14.25">
      <c r="A232" s="268"/>
      <c r="B232" s="268"/>
      <c r="C232" s="268"/>
      <c r="D232" s="268"/>
      <c r="E232" s="268"/>
      <c r="F232" s="268"/>
      <c r="G232" s="268"/>
      <c r="H232" s="268"/>
      <c r="I232" s="268"/>
      <c r="J232" s="268"/>
      <c r="K232" s="268"/>
      <c r="L232" s="268"/>
    </row>
    <row r="233" spans="1:12" ht="14.25">
      <c r="A233" s="268"/>
      <c r="B233" s="268"/>
      <c r="C233" s="268"/>
      <c r="D233" s="268"/>
      <c r="E233" s="268"/>
      <c r="F233" s="268"/>
      <c r="G233" s="268"/>
      <c r="H233" s="268"/>
      <c r="I233" s="268"/>
      <c r="J233" s="268"/>
      <c r="K233" s="268"/>
      <c r="L233" s="268"/>
    </row>
    <row r="234" spans="1:12" ht="14.25">
      <c r="A234" s="268"/>
      <c r="B234" s="268"/>
      <c r="C234" s="268"/>
      <c r="D234" s="268"/>
      <c r="E234" s="268"/>
      <c r="F234" s="268"/>
      <c r="G234" s="268"/>
      <c r="H234" s="268"/>
      <c r="I234" s="268"/>
      <c r="J234" s="268"/>
      <c r="K234" s="268"/>
      <c r="L234" s="268"/>
    </row>
    <row r="235" spans="1:12" ht="14.25">
      <c r="A235" s="268"/>
      <c r="B235" s="268"/>
      <c r="C235" s="268"/>
      <c r="D235" s="268"/>
      <c r="E235" s="268"/>
      <c r="F235" s="268"/>
      <c r="G235" s="268"/>
      <c r="H235" s="268"/>
      <c r="I235" s="268"/>
      <c r="J235" s="268"/>
      <c r="K235" s="268"/>
      <c r="L235" s="268"/>
    </row>
    <row r="236" spans="1:12" ht="14.25">
      <c r="A236" s="268"/>
      <c r="B236" s="268"/>
      <c r="C236" s="268"/>
      <c r="D236" s="268"/>
      <c r="E236" s="268"/>
      <c r="F236" s="268"/>
      <c r="G236" s="268"/>
      <c r="H236" s="268"/>
      <c r="I236" s="268"/>
      <c r="J236" s="268"/>
      <c r="K236" s="268"/>
      <c r="L236" s="268"/>
    </row>
    <row r="237" spans="1:12" ht="14.25">
      <c r="A237" s="268"/>
      <c r="B237" s="268"/>
      <c r="C237" s="268"/>
      <c r="D237" s="268"/>
      <c r="E237" s="268"/>
      <c r="F237" s="268"/>
      <c r="G237" s="268"/>
      <c r="H237" s="268"/>
      <c r="I237" s="268"/>
      <c r="J237" s="268"/>
      <c r="K237" s="268"/>
      <c r="L237" s="268"/>
    </row>
    <row r="238" spans="1:12" ht="14.25">
      <c r="A238" s="268"/>
      <c r="B238" s="268"/>
      <c r="C238" s="268"/>
      <c r="D238" s="268"/>
      <c r="E238" s="268"/>
      <c r="F238" s="268"/>
      <c r="G238" s="268"/>
      <c r="H238" s="268"/>
      <c r="I238" s="268"/>
      <c r="J238" s="268"/>
      <c r="K238" s="268"/>
      <c r="L238" s="268"/>
    </row>
    <row r="239" spans="1:12" ht="14.25">
      <c r="A239" s="268"/>
      <c r="B239" s="268"/>
      <c r="C239" s="268"/>
      <c r="D239" s="268"/>
      <c r="E239" s="268"/>
      <c r="F239" s="268"/>
      <c r="G239" s="268"/>
      <c r="H239" s="268"/>
      <c r="I239" s="268"/>
      <c r="J239" s="268"/>
      <c r="K239" s="268"/>
      <c r="L239" s="268"/>
    </row>
    <row r="240" spans="1:12" ht="14.25">
      <c r="A240" s="268"/>
      <c r="B240" s="268"/>
      <c r="C240" s="268"/>
      <c r="D240" s="268"/>
      <c r="E240" s="268"/>
      <c r="F240" s="268"/>
      <c r="G240" s="268"/>
      <c r="H240" s="268"/>
      <c r="I240" s="268"/>
      <c r="J240" s="268"/>
      <c r="K240" s="268"/>
      <c r="L240" s="268"/>
    </row>
    <row r="241" spans="1:12" ht="14.25">
      <c r="A241" s="268"/>
      <c r="B241" s="268"/>
      <c r="C241" s="268"/>
      <c r="D241" s="268"/>
      <c r="E241" s="268"/>
      <c r="F241" s="268"/>
      <c r="G241" s="268"/>
      <c r="H241" s="268"/>
      <c r="I241" s="268"/>
      <c r="J241" s="268"/>
      <c r="K241" s="268"/>
      <c r="L241" s="268"/>
    </row>
    <row r="242" spans="1:12" ht="14.25">
      <c r="A242" s="268"/>
      <c r="B242" s="268"/>
      <c r="C242" s="268"/>
      <c r="D242" s="268"/>
      <c r="E242" s="268"/>
      <c r="F242" s="268"/>
      <c r="G242" s="268"/>
      <c r="H242" s="268"/>
      <c r="I242" s="268"/>
      <c r="J242" s="268"/>
      <c r="K242" s="268"/>
      <c r="L242" s="268"/>
    </row>
    <row r="243" spans="1:12" ht="14.25">
      <c r="A243" s="268"/>
      <c r="B243" s="268"/>
      <c r="C243" s="268"/>
      <c r="D243" s="268"/>
      <c r="E243" s="268"/>
      <c r="F243" s="268"/>
      <c r="G243" s="268"/>
      <c r="H243" s="268"/>
      <c r="I243" s="268"/>
      <c r="J243" s="268"/>
      <c r="K243" s="268"/>
      <c r="L243" s="268"/>
    </row>
    <row r="244" spans="1:12" ht="14.25">
      <c r="A244" s="268"/>
      <c r="B244" s="268"/>
      <c r="C244" s="268"/>
      <c r="D244" s="268"/>
      <c r="E244" s="268"/>
      <c r="F244" s="268"/>
      <c r="G244" s="268"/>
      <c r="H244" s="268"/>
      <c r="I244" s="268"/>
      <c r="J244" s="268"/>
      <c r="K244" s="268"/>
      <c r="L244" s="268"/>
    </row>
    <row r="245" spans="1:12" ht="14.25">
      <c r="A245" s="268"/>
      <c r="B245" s="268"/>
      <c r="C245" s="268"/>
      <c r="D245" s="268"/>
      <c r="E245" s="268"/>
      <c r="F245" s="268"/>
      <c r="G245" s="268"/>
      <c r="H245" s="268"/>
      <c r="I245" s="268"/>
      <c r="J245" s="268"/>
      <c r="K245" s="268"/>
      <c r="L245" s="268"/>
    </row>
    <row r="246" spans="1:12" ht="14.25">
      <c r="A246" s="268"/>
      <c r="B246" s="268"/>
      <c r="C246" s="268"/>
      <c r="D246" s="268"/>
      <c r="E246" s="268"/>
      <c r="F246" s="268"/>
      <c r="G246" s="268"/>
      <c r="H246" s="268"/>
      <c r="I246" s="268"/>
      <c r="J246" s="268"/>
      <c r="K246" s="268"/>
      <c r="L246" s="268"/>
    </row>
    <row r="247" spans="1:12" ht="14.25">
      <c r="A247" s="268"/>
      <c r="B247" s="268"/>
      <c r="C247" s="268"/>
      <c r="D247" s="268"/>
      <c r="E247" s="268"/>
      <c r="F247" s="268"/>
      <c r="G247" s="268"/>
      <c r="H247" s="268"/>
      <c r="I247" s="268"/>
      <c r="J247" s="268"/>
      <c r="K247" s="268"/>
      <c r="L247" s="268"/>
    </row>
    <row r="248" spans="1:12" ht="14.25">
      <c r="A248" s="268"/>
      <c r="B248" s="268"/>
      <c r="C248" s="268"/>
      <c r="D248" s="268"/>
      <c r="E248" s="268"/>
      <c r="F248" s="268"/>
      <c r="G248" s="268"/>
      <c r="H248" s="268"/>
      <c r="I248" s="268"/>
      <c r="J248" s="268"/>
      <c r="K248" s="268"/>
      <c r="L248" s="268"/>
    </row>
    <row r="249" spans="1:12" ht="14.25">
      <c r="A249" s="268"/>
      <c r="B249" s="268"/>
      <c r="C249" s="268"/>
      <c r="D249" s="268"/>
      <c r="E249" s="268"/>
      <c r="F249" s="268"/>
      <c r="G249" s="268"/>
      <c r="H249" s="268"/>
      <c r="I249" s="268"/>
      <c r="J249" s="268"/>
      <c r="K249" s="268"/>
      <c r="L249" s="268"/>
    </row>
    <row r="250" spans="1:12" ht="14.25">
      <c r="A250" s="268"/>
      <c r="B250" s="268"/>
      <c r="C250" s="268"/>
      <c r="D250" s="268"/>
      <c r="E250" s="268"/>
      <c r="F250" s="268"/>
      <c r="G250" s="268"/>
      <c r="H250" s="268"/>
      <c r="I250" s="268"/>
      <c r="J250" s="268"/>
      <c r="K250" s="268"/>
      <c r="L250" s="268"/>
    </row>
    <row r="251" spans="1:12" ht="14.25">
      <c r="A251" s="268"/>
      <c r="B251" s="268"/>
      <c r="C251" s="268"/>
      <c r="D251" s="268"/>
      <c r="E251" s="268"/>
      <c r="F251" s="268"/>
      <c r="G251" s="268"/>
      <c r="H251" s="268"/>
      <c r="I251" s="268"/>
      <c r="J251" s="268"/>
      <c r="K251" s="268"/>
      <c r="L251" s="268"/>
    </row>
    <row r="252" spans="1:12" ht="14.25">
      <c r="A252" s="268"/>
      <c r="B252" s="268"/>
      <c r="C252" s="268"/>
      <c r="D252" s="268"/>
      <c r="E252" s="268"/>
      <c r="F252" s="268"/>
      <c r="G252" s="268"/>
      <c r="H252" s="268"/>
      <c r="I252" s="268"/>
      <c r="J252" s="268"/>
      <c r="K252" s="268"/>
      <c r="L252" s="268"/>
    </row>
    <row r="253" spans="1:12" ht="14.25">
      <c r="A253" s="268"/>
      <c r="B253" s="268"/>
      <c r="C253" s="268"/>
      <c r="D253" s="268"/>
      <c r="E253" s="268"/>
      <c r="F253" s="268"/>
      <c r="G253" s="268"/>
      <c r="H253" s="268"/>
      <c r="I253" s="268"/>
      <c r="J253" s="268"/>
      <c r="K253" s="268"/>
      <c r="L253" s="268"/>
    </row>
    <row r="254" spans="1:12" ht="14.25">
      <c r="A254" s="268"/>
      <c r="B254" s="268"/>
      <c r="C254" s="268"/>
      <c r="D254" s="268"/>
      <c r="E254" s="268"/>
      <c r="F254" s="268"/>
      <c r="G254" s="268"/>
      <c r="H254" s="268"/>
      <c r="I254" s="268"/>
      <c r="J254" s="268"/>
      <c r="K254" s="268"/>
      <c r="L254" s="268"/>
    </row>
    <row r="255" spans="1:12" ht="14.25">
      <c r="A255" s="268"/>
      <c r="B255" s="268"/>
      <c r="C255" s="268"/>
      <c r="D255" s="268"/>
      <c r="E255" s="268"/>
      <c r="F255" s="268"/>
      <c r="G255" s="268"/>
      <c r="H255" s="268"/>
      <c r="I255" s="268"/>
      <c r="J255" s="268"/>
      <c r="K255" s="268"/>
      <c r="L255" s="268"/>
    </row>
    <row r="256" spans="1:12" ht="14.25">
      <c r="A256" s="268"/>
      <c r="B256" s="268"/>
      <c r="C256" s="268"/>
      <c r="D256" s="268"/>
      <c r="E256" s="268"/>
      <c r="F256" s="268"/>
      <c r="G256" s="268"/>
      <c r="H256" s="268"/>
      <c r="I256" s="268"/>
      <c r="J256" s="268"/>
      <c r="K256" s="268"/>
      <c r="L256" s="268"/>
    </row>
    <row r="257" spans="1:12" ht="14.25">
      <c r="A257" s="268"/>
      <c r="B257" s="268"/>
      <c r="C257" s="268"/>
      <c r="D257" s="268"/>
      <c r="E257" s="268"/>
      <c r="F257" s="268"/>
      <c r="G257" s="268"/>
      <c r="H257" s="268"/>
      <c r="I257" s="268"/>
      <c r="J257" s="268"/>
      <c r="K257" s="268"/>
      <c r="L257" s="268"/>
    </row>
    <row r="258" spans="1:12" ht="14.25">
      <c r="A258" s="268"/>
      <c r="B258" s="268"/>
      <c r="C258" s="268"/>
      <c r="D258" s="268"/>
      <c r="E258" s="268"/>
      <c r="F258" s="268"/>
      <c r="G258" s="268"/>
      <c r="H258" s="268"/>
      <c r="I258" s="268"/>
      <c r="J258" s="268"/>
      <c r="K258" s="268"/>
      <c r="L258" s="268"/>
    </row>
    <row r="259" spans="1:12" ht="14.25">
      <c r="A259" s="268"/>
      <c r="B259" s="268"/>
      <c r="C259" s="268"/>
      <c r="D259" s="268"/>
      <c r="E259" s="268"/>
      <c r="F259" s="268"/>
      <c r="G259" s="268"/>
      <c r="H259" s="268"/>
      <c r="I259" s="268"/>
      <c r="J259" s="268"/>
      <c r="K259" s="268"/>
      <c r="L259" s="268"/>
    </row>
    <row r="260" spans="1:12" ht="14.25">
      <c r="A260" s="268"/>
      <c r="B260" s="268"/>
      <c r="C260" s="268"/>
      <c r="D260" s="268"/>
      <c r="E260" s="268"/>
      <c r="F260" s="268"/>
      <c r="G260" s="268"/>
      <c r="H260" s="268"/>
      <c r="I260" s="268"/>
      <c r="J260" s="268"/>
      <c r="K260" s="268"/>
      <c r="L260" s="268"/>
    </row>
    <row r="261" spans="1:12" ht="14.25">
      <c r="A261" s="268"/>
      <c r="B261" s="268"/>
      <c r="C261" s="268"/>
      <c r="D261" s="268"/>
      <c r="E261" s="268"/>
      <c r="F261" s="268"/>
      <c r="G261" s="268"/>
      <c r="H261" s="268"/>
      <c r="I261" s="268"/>
      <c r="J261" s="268"/>
      <c r="K261" s="268"/>
      <c r="L261" s="268"/>
    </row>
    <row r="262" spans="1:12" ht="14.25">
      <c r="A262" s="268"/>
      <c r="B262" s="268"/>
      <c r="C262" s="268"/>
      <c r="D262" s="268"/>
      <c r="E262" s="268"/>
      <c r="F262" s="268"/>
      <c r="G262" s="268"/>
      <c r="H262" s="268"/>
      <c r="I262" s="268"/>
      <c r="J262" s="268"/>
      <c r="K262" s="268"/>
      <c r="L262" s="268"/>
    </row>
    <row r="263" spans="1:12" ht="14.25">
      <c r="A263" s="268"/>
      <c r="B263" s="268"/>
      <c r="C263" s="268"/>
      <c r="D263" s="268"/>
      <c r="E263" s="268"/>
      <c r="F263" s="268"/>
      <c r="G263" s="268"/>
      <c r="H263" s="268"/>
      <c r="I263" s="268"/>
      <c r="J263" s="268"/>
      <c r="K263" s="268"/>
      <c r="L263" s="268"/>
    </row>
    <row r="264" spans="1:12" ht="14.25">
      <c r="A264" s="268"/>
      <c r="B264" s="268"/>
      <c r="C264" s="268"/>
      <c r="D264" s="268"/>
      <c r="E264" s="268"/>
      <c r="F264" s="268"/>
      <c r="G264" s="268"/>
      <c r="H264" s="268"/>
      <c r="I264" s="268"/>
      <c r="J264" s="268"/>
      <c r="K264" s="268"/>
      <c r="L264" s="268"/>
    </row>
    <row r="265" spans="1:12" ht="14.25">
      <c r="A265" s="268"/>
      <c r="B265" s="268"/>
      <c r="C265" s="268"/>
      <c r="D265" s="268"/>
      <c r="E265" s="268"/>
      <c r="F265" s="268"/>
      <c r="G265" s="268"/>
      <c r="H265" s="268"/>
      <c r="I265" s="268"/>
      <c r="J265" s="268"/>
      <c r="K265" s="268"/>
      <c r="L265" s="268"/>
    </row>
    <row r="266" spans="1:12" ht="14.25">
      <c r="A266" s="268"/>
      <c r="B266" s="268"/>
      <c r="C266" s="268"/>
      <c r="D266" s="268"/>
      <c r="E266" s="268"/>
      <c r="F266" s="268"/>
      <c r="G266" s="268"/>
      <c r="H266" s="268"/>
      <c r="I266" s="268"/>
      <c r="J266" s="268"/>
      <c r="K266" s="268"/>
      <c r="L266" s="268"/>
    </row>
    <row r="267" spans="1:12" ht="14.25">
      <c r="A267" s="268"/>
      <c r="B267" s="268"/>
      <c r="C267" s="268"/>
      <c r="D267" s="268"/>
      <c r="E267" s="268"/>
      <c r="F267" s="268"/>
      <c r="G267" s="268"/>
      <c r="H267" s="268"/>
      <c r="I267" s="268"/>
      <c r="J267" s="268"/>
      <c r="K267" s="268"/>
      <c r="L267" s="268"/>
    </row>
    <row r="268" spans="1:12" ht="14.25">
      <c r="A268" s="268"/>
      <c r="B268" s="268"/>
      <c r="C268" s="268"/>
      <c r="D268" s="268"/>
      <c r="E268" s="268"/>
      <c r="F268" s="268"/>
      <c r="G268" s="268"/>
      <c r="H268" s="268"/>
      <c r="I268" s="268"/>
      <c r="J268" s="268"/>
      <c r="K268" s="268"/>
      <c r="L268" s="268"/>
    </row>
    <row r="269" spans="1:12" ht="14.25">
      <c r="A269" s="268"/>
      <c r="B269" s="268"/>
      <c r="C269" s="268"/>
      <c r="D269" s="268"/>
      <c r="E269" s="268"/>
      <c r="F269" s="268"/>
      <c r="G269" s="268"/>
      <c r="H269" s="268"/>
      <c r="I269" s="268"/>
      <c r="J269" s="268"/>
      <c r="K269" s="268"/>
      <c r="L269" s="268"/>
    </row>
    <row r="270" spans="1:12" ht="14.25">
      <c r="A270" s="268"/>
      <c r="B270" s="268"/>
      <c r="C270" s="268"/>
      <c r="D270" s="268"/>
      <c r="E270" s="268"/>
      <c r="F270" s="268"/>
      <c r="G270" s="268"/>
      <c r="H270" s="268"/>
      <c r="I270" s="268"/>
      <c r="J270" s="268"/>
      <c r="K270" s="268"/>
      <c r="L270" s="268"/>
    </row>
    <row r="271" spans="1:12" ht="14.25">
      <c r="A271" s="268"/>
      <c r="B271" s="268"/>
      <c r="C271" s="268"/>
      <c r="D271" s="268"/>
      <c r="E271" s="268"/>
      <c r="F271" s="268"/>
      <c r="G271" s="268"/>
      <c r="H271" s="268"/>
      <c r="I271" s="268"/>
      <c r="J271" s="268"/>
      <c r="K271" s="268"/>
      <c r="L271" s="268"/>
    </row>
    <row r="272" spans="1:12" ht="14.25">
      <c r="A272" s="268"/>
      <c r="B272" s="268"/>
      <c r="C272" s="268"/>
      <c r="D272" s="268"/>
      <c r="E272" s="268"/>
      <c r="F272" s="268"/>
      <c r="G272" s="268"/>
      <c r="H272" s="268"/>
      <c r="I272" s="268"/>
      <c r="J272" s="268"/>
      <c r="K272" s="268"/>
      <c r="L272" s="268"/>
    </row>
    <row r="273" spans="1:12" ht="14.25">
      <c r="A273" s="268"/>
      <c r="B273" s="268"/>
      <c r="C273" s="268"/>
      <c r="D273" s="268"/>
      <c r="E273" s="268"/>
      <c r="F273" s="268"/>
      <c r="G273" s="268"/>
      <c r="H273" s="268"/>
      <c r="I273" s="268"/>
      <c r="J273" s="268"/>
      <c r="K273" s="268"/>
      <c r="L273" s="268"/>
    </row>
    <row r="274" spans="1:12" ht="14.25">
      <c r="A274" s="268"/>
      <c r="B274" s="268"/>
      <c r="C274" s="268"/>
      <c r="D274" s="268"/>
      <c r="E274" s="268"/>
      <c r="F274" s="268"/>
      <c r="G274" s="268"/>
      <c r="H274" s="268"/>
      <c r="I274" s="268"/>
      <c r="J274" s="268"/>
      <c r="K274" s="268"/>
      <c r="L274" s="268"/>
    </row>
    <row r="275" spans="1:12" ht="14.25">
      <c r="A275" s="268"/>
      <c r="B275" s="268"/>
      <c r="C275" s="268"/>
      <c r="D275" s="268"/>
      <c r="E275" s="268"/>
      <c r="F275" s="268"/>
      <c r="G275" s="268"/>
      <c r="H275" s="268"/>
      <c r="I275" s="268"/>
      <c r="J275" s="268"/>
      <c r="K275" s="268"/>
      <c r="L275" s="268"/>
    </row>
    <row r="276" spans="1:12" ht="14.25">
      <c r="A276" s="268"/>
      <c r="B276" s="268"/>
      <c r="C276" s="268"/>
      <c r="D276" s="268"/>
      <c r="E276" s="268"/>
      <c r="F276" s="268"/>
      <c r="G276" s="268"/>
      <c r="H276" s="268"/>
      <c r="I276" s="268"/>
      <c r="J276" s="268"/>
      <c r="K276" s="268"/>
      <c r="L276" s="268"/>
    </row>
    <row r="277" spans="1:12" ht="14.25">
      <c r="A277" s="268"/>
      <c r="B277" s="268"/>
      <c r="C277" s="268"/>
      <c r="D277" s="268"/>
      <c r="E277" s="268"/>
      <c r="F277" s="268"/>
      <c r="G277" s="268"/>
      <c r="H277" s="268"/>
      <c r="I277" s="268"/>
      <c r="J277" s="268"/>
      <c r="K277" s="268"/>
      <c r="L277" s="268"/>
    </row>
    <row r="278" spans="1:12" ht="14.25">
      <c r="A278" s="268"/>
      <c r="B278" s="268"/>
      <c r="C278" s="268"/>
      <c r="D278" s="268"/>
      <c r="E278" s="268"/>
      <c r="F278" s="268"/>
      <c r="G278" s="268"/>
      <c r="H278" s="268"/>
      <c r="I278" s="268"/>
      <c r="J278" s="268"/>
      <c r="K278" s="268"/>
      <c r="L278" s="268"/>
    </row>
    <row r="279" spans="1:12" ht="14.25">
      <c r="A279" s="268"/>
      <c r="B279" s="268"/>
      <c r="C279" s="268"/>
      <c r="D279" s="268"/>
      <c r="E279" s="268"/>
      <c r="F279" s="268"/>
      <c r="G279" s="268"/>
      <c r="H279" s="268"/>
      <c r="I279" s="268"/>
      <c r="J279" s="268"/>
      <c r="K279" s="268"/>
      <c r="L279" s="268"/>
    </row>
    <row r="280" spans="1:12" ht="14.25">
      <c r="A280" s="268"/>
      <c r="B280" s="268"/>
      <c r="C280" s="268"/>
      <c r="D280" s="268"/>
      <c r="E280" s="268"/>
      <c r="F280" s="268"/>
      <c r="G280" s="268"/>
      <c r="H280" s="268"/>
      <c r="I280" s="268"/>
      <c r="J280" s="268"/>
      <c r="K280" s="268"/>
      <c r="L280" s="268"/>
    </row>
    <row r="281" spans="1:12" ht="14.25">
      <c r="A281" s="268"/>
      <c r="B281" s="268"/>
      <c r="C281" s="268"/>
      <c r="D281" s="268"/>
      <c r="E281" s="268"/>
      <c r="F281" s="268"/>
      <c r="G281" s="268"/>
      <c r="H281" s="268"/>
      <c r="I281" s="268"/>
      <c r="J281" s="268"/>
      <c r="K281" s="268"/>
      <c r="L281" s="268"/>
    </row>
    <row r="282" spans="1:12" ht="14.25">
      <c r="A282" s="268"/>
      <c r="B282" s="268"/>
      <c r="C282" s="268"/>
      <c r="D282" s="268"/>
      <c r="E282" s="268"/>
      <c r="F282" s="268"/>
      <c r="G282" s="268"/>
      <c r="H282" s="268"/>
      <c r="I282" s="268"/>
      <c r="J282" s="268"/>
      <c r="K282" s="268"/>
      <c r="L282" s="268"/>
    </row>
    <row r="283" spans="1:12" ht="14.25">
      <c r="A283" s="268"/>
      <c r="B283" s="268"/>
      <c r="C283" s="268"/>
      <c r="D283" s="268"/>
      <c r="E283" s="268"/>
      <c r="F283" s="268"/>
      <c r="G283" s="268"/>
      <c r="H283" s="268"/>
      <c r="I283" s="268"/>
      <c r="J283" s="268"/>
      <c r="K283" s="268"/>
      <c r="L283" s="268"/>
    </row>
    <row r="284" spans="1:12" ht="14.25">
      <c r="A284" s="268"/>
      <c r="B284" s="268"/>
      <c r="C284" s="268"/>
      <c r="D284" s="268"/>
      <c r="E284" s="268"/>
      <c r="F284" s="268"/>
      <c r="G284" s="268"/>
      <c r="H284" s="268"/>
      <c r="I284" s="268"/>
      <c r="J284" s="268"/>
      <c r="K284" s="268"/>
      <c r="L284" s="268"/>
    </row>
    <row r="285" spans="1:12" ht="14.25">
      <c r="A285" s="268"/>
      <c r="B285" s="268"/>
      <c r="C285" s="268"/>
      <c r="D285" s="268"/>
      <c r="E285" s="268"/>
      <c r="F285" s="268"/>
      <c r="G285" s="268"/>
      <c r="H285" s="268"/>
      <c r="I285" s="268"/>
      <c r="J285" s="268"/>
      <c r="K285" s="268"/>
      <c r="L285" s="268"/>
    </row>
    <row r="286" spans="1:12" ht="14.25">
      <c r="A286" s="268"/>
      <c r="B286" s="268"/>
      <c r="C286" s="268"/>
      <c r="D286" s="268"/>
      <c r="E286" s="268"/>
      <c r="F286" s="268"/>
      <c r="G286" s="268"/>
      <c r="H286" s="268"/>
      <c r="I286" s="268"/>
      <c r="J286" s="268"/>
      <c r="K286" s="268"/>
      <c r="L286" s="268"/>
    </row>
    <row r="287" spans="1:12" ht="14.25">
      <c r="A287" s="268"/>
      <c r="B287" s="268"/>
      <c r="C287" s="268"/>
      <c r="D287" s="268"/>
      <c r="E287" s="268"/>
      <c r="F287" s="268"/>
      <c r="G287" s="268"/>
      <c r="H287" s="268"/>
      <c r="I287" s="268"/>
      <c r="J287" s="268"/>
      <c r="K287" s="268"/>
      <c r="L287" s="268"/>
    </row>
    <row r="288" spans="1:12" ht="14.25">
      <c r="A288" s="268"/>
      <c r="B288" s="268"/>
      <c r="C288" s="268"/>
      <c r="D288" s="268"/>
      <c r="E288" s="268"/>
      <c r="F288" s="268"/>
      <c r="G288" s="268"/>
      <c r="H288" s="268"/>
      <c r="I288" s="268"/>
      <c r="J288" s="268"/>
      <c r="K288" s="268"/>
      <c r="L288" s="268"/>
    </row>
    <row r="289" spans="1:12" ht="14.25">
      <c r="A289" s="268"/>
      <c r="B289" s="268"/>
      <c r="C289" s="268"/>
      <c r="D289" s="268"/>
      <c r="E289" s="268"/>
      <c r="F289" s="268"/>
      <c r="G289" s="268"/>
      <c r="H289" s="268"/>
      <c r="I289" s="268"/>
      <c r="J289" s="268"/>
      <c r="K289" s="268"/>
      <c r="L289" s="268"/>
    </row>
    <row r="290" spans="1:12" ht="14.25">
      <c r="A290" s="268"/>
      <c r="B290" s="268"/>
      <c r="C290" s="268"/>
      <c r="D290" s="268"/>
      <c r="E290" s="268"/>
      <c r="F290" s="268"/>
      <c r="G290" s="268"/>
      <c r="H290" s="268"/>
      <c r="I290" s="268"/>
      <c r="J290" s="268"/>
      <c r="K290" s="268"/>
      <c r="L290" s="268"/>
    </row>
    <row r="291" spans="1:12" ht="14.25">
      <c r="A291" s="268"/>
      <c r="B291" s="268"/>
      <c r="C291" s="268"/>
      <c r="D291" s="268"/>
      <c r="E291" s="268"/>
      <c r="F291" s="268"/>
      <c r="G291" s="268"/>
      <c r="H291" s="268"/>
      <c r="I291" s="268"/>
      <c r="J291" s="268"/>
      <c r="K291" s="268"/>
      <c r="L291" s="268"/>
    </row>
    <row r="292" spans="1:12" ht="14.25">
      <c r="A292" s="268"/>
      <c r="B292" s="268"/>
      <c r="C292" s="268"/>
      <c r="D292" s="268"/>
      <c r="E292" s="268"/>
      <c r="F292" s="268"/>
      <c r="G292" s="268"/>
      <c r="H292" s="268"/>
      <c r="I292" s="268"/>
      <c r="J292" s="268"/>
      <c r="K292" s="268"/>
      <c r="L292" s="268"/>
    </row>
    <row r="293" spans="1:12" ht="14.25">
      <c r="A293" s="268"/>
      <c r="B293" s="268"/>
      <c r="C293" s="268"/>
      <c r="D293" s="268"/>
      <c r="E293" s="268"/>
      <c r="F293" s="268"/>
      <c r="G293" s="268"/>
      <c r="H293" s="268"/>
      <c r="I293" s="268"/>
      <c r="J293" s="268"/>
      <c r="K293" s="268"/>
      <c r="L293" s="268"/>
    </row>
    <row r="294" spans="1:12" ht="14.25">
      <c r="A294" s="268"/>
      <c r="B294" s="268"/>
      <c r="C294" s="268"/>
      <c r="D294" s="268"/>
      <c r="E294" s="268"/>
      <c r="F294" s="268"/>
      <c r="G294" s="268"/>
      <c r="H294" s="268"/>
      <c r="I294" s="268"/>
      <c r="J294" s="268"/>
      <c r="K294" s="268"/>
      <c r="L294" s="268"/>
    </row>
    <row r="295" spans="1:12" ht="14.25">
      <c r="A295" s="268"/>
      <c r="B295" s="268"/>
      <c r="C295" s="268"/>
      <c r="D295" s="268"/>
      <c r="E295" s="268"/>
      <c r="F295" s="268"/>
      <c r="G295" s="268"/>
      <c r="H295" s="268"/>
      <c r="I295" s="268"/>
      <c r="J295" s="268"/>
      <c r="K295" s="268"/>
      <c r="L295" s="268"/>
    </row>
    <row r="296" spans="1:12" ht="14.25">
      <c r="A296" s="268"/>
      <c r="B296" s="268"/>
      <c r="C296" s="268"/>
      <c r="D296" s="268"/>
      <c r="E296" s="268"/>
      <c r="F296" s="268"/>
      <c r="G296" s="268"/>
      <c r="H296" s="268"/>
      <c r="I296" s="268"/>
      <c r="J296" s="268"/>
      <c r="K296" s="268"/>
      <c r="L296" s="268"/>
    </row>
    <row r="297" spans="1:12" ht="14.25">
      <c r="A297" s="268"/>
      <c r="B297" s="268"/>
      <c r="C297" s="268"/>
      <c r="D297" s="268"/>
      <c r="E297" s="268"/>
      <c r="F297" s="268"/>
      <c r="G297" s="268"/>
      <c r="H297" s="268"/>
      <c r="I297" s="268"/>
      <c r="J297" s="268"/>
      <c r="K297" s="268"/>
      <c r="L297" s="268"/>
    </row>
    <row r="298" spans="1:12" ht="14.25">
      <c r="A298" s="268"/>
      <c r="B298" s="268"/>
      <c r="C298" s="268"/>
      <c r="D298" s="268"/>
      <c r="E298" s="268"/>
      <c r="F298" s="268"/>
      <c r="G298" s="268"/>
      <c r="H298" s="268"/>
      <c r="I298" s="268"/>
      <c r="J298" s="268"/>
      <c r="K298" s="268"/>
      <c r="L298" s="268"/>
    </row>
    <row r="299" spans="1:12" ht="14.25">
      <c r="A299" s="268"/>
      <c r="B299" s="268"/>
      <c r="C299" s="268"/>
      <c r="D299" s="268"/>
      <c r="E299" s="268"/>
      <c r="F299" s="268"/>
      <c r="G299" s="268"/>
      <c r="H299" s="268"/>
      <c r="I299" s="268"/>
      <c r="J299" s="268"/>
      <c r="K299" s="268"/>
      <c r="L299" s="268"/>
    </row>
    <row r="300" spans="1:12" ht="14.25">
      <c r="A300" s="268"/>
      <c r="B300" s="268"/>
      <c r="C300" s="268"/>
      <c r="D300" s="268"/>
      <c r="E300" s="268"/>
      <c r="F300" s="268"/>
      <c r="G300" s="268"/>
      <c r="H300" s="268"/>
      <c r="I300" s="268"/>
      <c r="J300" s="268"/>
      <c r="K300" s="268"/>
      <c r="L300" s="268"/>
    </row>
    <row r="301" spans="1:12" ht="14.25">
      <c r="A301" s="268"/>
      <c r="B301" s="268"/>
      <c r="C301" s="268"/>
      <c r="D301" s="268"/>
      <c r="E301" s="268"/>
      <c r="F301" s="268"/>
      <c r="G301" s="268"/>
      <c r="H301" s="268"/>
      <c r="I301" s="268"/>
      <c r="J301" s="268"/>
      <c r="K301" s="268"/>
      <c r="L301" s="268"/>
    </row>
    <row r="302" spans="1:12" ht="14.25">
      <c r="A302" s="268"/>
      <c r="B302" s="268"/>
      <c r="C302" s="268"/>
      <c r="D302" s="268"/>
      <c r="E302" s="268"/>
      <c r="F302" s="268"/>
      <c r="G302" s="268"/>
      <c r="H302" s="268"/>
      <c r="I302" s="268"/>
      <c r="J302" s="268"/>
      <c r="K302" s="268"/>
      <c r="L302" s="268"/>
    </row>
    <row r="303" spans="1:12" ht="14.25">
      <c r="A303" s="268"/>
      <c r="B303" s="268"/>
      <c r="C303" s="268"/>
      <c r="D303" s="268"/>
      <c r="E303" s="268"/>
      <c r="F303" s="268"/>
      <c r="G303" s="268"/>
      <c r="H303" s="268"/>
      <c r="I303" s="268"/>
      <c r="J303" s="268"/>
      <c r="K303" s="268"/>
      <c r="L303" s="268"/>
    </row>
    <row r="304" spans="1:12" ht="14.25">
      <c r="A304" s="268"/>
      <c r="B304" s="268"/>
      <c r="C304" s="268"/>
      <c r="D304" s="268"/>
      <c r="E304" s="268"/>
      <c r="F304" s="268"/>
      <c r="G304" s="268"/>
      <c r="H304" s="268"/>
      <c r="I304" s="268"/>
      <c r="J304" s="268"/>
      <c r="K304" s="268"/>
      <c r="L304" s="268"/>
    </row>
    <row r="305" spans="1:12" ht="14.25">
      <c r="A305" s="268"/>
      <c r="B305" s="268"/>
      <c r="C305" s="268"/>
      <c r="D305" s="268"/>
      <c r="E305" s="268"/>
      <c r="F305" s="268"/>
      <c r="G305" s="268"/>
      <c r="H305" s="268"/>
      <c r="I305" s="268"/>
      <c r="J305" s="268"/>
      <c r="K305" s="268"/>
      <c r="L305" s="268"/>
    </row>
    <row r="306" spans="1:12" ht="14.25">
      <c r="A306" s="268"/>
      <c r="B306" s="268"/>
      <c r="C306" s="268"/>
      <c r="D306" s="268"/>
      <c r="E306" s="268"/>
      <c r="F306" s="268"/>
      <c r="G306" s="268"/>
      <c r="H306" s="268"/>
      <c r="I306" s="268"/>
      <c r="J306" s="268"/>
      <c r="K306" s="268"/>
      <c r="L306" s="268"/>
    </row>
    <row r="307" spans="1:12" ht="14.25">
      <c r="A307" s="268"/>
      <c r="B307" s="268"/>
      <c r="C307" s="268"/>
      <c r="D307" s="268"/>
      <c r="E307" s="268"/>
      <c r="F307" s="268"/>
      <c r="G307" s="268"/>
      <c r="H307" s="268"/>
      <c r="I307" s="268"/>
      <c r="J307" s="268"/>
      <c r="K307" s="268"/>
      <c r="L307" s="268"/>
    </row>
    <row r="308" spans="1:12" ht="14.25">
      <c r="A308" s="268"/>
      <c r="B308" s="268"/>
      <c r="C308" s="268"/>
      <c r="D308" s="268"/>
      <c r="E308" s="268"/>
      <c r="F308" s="268"/>
      <c r="G308" s="268"/>
      <c r="H308" s="268"/>
      <c r="I308" s="268"/>
      <c r="J308" s="268"/>
      <c r="K308" s="268"/>
      <c r="L308" s="268"/>
    </row>
    <row r="309" spans="1:12" ht="14.25">
      <c r="A309" s="268"/>
      <c r="B309" s="268"/>
      <c r="C309" s="268"/>
      <c r="D309" s="268"/>
      <c r="E309" s="268"/>
      <c r="F309" s="268"/>
      <c r="G309" s="268"/>
      <c r="H309" s="268"/>
      <c r="I309" s="268"/>
      <c r="J309" s="268"/>
      <c r="K309" s="268"/>
      <c r="L309" s="268"/>
    </row>
    <row r="310" spans="1:12" ht="14.25">
      <c r="A310" s="268"/>
      <c r="B310" s="268"/>
      <c r="C310" s="268"/>
      <c r="D310" s="268"/>
      <c r="E310" s="268"/>
      <c r="F310" s="268"/>
      <c r="G310" s="268"/>
      <c r="H310" s="268"/>
      <c r="I310" s="268"/>
      <c r="J310" s="268"/>
      <c r="K310" s="268"/>
      <c r="L310" s="268"/>
    </row>
    <row r="311" spans="1:12" ht="14.25">
      <c r="A311" s="268"/>
      <c r="B311" s="268"/>
      <c r="C311" s="268"/>
      <c r="D311" s="268"/>
      <c r="E311" s="268"/>
      <c r="F311" s="268"/>
      <c r="G311" s="268"/>
      <c r="H311" s="268"/>
      <c r="I311" s="268"/>
      <c r="J311" s="268"/>
      <c r="K311" s="268"/>
      <c r="L311" s="268"/>
    </row>
    <row r="312" spans="1:12" ht="14.25">
      <c r="A312" s="268"/>
      <c r="B312" s="268"/>
      <c r="C312" s="268"/>
      <c r="D312" s="268"/>
      <c r="E312" s="268"/>
      <c r="F312" s="268"/>
      <c r="G312" s="268"/>
      <c r="H312" s="268"/>
      <c r="I312" s="268"/>
      <c r="J312" s="268"/>
      <c r="K312" s="268"/>
      <c r="L312" s="268"/>
    </row>
    <row r="313" spans="1:12" ht="14.25">
      <c r="A313" s="268"/>
      <c r="B313" s="268"/>
      <c r="C313" s="268"/>
      <c r="D313" s="268"/>
      <c r="E313" s="268"/>
      <c r="F313" s="268"/>
      <c r="G313" s="268"/>
      <c r="H313" s="268"/>
      <c r="I313" s="268"/>
      <c r="J313" s="268"/>
      <c r="K313" s="268"/>
      <c r="L313" s="268"/>
    </row>
    <row r="314" spans="1:12" ht="14.25">
      <c r="A314" s="268"/>
      <c r="B314" s="268"/>
      <c r="C314" s="268"/>
      <c r="D314" s="268"/>
      <c r="E314" s="268"/>
      <c r="F314" s="268"/>
      <c r="G314" s="268"/>
      <c r="H314" s="268"/>
      <c r="I314" s="268"/>
      <c r="J314" s="268"/>
      <c r="K314" s="268"/>
      <c r="L314" s="268"/>
    </row>
    <row r="315" spans="1:12" ht="14.25">
      <c r="A315" s="268"/>
      <c r="B315" s="268"/>
      <c r="C315" s="268"/>
      <c r="D315" s="268"/>
      <c r="E315" s="268"/>
      <c r="F315" s="268"/>
      <c r="G315" s="268"/>
      <c r="H315" s="268"/>
      <c r="I315" s="268"/>
      <c r="J315" s="268"/>
      <c r="K315" s="268"/>
      <c r="L315" s="268"/>
    </row>
    <row r="316" spans="1:12" ht="14.25">
      <c r="A316" s="268"/>
      <c r="B316" s="268"/>
      <c r="C316" s="268"/>
      <c r="D316" s="268"/>
      <c r="E316" s="268"/>
      <c r="F316" s="268"/>
      <c r="G316" s="268"/>
      <c r="H316" s="268"/>
      <c r="I316" s="268"/>
      <c r="J316" s="268"/>
      <c r="K316" s="268"/>
      <c r="L316" s="268"/>
    </row>
    <row r="317" spans="1:12" ht="14.25">
      <c r="A317" s="268"/>
      <c r="B317" s="268"/>
      <c r="C317" s="268"/>
      <c r="D317" s="268"/>
      <c r="E317" s="268"/>
      <c r="F317" s="268"/>
      <c r="G317" s="268"/>
      <c r="H317" s="268"/>
      <c r="I317" s="268"/>
      <c r="J317" s="268"/>
      <c r="K317" s="268"/>
      <c r="L317" s="268"/>
    </row>
    <row r="318" spans="1:12" ht="14.25">
      <c r="A318" s="268"/>
      <c r="B318" s="268"/>
      <c r="C318" s="268"/>
      <c r="D318" s="268"/>
      <c r="E318" s="268"/>
      <c r="F318" s="268"/>
      <c r="G318" s="268"/>
      <c r="H318" s="268"/>
      <c r="I318" s="268"/>
      <c r="J318" s="268"/>
      <c r="K318" s="268"/>
      <c r="L318" s="268"/>
    </row>
    <row r="319" spans="1:12" ht="14.25">
      <c r="A319" s="268"/>
      <c r="B319" s="268"/>
      <c r="C319" s="268"/>
      <c r="D319" s="268"/>
      <c r="E319" s="268"/>
      <c r="F319" s="268"/>
      <c r="G319" s="268"/>
      <c r="H319" s="268"/>
      <c r="I319" s="268"/>
      <c r="J319" s="268"/>
      <c r="K319" s="268"/>
      <c r="L319" s="268"/>
    </row>
    <row r="320" spans="1:12" ht="14.25">
      <c r="A320" s="268"/>
      <c r="B320" s="268"/>
      <c r="C320" s="268"/>
      <c r="D320" s="268"/>
      <c r="E320" s="268"/>
      <c r="F320" s="268"/>
      <c r="G320" s="268"/>
      <c r="H320" s="268"/>
      <c r="I320" s="268"/>
      <c r="J320" s="268"/>
      <c r="K320" s="268"/>
      <c r="L320" s="268"/>
    </row>
    <row r="321" spans="1:12" ht="14.25">
      <c r="A321" s="268"/>
      <c r="B321" s="268"/>
      <c r="C321" s="268"/>
      <c r="D321" s="268"/>
      <c r="E321" s="268"/>
      <c r="F321" s="268"/>
      <c r="G321" s="268"/>
      <c r="H321" s="268"/>
      <c r="I321" s="268"/>
      <c r="J321" s="268"/>
      <c r="K321" s="268"/>
      <c r="L321" s="268"/>
    </row>
    <row r="322" spans="1:12" ht="14.25">
      <c r="A322" s="268"/>
      <c r="B322" s="268"/>
      <c r="C322" s="268"/>
      <c r="D322" s="268"/>
      <c r="E322" s="268"/>
      <c r="F322" s="268"/>
      <c r="G322" s="268"/>
      <c r="H322" s="268"/>
      <c r="I322" s="268"/>
      <c r="J322" s="268"/>
      <c r="K322" s="268"/>
      <c r="L322" s="268"/>
    </row>
    <row r="323" spans="1:12" ht="14.25">
      <c r="A323" s="268"/>
      <c r="B323" s="268"/>
      <c r="C323" s="268"/>
      <c r="D323" s="268"/>
      <c r="E323" s="268"/>
      <c r="F323" s="268"/>
      <c r="G323" s="268"/>
      <c r="H323" s="268"/>
      <c r="I323" s="268"/>
      <c r="J323" s="268"/>
      <c r="K323" s="268"/>
      <c r="L323" s="268"/>
    </row>
    <row r="324" spans="1:12" ht="14.25">
      <c r="A324" s="268"/>
      <c r="B324" s="268"/>
      <c r="C324" s="268"/>
      <c r="D324" s="268"/>
      <c r="E324" s="268"/>
      <c r="F324" s="268"/>
      <c r="G324" s="268"/>
      <c r="H324" s="268"/>
      <c r="I324" s="268"/>
      <c r="J324" s="268"/>
      <c r="K324" s="268"/>
      <c r="L324" s="268"/>
    </row>
    <row r="325" spans="1:12" ht="14.25">
      <c r="A325" s="268"/>
      <c r="B325" s="268"/>
      <c r="C325" s="268"/>
      <c r="D325" s="268"/>
      <c r="E325" s="268"/>
      <c r="F325" s="268"/>
      <c r="G325" s="268"/>
      <c r="H325" s="268"/>
      <c r="I325" s="268"/>
      <c r="J325" s="268"/>
      <c r="K325" s="268"/>
      <c r="L325" s="268"/>
    </row>
    <row r="326" spans="1:12" ht="14.25">
      <c r="A326" s="268"/>
      <c r="B326" s="268"/>
      <c r="C326" s="268"/>
      <c r="D326" s="268"/>
      <c r="E326" s="268"/>
      <c r="F326" s="268"/>
      <c r="G326" s="268"/>
      <c r="H326" s="268"/>
      <c r="I326" s="268"/>
      <c r="J326" s="268"/>
      <c r="K326" s="268"/>
      <c r="L326" s="268"/>
    </row>
    <row r="327" spans="1:12" ht="14.25">
      <c r="A327" s="268"/>
      <c r="B327" s="268"/>
      <c r="C327" s="268"/>
      <c r="D327" s="268"/>
      <c r="E327" s="268"/>
      <c r="F327" s="268"/>
      <c r="G327" s="268"/>
      <c r="H327" s="268"/>
      <c r="I327" s="268"/>
      <c r="J327" s="268"/>
      <c r="K327" s="268"/>
      <c r="L327" s="268"/>
    </row>
    <row r="328" spans="1:12" ht="14.25">
      <c r="A328" s="268"/>
      <c r="B328" s="268"/>
      <c r="C328" s="268"/>
      <c r="D328" s="268"/>
      <c r="E328" s="268"/>
      <c r="F328" s="268"/>
      <c r="G328" s="268"/>
      <c r="H328" s="268"/>
      <c r="I328" s="268"/>
      <c r="J328" s="268"/>
      <c r="K328" s="268"/>
      <c r="L328" s="268"/>
    </row>
    <row r="329" spans="1:12" ht="14.25">
      <c r="A329" s="268"/>
      <c r="B329" s="268"/>
      <c r="C329" s="268"/>
      <c r="D329" s="268"/>
      <c r="E329" s="268"/>
      <c r="F329" s="268"/>
      <c r="G329" s="268"/>
      <c r="H329" s="268"/>
      <c r="I329" s="268"/>
      <c r="J329" s="268"/>
      <c r="K329" s="268"/>
      <c r="L329" s="268"/>
    </row>
    <row r="330" spans="1:12" ht="14.25">
      <c r="A330" s="268"/>
      <c r="B330" s="268"/>
      <c r="C330" s="268"/>
      <c r="D330" s="268"/>
      <c r="E330" s="268"/>
      <c r="F330" s="268"/>
      <c r="G330" s="268"/>
      <c r="H330" s="268"/>
      <c r="I330" s="268"/>
      <c r="J330" s="268"/>
      <c r="K330" s="268"/>
      <c r="L330" s="268"/>
    </row>
    <row r="331" spans="1:12" ht="14.25">
      <c r="A331" s="268"/>
      <c r="B331" s="268"/>
      <c r="C331" s="268"/>
      <c r="D331" s="268"/>
      <c r="E331" s="268"/>
      <c r="F331" s="268"/>
      <c r="G331" s="268"/>
      <c r="H331" s="268"/>
      <c r="I331" s="268"/>
      <c r="J331" s="268"/>
      <c r="K331" s="268"/>
      <c r="L331" s="268"/>
    </row>
    <row r="332" spans="1:12" ht="14.25">
      <c r="A332" s="268"/>
      <c r="B332" s="268"/>
      <c r="C332" s="268"/>
      <c r="D332" s="268"/>
      <c r="E332" s="268"/>
      <c r="F332" s="268"/>
      <c r="G332" s="268"/>
      <c r="H332" s="268"/>
      <c r="I332" s="268"/>
      <c r="J332" s="268"/>
      <c r="K332" s="268"/>
      <c r="L332" s="268"/>
    </row>
    <row r="333" spans="1:12" ht="14.25">
      <c r="A333" s="268"/>
      <c r="B333" s="268"/>
      <c r="C333" s="268"/>
      <c r="D333" s="268"/>
      <c r="E333" s="268"/>
      <c r="F333" s="268"/>
      <c r="G333" s="268"/>
      <c r="H333" s="268"/>
      <c r="I333" s="268"/>
      <c r="J333" s="268"/>
      <c r="K333" s="268"/>
      <c r="L333" s="268"/>
    </row>
    <row r="334" spans="1:12" ht="14.25">
      <c r="A334" s="268"/>
      <c r="B334" s="268"/>
      <c r="C334" s="268"/>
      <c r="D334" s="268"/>
      <c r="E334" s="268"/>
      <c r="F334" s="268"/>
      <c r="G334" s="268"/>
      <c r="H334" s="268"/>
      <c r="I334" s="268"/>
      <c r="J334" s="268"/>
      <c r="K334" s="268"/>
      <c r="L334" s="268"/>
    </row>
    <row r="335" spans="1:12" ht="14.25">
      <c r="A335" s="268"/>
      <c r="B335" s="268"/>
      <c r="C335" s="268"/>
      <c r="D335" s="268"/>
      <c r="E335" s="268"/>
      <c r="F335" s="268"/>
      <c r="G335" s="268"/>
      <c r="H335" s="268"/>
      <c r="I335" s="268"/>
      <c r="J335" s="268"/>
      <c r="K335" s="268"/>
      <c r="L335" s="268"/>
    </row>
    <row r="336" spans="1:12" ht="14.25">
      <c r="A336" s="268"/>
      <c r="B336" s="268"/>
      <c r="C336" s="268"/>
      <c r="D336" s="268"/>
      <c r="E336" s="268"/>
      <c r="F336" s="268"/>
      <c r="G336" s="268"/>
      <c r="H336" s="268"/>
      <c r="I336" s="268"/>
      <c r="J336" s="268"/>
      <c r="K336" s="268"/>
      <c r="L336" s="268"/>
    </row>
    <row r="337" spans="1:12" ht="14.25">
      <c r="A337" s="268"/>
      <c r="B337" s="268"/>
      <c r="C337" s="268"/>
      <c r="D337" s="268"/>
      <c r="E337" s="268"/>
      <c r="F337" s="268"/>
      <c r="G337" s="268"/>
      <c r="H337" s="268"/>
      <c r="I337" s="268"/>
      <c r="J337" s="268"/>
      <c r="K337" s="268"/>
      <c r="L337" s="268"/>
    </row>
    <row r="338" spans="1:12" ht="14.25">
      <c r="A338" s="268"/>
      <c r="B338" s="268"/>
      <c r="C338" s="268"/>
      <c r="D338" s="268"/>
      <c r="E338" s="268"/>
      <c r="F338" s="268"/>
      <c r="G338" s="268"/>
      <c r="H338" s="268"/>
      <c r="I338" s="268"/>
      <c r="J338" s="268"/>
      <c r="K338" s="268"/>
      <c r="L338" s="268"/>
    </row>
    <row r="339" spans="1:12" ht="14.25">
      <c r="A339" s="268"/>
      <c r="B339" s="268"/>
      <c r="C339" s="268"/>
      <c r="D339" s="268"/>
      <c r="E339" s="268"/>
      <c r="F339" s="268"/>
      <c r="G339" s="268"/>
      <c r="H339" s="268"/>
      <c r="I339" s="268"/>
      <c r="J339" s="268"/>
      <c r="K339" s="268"/>
      <c r="L339" s="268"/>
    </row>
    <row r="340" spans="1:12" ht="14.25">
      <c r="A340" s="268"/>
      <c r="B340" s="268"/>
      <c r="C340" s="268"/>
      <c r="D340" s="268"/>
      <c r="E340" s="268"/>
      <c r="F340" s="268"/>
      <c r="G340" s="268"/>
      <c r="H340" s="268"/>
      <c r="I340" s="268"/>
      <c r="J340" s="268"/>
      <c r="K340" s="268"/>
      <c r="L340" s="268"/>
    </row>
    <row r="341" spans="1:12" ht="14.25">
      <c r="A341" s="268"/>
      <c r="B341" s="268"/>
      <c r="C341" s="268"/>
      <c r="D341" s="268"/>
      <c r="E341" s="268"/>
      <c r="F341" s="268"/>
      <c r="G341" s="268"/>
      <c r="H341" s="268"/>
      <c r="I341" s="268"/>
      <c r="J341" s="268"/>
      <c r="K341" s="268"/>
      <c r="L341" s="268"/>
    </row>
    <row r="342" spans="1:12" ht="14.25">
      <c r="A342" s="268"/>
      <c r="B342" s="268"/>
      <c r="C342" s="268"/>
      <c r="D342" s="268"/>
      <c r="E342" s="268"/>
      <c r="F342" s="268"/>
      <c r="G342" s="268"/>
      <c r="H342" s="268"/>
      <c r="I342" s="268"/>
      <c r="J342" s="268"/>
      <c r="K342" s="268"/>
      <c r="L342" s="268"/>
    </row>
    <row r="343" spans="1:12" ht="14.25">
      <c r="A343" s="268"/>
      <c r="B343" s="268"/>
      <c r="C343" s="268"/>
      <c r="D343" s="268"/>
      <c r="E343" s="268"/>
      <c r="F343" s="268"/>
      <c r="G343" s="268"/>
      <c r="H343" s="268"/>
      <c r="I343" s="268"/>
      <c r="J343" s="268"/>
      <c r="K343" s="268"/>
      <c r="L343" s="268"/>
    </row>
    <row r="344" spans="1:12" ht="14.25">
      <c r="A344" s="268"/>
      <c r="B344" s="268"/>
      <c r="C344" s="268"/>
      <c r="D344" s="268"/>
      <c r="E344" s="268"/>
      <c r="F344" s="268"/>
      <c r="G344" s="268"/>
      <c r="H344" s="268"/>
      <c r="I344" s="268"/>
      <c r="J344" s="268"/>
      <c r="K344" s="268"/>
      <c r="L344" s="268"/>
    </row>
    <row r="345" spans="1:12" ht="14.25">
      <c r="A345" s="268"/>
      <c r="B345" s="268"/>
      <c r="C345" s="268"/>
      <c r="D345" s="268"/>
      <c r="E345" s="268"/>
      <c r="F345" s="268"/>
      <c r="G345" s="268"/>
      <c r="H345" s="268"/>
      <c r="I345" s="268"/>
      <c r="J345" s="268"/>
      <c r="K345" s="268"/>
      <c r="L345" s="268"/>
    </row>
    <row r="346" spans="1:12" ht="14.25">
      <c r="A346" s="268"/>
      <c r="B346" s="268"/>
      <c r="C346" s="268"/>
      <c r="D346" s="268"/>
      <c r="E346" s="268"/>
      <c r="F346" s="268"/>
      <c r="G346" s="268"/>
      <c r="H346" s="268"/>
      <c r="I346" s="268"/>
      <c r="J346" s="268"/>
      <c r="K346" s="268"/>
      <c r="L346" s="268"/>
    </row>
    <row r="347" spans="1:12" ht="14.25">
      <c r="A347" s="268"/>
      <c r="B347" s="268"/>
      <c r="C347" s="268"/>
      <c r="D347" s="268"/>
      <c r="E347" s="268"/>
      <c r="F347" s="268"/>
      <c r="G347" s="268"/>
      <c r="H347" s="268"/>
      <c r="I347" s="268"/>
      <c r="J347" s="268"/>
      <c r="K347" s="268"/>
      <c r="L347" s="268"/>
    </row>
    <row r="348" spans="1:12" ht="14.25">
      <c r="A348" s="268"/>
      <c r="B348" s="268"/>
      <c r="C348" s="268"/>
      <c r="D348" s="268"/>
      <c r="E348" s="268"/>
      <c r="F348" s="268"/>
      <c r="G348" s="268"/>
      <c r="H348" s="268"/>
      <c r="I348" s="268"/>
      <c r="J348" s="268"/>
      <c r="K348" s="268"/>
      <c r="L348" s="268"/>
    </row>
    <row r="349" spans="1:12" ht="14.25">
      <c r="A349" s="268"/>
      <c r="B349" s="268"/>
      <c r="C349" s="268"/>
      <c r="D349" s="268"/>
      <c r="E349" s="268"/>
      <c r="F349" s="268"/>
      <c r="G349" s="268"/>
      <c r="H349" s="268"/>
      <c r="I349" s="268"/>
      <c r="J349" s="268"/>
      <c r="K349" s="268"/>
      <c r="L349" s="268"/>
    </row>
    <row r="350" spans="1:12" ht="14.25">
      <c r="A350" s="268"/>
      <c r="B350" s="268"/>
      <c r="C350" s="268"/>
      <c r="D350" s="268"/>
      <c r="E350" s="268"/>
      <c r="F350" s="268"/>
      <c r="G350" s="268"/>
      <c r="H350" s="268"/>
      <c r="I350" s="268"/>
      <c r="J350" s="268"/>
      <c r="K350" s="268"/>
      <c r="L350" s="268"/>
    </row>
    <row r="351" spans="1:12" ht="14.25">
      <c r="A351" s="268"/>
      <c r="B351" s="268"/>
      <c r="C351" s="268"/>
      <c r="D351" s="268"/>
      <c r="E351" s="268"/>
      <c r="F351" s="268"/>
      <c r="G351" s="268"/>
      <c r="H351" s="268"/>
      <c r="I351" s="268"/>
      <c r="J351" s="268"/>
      <c r="K351" s="268"/>
      <c r="L351" s="268"/>
    </row>
    <row r="352" spans="1:12" ht="14.25">
      <c r="A352" s="268"/>
      <c r="B352" s="268"/>
      <c r="C352" s="268"/>
      <c r="D352" s="268"/>
      <c r="E352" s="268"/>
      <c r="F352" s="268"/>
      <c r="G352" s="268"/>
      <c r="H352" s="268"/>
      <c r="I352" s="268"/>
      <c r="J352" s="268"/>
      <c r="K352" s="268"/>
      <c r="L352" s="268"/>
    </row>
    <row r="353" spans="1:12" ht="14.25">
      <c r="A353" s="268"/>
      <c r="B353" s="268"/>
      <c r="C353" s="268"/>
      <c r="D353" s="268"/>
      <c r="E353" s="268"/>
      <c r="F353" s="268"/>
      <c r="G353" s="268"/>
      <c r="H353" s="268"/>
      <c r="I353" s="268"/>
      <c r="J353" s="268"/>
      <c r="K353" s="268"/>
      <c r="L353" s="268"/>
    </row>
    <row r="354" spans="1:12" ht="14.25">
      <c r="A354" s="268"/>
      <c r="B354" s="268"/>
      <c r="C354" s="268"/>
      <c r="D354" s="268"/>
      <c r="E354" s="268"/>
      <c r="F354" s="268"/>
      <c r="G354" s="268"/>
      <c r="H354" s="268"/>
      <c r="I354" s="268"/>
      <c r="J354" s="268"/>
      <c r="K354" s="268"/>
      <c r="L354" s="268"/>
    </row>
  </sheetData>
  <sheetProtection sheet="1" objects="1" scenarios="1"/>
  <mergeCells count="55">
    <mergeCell ref="C83:D83"/>
    <mergeCell ref="B85:K85"/>
    <mergeCell ref="C134:D134"/>
    <mergeCell ref="B110:K110"/>
    <mergeCell ref="C120:D120"/>
    <mergeCell ref="C123:D123"/>
    <mergeCell ref="B130:K130"/>
    <mergeCell ref="C133:D133"/>
    <mergeCell ref="H133:I133"/>
    <mergeCell ref="C114:D114"/>
    <mergeCell ref="B6:K6"/>
    <mergeCell ref="B7:K7"/>
    <mergeCell ref="B8:K8"/>
    <mergeCell ref="B10:K10"/>
    <mergeCell ref="B12:K12"/>
    <mergeCell ref="C25:D25"/>
    <mergeCell ref="F23:G23"/>
    <mergeCell ref="B86:K86"/>
    <mergeCell ref="B88:K88"/>
    <mergeCell ref="B30:K30"/>
    <mergeCell ref="B31:K31"/>
    <mergeCell ref="B33:K33"/>
    <mergeCell ref="B35:K35"/>
    <mergeCell ref="C41:D41"/>
    <mergeCell ref="B48:C48"/>
    <mergeCell ref="G50:H50"/>
    <mergeCell ref="I51:K51"/>
    <mergeCell ref="B52:K52"/>
    <mergeCell ref="B53:K53"/>
    <mergeCell ref="B58:K58"/>
    <mergeCell ref="C74:D74"/>
    <mergeCell ref="C77:D77"/>
    <mergeCell ref="C80:D80"/>
    <mergeCell ref="B55:K55"/>
    <mergeCell ref="B57:K57"/>
    <mergeCell ref="B126:K126"/>
    <mergeCell ref="B128:K128"/>
    <mergeCell ref="B90:K90"/>
    <mergeCell ref="C94:D94"/>
    <mergeCell ref="C97:D97"/>
    <mergeCell ref="C100:D100"/>
    <mergeCell ref="B105:K105"/>
    <mergeCell ref="B106:K106"/>
    <mergeCell ref="C117:D117"/>
    <mergeCell ref="B125:K125"/>
    <mergeCell ref="C148:D148"/>
    <mergeCell ref="J148:K148"/>
    <mergeCell ref="C103:D103"/>
    <mergeCell ref="H134:I134"/>
    <mergeCell ref="C136:D136"/>
    <mergeCell ref="C137:D137"/>
    <mergeCell ref="B144:K144"/>
    <mergeCell ref="C147:D147"/>
    <mergeCell ref="J147:K147"/>
    <mergeCell ref="B108:K108"/>
  </mergeCells>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A40"/>
  <sheetViews>
    <sheetView zoomScalePageLayoutView="0" workbookViewId="0" topLeftCell="A1">
      <selection activeCell="A20" sqref="A20"/>
    </sheetView>
  </sheetViews>
  <sheetFormatPr defaultColWidth="8.796875" defaultRowHeight="15"/>
  <cols>
    <col min="1" max="1" width="71.19921875" style="0" customWidth="1"/>
  </cols>
  <sheetData>
    <row r="1" ht="16.5">
      <c r="A1" s="197" t="s">
        <v>658</v>
      </c>
    </row>
    <row r="3" ht="31.5">
      <c r="A3" s="198" t="s">
        <v>659</v>
      </c>
    </row>
    <row r="4" ht="15.75">
      <c r="A4" s="199" t="s">
        <v>660</v>
      </c>
    </row>
    <row r="7" ht="31.5">
      <c r="A7" s="198" t="s">
        <v>661</v>
      </c>
    </row>
    <row r="8" ht="15.75">
      <c r="A8" s="199" t="s">
        <v>662</v>
      </c>
    </row>
    <row r="11" ht="15.75">
      <c r="A11" s="196" t="s">
        <v>663</v>
      </c>
    </row>
    <row r="12" ht="15.75">
      <c r="A12" s="199" t="s">
        <v>664</v>
      </c>
    </row>
    <row r="15" ht="15.75">
      <c r="A15" s="196" t="s">
        <v>665</v>
      </c>
    </row>
    <row r="16" ht="15.75">
      <c r="A16" s="199" t="s">
        <v>666</v>
      </c>
    </row>
    <row r="19" ht="15.75">
      <c r="A19" s="196" t="s">
        <v>667</v>
      </c>
    </row>
    <row r="20" ht="15.75">
      <c r="A20" s="199" t="s">
        <v>668</v>
      </c>
    </row>
    <row r="23" ht="15.75">
      <c r="A23" s="196" t="s">
        <v>669</v>
      </c>
    </row>
    <row r="24" ht="15.75">
      <c r="A24" s="199" t="s">
        <v>670</v>
      </c>
    </row>
    <row r="27" ht="15.75">
      <c r="A27" s="196" t="s">
        <v>671</v>
      </c>
    </row>
    <row r="28" ht="15.75">
      <c r="A28" s="199" t="s">
        <v>672</v>
      </c>
    </row>
    <row r="31" ht="15.75">
      <c r="A31" s="196" t="s">
        <v>673</v>
      </c>
    </row>
    <row r="32" ht="15.75">
      <c r="A32" s="199" t="s">
        <v>674</v>
      </c>
    </row>
    <row r="35" ht="15.75">
      <c r="A35" s="196" t="s">
        <v>675</v>
      </c>
    </row>
    <row r="36" ht="15.75">
      <c r="A36" s="199" t="s">
        <v>676</v>
      </c>
    </row>
    <row r="39" ht="15.75">
      <c r="A39" s="196" t="s">
        <v>677</v>
      </c>
    </row>
    <row r="40" ht="15.75">
      <c r="A40" s="199" t="s">
        <v>678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7.xml><?xml version="1.0" encoding="utf-8"?>
<worksheet xmlns="http://schemas.openxmlformats.org/spreadsheetml/2006/main" xmlns:r="http://schemas.openxmlformats.org/officeDocument/2006/relationships">
  <dimension ref="A1:A165"/>
  <sheetViews>
    <sheetView zoomScalePageLayoutView="0" workbookViewId="0" topLeftCell="A1">
      <selection activeCell="C16" sqref="C16"/>
    </sheetView>
  </sheetViews>
  <sheetFormatPr defaultColWidth="8.796875" defaultRowHeight="15"/>
  <cols>
    <col min="1" max="1" width="80.09765625" style="72" customWidth="1"/>
    <col min="2" max="16384" width="8.8984375" style="72" customWidth="1"/>
  </cols>
  <sheetData>
    <row r="1" ht="15.75">
      <c r="A1" s="166" t="s">
        <v>807</v>
      </c>
    </row>
    <row r="2" ht="15.75">
      <c r="A2" s="340" t="s">
        <v>803</v>
      </c>
    </row>
    <row r="3" ht="15.75">
      <c r="A3" s="72" t="s">
        <v>804</v>
      </c>
    </row>
    <row r="4" ht="15.75">
      <c r="A4" s="72" t="s">
        <v>805</v>
      </c>
    </row>
    <row r="5" ht="15.75">
      <c r="A5" s="72" t="s">
        <v>806</v>
      </c>
    </row>
    <row r="6" ht="15.75">
      <c r="A6" s="72" t="s">
        <v>808</v>
      </c>
    </row>
    <row r="7" ht="15.75">
      <c r="A7" s="72" t="s">
        <v>809</v>
      </c>
    </row>
    <row r="8" ht="15.75">
      <c r="A8" s="72" t="s">
        <v>810</v>
      </c>
    </row>
    <row r="9" ht="15.75">
      <c r="A9" s="72" t="s">
        <v>811</v>
      </c>
    </row>
    <row r="10" ht="15.75">
      <c r="A10" s="72" t="s">
        <v>812</v>
      </c>
    </row>
    <row r="11" ht="15.75">
      <c r="A11" s="72" t="s">
        <v>813</v>
      </c>
    </row>
    <row r="12" ht="15.75">
      <c r="A12" s="72" t="s">
        <v>814</v>
      </c>
    </row>
    <row r="13" ht="15.75">
      <c r="A13" s="72" t="s">
        <v>815</v>
      </c>
    </row>
    <row r="14" ht="47.25">
      <c r="A14" s="75" t="s">
        <v>816</v>
      </c>
    </row>
    <row r="15" ht="31.5">
      <c r="A15" s="75" t="s">
        <v>817</v>
      </c>
    </row>
    <row r="16" ht="15.75">
      <c r="A16" s="72" t="s">
        <v>818</v>
      </c>
    </row>
    <row r="17" ht="15.75">
      <c r="A17" s="72" t="s">
        <v>819</v>
      </c>
    </row>
    <row r="18" ht="15.75">
      <c r="A18" s="72" t="s">
        <v>820</v>
      </c>
    </row>
    <row r="19" ht="15.75">
      <c r="A19" s="72" t="s">
        <v>821</v>
      </c>
    </row>
    <row r="20" ht="15.75">
      <c r="A20" s="72" t="s">
        <v>822</v>
      </c>
    </row>
    <row r="21" ht="15.75">
      <c r="A21" s="72" t="s">
        <v>823</v>
      </c>
    </row>
    <row r="22" ht="15.75">
      <c r="A22" s="72" t="s">
        <v>824</v>
      </c>
    </row>
    <row r="23" ht="15.75">
      <c r="A23" s="72" t="s">
        <v>825</v>
      </c>
    </row>
    <row r="24" ht="15.75">
      <c r="A24" s="72" t="s">
        <v>826</v>
      </c>
    </row>
    <row r="25" ht="15.75">
      <c r="A25" s="72" t="s">
        <v>827</v>
      </c>
    </row>
    <row r="26" ht="15.75">
      <c r="A26" s="72" t="s">
        <v>828</v>
      </c>
    </row>
    <row r="27" ht="15.75">
      <c r="A27" s="72" t="s">
        <v>829</v>
      </c>
    </row>
    <row r="32" ht="15.75">
      <c r="A32" s="166" t="s">
        <v>750</v>
      </c>
    </row>
    <row r="33" ht="15.75">
      <c r="A33" s="195" t="s">
        <v>751</v>
      </c>
    </row>
    <row r="35" ht="15.75">
      <c r="A35" s="166" t="s">
        <v>635</v>
      </c>
    </row>
    <row r="36" ht="15.75">
      <c r="A36" s="195" t="s">
        <v>636</v>
      </c>
    </row>
    <row r="37" ht="15.75">
      <c r="A37" s="195" t="s">
        <v>637</v>
      </c>
    </row>
    <row r="38" ht="15.75">
      <c r="A38" s="194" t="s">
        <v>638</v>
      </c>
    </row>
    <row r="39" ht="15.75">
      <c r="A39" s="195" t="s">
        <v>639</v>
      </c>
    </row>
    <row r="40" ht="15.75">
      <c r="A40" s="195" t="s">
        <v>640</v>
      </c>
    </row>
    <row r="41" ht="15.75">
      <c r="A41" s="195" t="s">
        <v>641</v>
      </c>
    </row>
    <row r="42" ht="15.75">
      <c r="A42" s="195" t="s">
        <v>642</v>
      </c>
    </row>
    <row r="43" ht="15.75">
      <c r="A43" s="195" t="s">
        <v>643</v>
      </c>
    </row>
    <row r="44" ht="15.75">
      <c r="A44" s="195" t="s">
        <v>644</v>
      </c>
    </row>
    <row r="45" ht="15.75">
      <c r="A45" s="195" t="s">
        <v>645</v>
      </c>
    </row>
    <row r="46" ht="15.75">
      <c r="A46" s="195" t="s">
        <v>646</v>
      </c>
    </row>
    <row r="47" ht="15.75">
      <c r="A47" s="195" t="s">
        <v>647</v>
      </c>
    </row>
    <row r="48" ht="15.75">
      <c r="A48" s="195" t="s">
        <v>648</v>
      </c>
    </row>
    <row r="49" ht="15.75">
      <c r="A49" s="195" t="s">
        <v>649</v>
      </c>
    </row>
    <row r="50" ht="15.75">
      <c r="A50" s="195" t="s">
        <v>650</v>
      </c>
    </row>
    <row r="51" ht="15.75">
      <c r="A51" s="195" t="s">
        <v>651</v>
      </c>
    </row>
    <row r="52" ht="15.75">
      <c r="A52" s="195" t="s">
        <v>652</v>
      </c>
    </row>
    <row r="53" ht="15.75">
      <c r="A53" s="195" t="s">
        <v>653</v>
      </c>
    </row>
    <row r="54" ht="15.75">
      <c r="A54" s="195" t="s">
        <v>654</v>
      </c>
    </row>
    <row r="55" ht="15.75">
      <c r="A55" s="195" t="s">
        <v>655</v>
      </c>
    </row>
    <row r="56" ht="15.75">
      <c r="A56" s="194" t="s">
        <v>656</v>
      </c>
    </row>
    <row r="57" ht="15.75">
      <c r="A57" s="72" t="s">
        <v>657</v>
      </c>
    </row>
    <row r="63" ht="15.75">
      <c r="A63" s="166" t="s">
        <v>620</v>
      </c>
    </row>
    <row r="64" ht="15.75">
      <c r="A64" s="72" t="s">
        <v>621</v>
      </c>
    </row>
    <row r="66" ht="15.75">
      <c r="A66" s="166" t="s">
        <v>614</v>
      </c>
    </row>
    <row r="67" ht="15.75">
      <c r="A67" s="72" t="s">
        <v>615</v>
      </c>
    </row>
    <row r="68" ht="15.75">
      <c r="A68" s="72" t="s">
        <v>616</v>
      </c>
    </row>
    <row r="69" ht="15.75">
      <c r="A69" s="72" t="s">
        <v>617</v>
      </c>
    </row>
    <row r="71" ht="15.75">
      <c r="A71" s="179" t="s">
        <v>604</v>
      </c>
    </row>
    <row r="72" ht="15.75">
      <c r="A72" s="72" t="s">
        <v>613</v>
      </c>
    </row>
    <row r="74" ht="15.75">
      <c r="A74" s="166" t="s">
        <v>370</v>
      </c>
    </row>
    <row r="75" ht="15.75">
      <c r="A75" s="167" t="s">
        <v>371</v>
      </c>
    </row>
    <row r="76" ht="15.75">
      <c r="A76" s="167" t="s">
        <v>372</v>
      </c>
    </row>
    <row r="77" ht="15.75">
      <c r="A77" s="167" t="s">
        <v>373</v>
      </c>
    </row>
    <row r="78" ht="15.75">
      <c r="A78" s="72" t="s">
        <v>374</v>
      </c>
    </row>
    <row r="80" ht="15.75">
      <c r="A80" s="148" t="s">
        <v>304</v>
      </c>
    </row>
    <row r="81" ht="15.75">
      <c r="A81" s="72" t="s">
        <v>305</v>
      </c>
    </row>
    <row r="82" ht="15.75">
      <c r="A82" s="72" t="s">
        <v>306</v>
      </c>
    </row>
    <row r="83" ht="15.75">
      <c r="A83" s="72" t="s">
        <v>307</v>
      </c>
    </row>
    <row r="84" ht="15.75">
      <c r="A84" s="72" t="s">
        <v>339</v>
      </c>
    </row>
    <row r="85" ht="15.75">
      <c r="A85" s="72" t="s">
        <v>338</v>
      </c>
    </row>
    <row r="86" ht="15.75">
      <c r="A86" s="72" t="s">
        <v>340</v>
      </c>
    </row>
    <row r="87" ht="15.75">
      <c r="A87" s="72" t="s">
        <v>342</v>
      </c>
    </row>
    <row r="88" ht="22.5" customHeight="1">
      <c r="A88" s="75" t="s">
        <v>341</v>
      </c>
    </row>
    <row r="89" ht="22.5" customHeight="1">
      <c r="A89" s="75" t="s">
        <v>356</v>
      </c>
    </row>
    <row r="90" ht="22.5" customHeight="1">
      <c r="A90" s="156" t="s">
        <v>360</v>
      </c>
    </row>
    <row r="92" ht="15.75">
      <c r="A92" s="148" t="s">
        <v>299</v>
      </c>
    </row>
    <row r="93" ht="15.75">
      <c r="A93" s="72" t="s">
        <v>300</v>
      </c>
    </row>
    <row r="94" ht="15.75">
      <c r="A94" s="72" t="s">
        <v>301</v>
      </c>
    </row>
    <row r="96" ht="15.75">
      <c r="A96" s="148" t="s">
        <v>106</v>
      </c>
    </row>
    <row r="97" ht="15.75">
      <c r="A97" s="72" t="s">
        <v>86</v>
      </c>
    </row>
    <row r="98" ht="15.75">
      <c r="A98" s="72" t="s">
        <v>87</v>
      </c>
    </row>
    <row r="99" ht="15.75">
      <c r="A99" s="72" t="s">
        <v>88</v>
      </c>
    </row>
    <row r="100" ht="15.75">
      <c r="A100" s="72" t="s">
        <v>89</v>
      </c>
    </row>
    <row r="101" ht="15.75">
      <c r="A101" s="72" t="s">
        <v>90</v>
      </c>
    </row>
    <row r="102" ht="15.75">
      <c r="A102" s="72" t="s">
        <v>91</v>
      </c>
    </row>
    <row r="103" ht="31.5">
      <c r="A103" s="75" t="s">
        <v>92</v>
      </c>
    </row>
    <row r="104" ht="31.5">
      <c r="A104" s="75" t="s">
        <v>93</v>
      </c>
    </row>
    <row r="105" ht="15.75">
      <c r="A105" s="75" t="s">
        <v>94</v>
      </c>
    </row>
    <row r="106" ht="15.75">
      <c r="A106" s="75" t="s">
        <v>95</v>
      </c>
    </row>
    <row r="107" ht="31.5">
      <c r="A107" s="75" t="s">
        <v>96</v>
      </c>
    </row>
    <row r="108" ht="15.75">
      <c r="A108" s="72" t="s">
        <v>97</v>
      </c>
    </row>
    <row r="109" ht="31.5">
      <c r="A109" s="75" t="s">
        <v>98</v>
      </c>
    </row>
    <row r="110" ht="15.75">
      <c r="A110" s="72" t="s">
        <v>99</v>
      </c>
    </row>
    <row r="111" ht="15.75">
      <c r="A111" s="72" t="s">
        <v>100</v>
      </c>
    </row>
    <row r="112" ht="15.75">
      <c r="A112" s="72" t="s">
        <v>101</v>
      </c>
    </row>
    <row r="113" ht="15.75">
      <c r="A113" s="72" t="s">
        <v>102</v>
      </c>
    </row>
    <row r="114" ht="31.5">
      <c r="A114" s="75" t="s">
        <v>103</v>
      </c>
    </row>
    <row r="115" ht="15.75">
      <c r="A115" s="72" t="s">
        <v>104</v>
      </c>
    </row>
    <row r="118" ht="15.75">
      <c r="A118" s="148" t="s">
        <v>80</v>
      </c>
    </row>
    <row r="119" ht="15.75">
      <c r="A119" s="72" t="s">
        <v>83</v>
      </c>
    </row>
    <row r="120" ht="15.75">
      <c r="A120" s="72" t="s">
        <v>81</v>
      </c>
    </row>
    <row r="121" ht="15.75">
      <c r="A121" s="72" t="s">
        <v>82</v>
      </c>
    </row>
    <row r="122" ht="15.75">
      <c r="A122" s="72" t="s">
        <v>308</v>
      </c>
    </row>
    <row r="124" ht="15.75">
      <c r="A124" s="148" t="s">
        <v>76</v>
      </c>
    </row>
    <row r="125" ht="31.5">
      <c r="A125" s="75" t="s">
        <v>77</v>
      </c>
    </row>
    <row r="126" ht="15.75">
      <c r="A126" s="72" t="s">
        <v>78</v>
      </c>
    </row>
    <row r="127" ht="15.75">
      <c r="A127" s="72" t="s">
        <v>79</v>
      </c>
    </row>
    <row r="130" ht="15.75">
      <c r="A130" s="148" t="s">
        <v>21</v>
      </c>
    </row>
    <row r="131" ht="47.25">
      <c r="A131" s="75" t="s">
        <v>309</v>
      </c>
    </row>
    <row r="132" ht="15.75">
      <c r="A132" s="72" t="s">
        <v>22</v>
      </c>
    </row>
    <row r="133" ht="15.75">
      <c r="A133" s="72" t="s">
        <v>28</v>
      </c>
    </row>
    <row r="134" ht="15.75">
      <c r="A134" s="72" t="s">
        <v>310</v>
      </c>
    </row>
    <row r="135" ht="15.75">
      <c r="A135" s="72" t="s">
        <v>23</v>
      </c>
    </row>
    <row r="136" ht="15.75">
      <c r="A136" s="72" t="s">
        <v>24</v>
      </c>
    </row>
    <row r="137" ht="15.75">
      <c r="A137" s="72" t="s">
        <v>29</v>
      </c>
    </row>
    <row r="138" ht="15.75">
      <c r="A138" s="75" t="s">
        <v>45</v>
      </c>
    </row>
    <row r="139" ht="31.5">
      <c r="A139" s="75" t="s">
        <v>111</v>
      </c>
    </row>
    <row r="140" ht="15.75">
      <c r="A140" s="72" t="s">
        <v>30</v>
      </c>
    </row>
    <row r="141" ht="15.75">
      <c r="A141" s="72" t="s">
        <v>31</v>
      </c>
    </row>
    <row r="142" ht="15.75">
      <c r="A142" s="72" t="s">
        <v>311</v>
      </c>
    </row>
    <row r="143" ht="15.75">
      <c r="A143" s="72" t="s">
        <v>44</v>
      </c>
    </row>
    <row r="144" ht="15.75">
      <c r="A144" s="72" t="s">
        <v>312</v>
      </c>
    </row>
    <row r="145" ht="31.5">
      <c r="A145" s="75" t="s">
        <v>313</v>
      </c>
    </row>
    <row r="146" ht="15.75">
      <c r="A146" s="72" t="s">
        <v>32</v>
      </c>
    </row>
    <row r="147" ht="15.75">
      <c r="A147" s="72" t="s">
        <v>33</v>
      </c>
    </row>
    <row r="148" ht="31.5">
      <c r="A148" s="75" t="s">
        <v>34</v>
      </c>
    </row>
    <row r="149" ht="15.75">
      <c r="A149" s="72" t="s">
        <v>314</v>
      </c>
    </row>
    <row r="150" ht="15.75">
      <c r="A150" s="72" t="s">
        <v>36</v>
      </c>
    </row>
    <row r="151" ht="15.75">
      <c r="A151" s="72" t="s">
        <v>35</v>
      </c>
    </row>
    <row r="152" ht="15.75">
      <c r="A152" s="72" t="s">
        <v>41</v>
      </c>
    </row>
    <row r="153" ht="15.75">
      <c r="A153" s="72" t="s">
        <v>47</v>
      </c>
    </row>
    <row r="154" ht="15.75">
      <c r="A154" s="72" t="s">
        <v>48</v>
      </c>
    </row>
    <row r="155" ht="15.75">
      <c r="A155" s="72" t="s">
        <v>51</v>
      </c>
    </row>
    <row r="156" ht="15.75">
      <c r="A156" s="72" t="s">
        <v>315</v>
      </c>
    </row>
    <row r="157" ht="15.75">
      <c r="A157" s="72" t="s">
        <v>108</v>
      </c>
    </row>
    <row r="158" ht="15.75">
      <c r="A158" s="72" t="s">
        <v>316</v>
      </c>
    </row>
    <row r="159" ht="15.75">
      <c r="A159" s="72" t="s">
        <v>53</v>
      </c>
    </row>
    <row r="160" ht="15.75">
      <c r="A160" s="72" t="s">
        <v>55</v>
      </c>
    </row>
    <row r="161" ht="15.75">
      <c r="A161" s="72" t="s">
        <v>56</v>
      </c>
    </row>
    <row r="162" ht="15.75">
      <c r="A162" s="72" t="s">
        <v>109</v>
      </c>
    </row>
    <row r="163" ht="15.75">
      <c r="A163" s="72" t="s">
        <v>110</v>
      </c>
    </row>
    <row r="164" ht="15.75">
      <c r="A164" s="72" t="s">
        <v>75</v>
      </c>
    </row>
    <row r="165" ht="15.75">
      <c r="A165" s="72" t="s">
        <v>73</v>
      </c>
    </row>
  </sheetData>
  <sheetProtection sheet="1"/>
  <printOptions/>
  <pageMargins left="0.75" right="0.75" top="1" bottom="1"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7">
      <selection activeCell="C10" sqref="C10"/>
    </sheetView>
  </sheetViews>
  <sheetFormatPr defaultColWidth="8.796875" defaultRowHeight="15"/>
  <cols>
    <col min="1" max="2" width="17.796875" style="652" customWidth="1"/>
    <col min="3" max="6" width="12.796875" style="652" customWidth="1"/>
    <col min="7" max="16384" width="8.8984375" style="652" customWidth="1"/>
  </cols>
  <sheetData>
    <row r="1" spans="1:6" ht="12.75">
      <c r="A1" s="668"/>
      <c r="B1" s="609"/>
      <c r="C1" s="609"/>
      <c r="D1" s="609"/>
      <c r="E1" s="651"/>
      <c r="F1" s="609"/>
    </row>
    <row r="2" spans="1:6" ht="12.75">
      <c r="A2" s="622" t="str">
        <f>inputPrYr!C2</f>
        <v>Wyandotte County</v>
      </c>
      <c r="B2" s="622"/>
      <c r="C2" s="609"/>
      <c r="D2" s="609"/>
      <c r="E2" s="651"/>
      <c r="F2" s="609">
        <f>inputPrYr!C4</f>
        <v>2013</v>
      </c>
    </row>
    <row r="3" spans="1:6" ht="12.75">
      <c r="A3" s="668"/>
      <c r="B3" s="622"/>
      <c r="C3" s="609"/>
      <c r="D3" s="609"/>
      <c r="E3" s="651"/>
      <c r="F3" s="609"/>
    </row>
    <row r="4" spans="1:6" ht="12.75">
      <c r="A4" s="668"/>
      <c r="B4" s="609"/>
      <c r="C4" s="609"/>
      <c r="D4" s="609"/>
      <c r="E4" s="651"/>
      <c r="F4" s="609"/>
    </row>
    <row r="5" spans="1:6" ht="15" customHeight="1">
      <c r="A5" s="861" t="s">
        <v>251</v>
      </c>
      <c r="B5" s="861"/>
      <c r="C5" s="861"/>
      <c r="D5" s="861"/>
      <c r="E5" s="861"/>
      <c r="F5" s="861"/>
    </row>
    <row r="6" spans="1:6" ht="14.25" customHeight="1">
      <c r="A6" s="669"/>
      <c r="B6" s="670"/>
      <c r="C6" s="670"/>
      <c r="D6" s="670"/>
      <c r="E6" s="670"/>
      <c r="F6" s="670"/>
    </row>
    <row r="7" spans="1:6" ht="15" customHeight="1">
      <c r="A7" s="671" t="s">
        <v>609</v>
      </c>
      <c r="B7" s="671" t="s">
        <v>610</v>
      </c>
      <c r="C7" s="672" t="s">
        <v>163</v>
      </c>
      <c r="D7" s="672" t="s">
        <v>268</v>
      </c>
      <c r="E7" s="672" t="s">
        <v>269</v>
      </c>
      <c r="F7" s="672" t="s">
        <v>292</v>
      </c>
    </row>
    <row r="8" spans="1:6" ht="15" customHeight="1">
      <c r="A8" s="673" t="s">
        <v>611</v>
      </c>
      <c r="B8" s="673" t="s">
        <v>612</v>
      </c>
      <c r="C8" s="674" t="s">
        <v>291</v>
      </c>
      <c r="D8" s="674" t="s">
        <v>291</v>
      </c>
      <c r="E8" s="674" t="s">
        <v>291</v>
      </c>
      <c r="F8" s="674" t="s">
        <v>293</v>
      </c>
    </row>
    <row r="9" spans="1:6" s="678" customFormat="1" ht="15" customHeight="1" thickBot="1">
      <c r="A9" s="675" t="s">
        <v>289</v>
      </c>
      <c r="B9" s="676" t="s">
        <v>290</v>
      </c>
      <c r="C9" s="677">
        <f>F2-2</f>
        <v>2011</v>
      </c>
      <c r="D9" s="677">
        <f>F2-1</f>
        <v>2012</v>
      </c>
      <c r="E9" s="677">
        <f>F2</f>
        <v>2013</v>
      </c>
      <c r="F9" s="676" t="s">
        <v>115</v>
      </c>
    </row>
    <row r="10" spans="1:6" ht="15" customHeight="1" thickTop="1">
      <c r="A10" s="794" t="s">
        <v>1016</v>
      </c>
      <c r="B10" s="794" t="s">
        <v>1017</v>
      </c>
      <c r="C10" s="795">
        <v>250000</v>
      </c>
      <c r="D10" s="795">
        <v>0</v>
      </c>
      <c r="E10" s="795">
        <v>0</v>
      </c>
      <c r="F10" s="796" t="s">
        <v>913</v>
      </c>
    </row>
    <row r="11" spans="1:6" ht="15" customHeight="1">
      <c r="A11" s="797" t="s">
        <v>159</v>
      </c>
      <c r="B11" s="794" t="s">
        <v>1017</v>
      </c>
      <c r="C11" s="798">
        <v>25000</v>
      </c>
      <c r="D11" s="798">
        <v>0</v>
      </c>
      <c r="E11" s="798">
        <v>0</v>
      </c>
      <c r="F11" s="799" t="s">
        <v>1018</v>
      </c>
    </row>
    <row r="12" spans="1:6" ht="15" customHeight="1">
      <c r="A12" s="797" t="s">
        <v>1019</v>
      </c>
      <c r="B12" s="794" t="s">
        <v>1017</v>
      </c>
      <c r="C12" s="798">
        <v>12262</v>
      </c>
      <c r="D12" s="798">
        <v>31449</v>
      </c>
      <c r="E12" s="798">
        <v>0</v>
      </c>
      <c r="F12" s="800" t="s">
        <v>915</v>
      </c>
    </row>
    <row r="13" spans="1:6" ht="15" customHeight="1">
      <c r="A13" s="797" t="s">
        <v>1020</v>
      </c>
      <c r="B13" s="794" t="s">
        <v>1017</v>
      </c>
      <c r="C13" s="798">
        <v>0</v>
      </c>
      <c r="D13" s="798">
        <v>450000</v>
      </c>
      <c r="E13" s="798">
        <v>350000</v>
      </c>
      <c r="F13" s="800" t="s">
        <v>1021</v>
      </c>
    </row>
    <row r="14" spans="1:6" ht="15" customHeight="1">
      <c r="A14" s="797"/>
      <c r="B14" s="794"/>
      <c r="C14" s="798"/>
      <c r="D14" s="798"/>
      <c r="E14" s="798"/>
      <c r="F14" s="800"/>
    </row>
    <row r="15" spans="1:6" ht="15" customHeight="1">
      <c r="A15" s="621"/>
      <c r="B15" s="621"/>
      <c r="C15" s="685"/>
      <c r="D15" s="685"/>
      <c r="E15" s="685"/>
      <c r="F15" s="621"/>
    </row>
    <row r="16" spans="1:6" ht="15" customHeight="1">
      <c r="A16" s="621"/>
      <c r="B16" s="621"/>
      <c r="C16" s="685"/>
      <c r="D16" s="685"/>
      <c r="E16" s="685"/>
      <c r="F16" s="621"/>
    </row>
    <row r="17" spans="1:6" ht="15" customHeight="1">
      <c r="A17" s="621"/>
      <c r="B17" s="621"/>
      <c r="C17" s="685"/>
      <c r="D17" s="685"/>
      <c r="E17" s="685"/>
      <c r="F17" s="621"/>
    </row>
    <row r="18" spans="1:6" ht="15" customHeight="1">
      <c r="A18" s="621"/>
      <c r="B18" s="621"/>
      <c r="C18" s="685"/>
      <c r="D18" s="685"/>
      <c r="E18" s="685"/>
      <c r="F18" s="621"/>
    </row>
    <row r="19" spans="1:6" ht="15" customHeight="1">
      <c r="A19" s="621"/>
      <c r="B19" s="686"/>
      <c r="C19" s="685"/>
      <c r="D19" s="685"/>
      <c r="E19" s="685"/>
      <c r="F19" s="621"/>
    </row>
    <row r="20" spans="1:6" ht="15" customHeight="1">
      <c r="A20" s="621"/>
      <c r="B20" s="621"/>
      <c r="C20" s="685"/>
      <c r="D20" s="685"/>
      <c r="E20" s="685"/>
      <c r="F20" s="621"/>
    </row>
    <row r="21" spans="1:6" ht="15" customHeight="1">
      <c r="A21" s="621"/>
      <c r="B21" s="621"/>
      <c r="C21" s="685"/>
      <c r="D21" s="685"/>
      <c r="E21" s="685"/>
      <c r="F21" s="621"/>
    </row>
    <row r="22" spans="1:6" ht="15" customHeight="1">
      <c r="A22" s="621"/>
      <c r="B22" s="621"/>
      <c r="C22" s="685"/>
      <c r="D22" s="685"/>
      <c r="E22" s="685"/>
      <c r="F22" s="621"/>
    </row>
    <row r="23" spans="1:6" ht="15" customHeight="1">
      <c r="A23" s="621"/>
      <c r="B23" s="621"/>
      <c r="C23" s="685"/>
      <c r="D23" s="685"/>
      <c r="E23" s="685"/>
      <c r="F23" s="621"/>
    </row>
    <row r="24" spans="1:6" ht="15" customHeight="1">
      <c r="A24" s="621"/>
      <c r="B24" s="621"/>
      <c r="C24" s="685"/>
      <c r="D24" s="685"/>
      <c r="E24" s="685"/>
      <c r="F24" s="621"/>
    </row>
    <row r="25" spans="1:6" ht="15" customHeight="1">
      <c r="A25" s="621"/>
      <c r="B25" s="621"/>
      <c r="C25" s="685"/>
      <c r="D25" s="685"/>
      <c r="E25" s="685"/>
      <c r="F25" s="621"/>
    </row>
    <row r="26" spans="1:6" ht="15" customHeight="1">
      <c r="A26" s="621"/>
      <c r="B26" s="621"/>
      <c r="C26" s="685"/>
      <c r="D26" s="685"/>
      <c r="E26" s="685"/>
      <c r="F26" s="621"/>
    </row>
    <row r="27" spans="1:6" ht="12.75">
      <c r="A27" s="644"/>
      <c r="B27" s="650" t="s">
        <v>117</v>
      </c>
      <c r="C27" s="679">
        <f>SUM(C10:C26)</f>
        <v>287262</v>
      </c>
      <c r="D27" s="679">
        <f>SUM(D10:D26)</f>
        <v>481449</v>
      </c>
      <c r="E27" s="679">
        <f>SUM(E10:E26)</f>
        <v>350000</v>
      </c>
      <c r="F27" s="644"/>
    </row>
    <row r="28" spans="1:6" ht="12.75">
      <c r="A28" s="644"/>
      <c r="B28" s="680" t="s">
        <v>996</v>
      </c>
      <c r="C28" s="683">
        <v>0</v>
      </c>
      <c r="D28" s="684">
        <v>0</v>
      </c>
      <c r="E28" s="684">
        <v>0</v>
      </c>
      <c r="F28" s="644"/>
    </row>
    <row r="29" spans="1:6" ht="12.75">
      <c r="A29" s="644"/>
      <c r="B29" s="650" t="s">
        <v>294</v>
      </c>
      <c r="C29" s="679">
        <f>C27</f>
        <v>287262</v>
      </c>
      <c r="D29" s="679">
        <f>SUM(D27-D28)</f>
        <v>481449</v>
      </c>
      <c r="E29" s="679">
        <f>SUM(E27-E28)</f>
        <v>350000</v>
      </c>
      <c r="F29" s="644"/>
    </row>
    <row r="30" spans="1:6" ht="12.75">
      <c r="A30" s="644"/>
      <c r="B30" s="644"/>
      <c r="C30" s="644"/>
      <c r="D30" s="644"/>
      <c r="E30" s="644"/>
      <c r="F30" s="644"/>
    </row>
    <row r="31" spans="1:6" ht="12.75">
      <c r="A31" s="644"/>
      <c r="B31" s="644"/>
      <c r="C31" s="644"/>
      <c r="D31" s="644"/>
      <c r="E31" s="644"/>
      <c r="F31" s="644"/>
    </row>
    <row r="32" spans="1:6" ht="12.75">
      <c r="A32" s="681" t="s">
        <v>608</v>
      </c>
      <c r="B32" s="682" t="str">
        <f>CONCATENATE("Adjustments are required only if the transfer is being made in ",D9," and/or ",E9," from a non-budgeted fund.")</f>
        <v>Adjustments are required only if the transfer is being made in 2012 and/or 2013 from a non-budgeted fund.</v>
      </c>
      <c r="C32" s="644"/>
      <c r="D32" s="644"/>
      <c r="E32" s="644"/>
      <c r="F32" s="644"/>
    </row>
  </sheetData>
  <sheetProtection/>
  <mergeCells count="1">
    <mergeCell ref="A5:F5"/>
  </mergeCells>
  <printOptions/>
  <pageMargins left="0.5" right="0.5" top="0.72" bottom="0.23" header="0.5" footer="0"/>
  <pageSetup blackAndWhite="1" fitToHeight="1" fitToWidth="1" horizontalDpi="120" verticalDpi="120" orientation="portrait" scale="83" r:id="rId1"/>
  <headerFooter alignWithMargins="0">
    <oddHeader>&amp;RState of Kansas
County
</oddHeader>
    <oddFooter>&amp;C&amp;"Arial,Regular"&amp;11WY-&amp;P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AC42"/>
  <sheetViews>
    <sheetView zoomScale="75" zoomScaleNormal="75" zoomScalePageLayoutView="0" workbookViewId="0" topLeftCell="C1">
      <selection activeCell="L37" sqref="L37:M37"/>
    </sheetView>
  </sheetViews>
  <sheetFormatPr defaultColWidth="8.796875" defaultRowHeight="15"/>
  <cols>
    <col min="1" max="1" width="5.3984375" style="486" customWidth="1"/>
    <col min="2" max="2" width="20.796875" style="486" customWidth="1"/>
    <col min="3" max="3" width="9.3984375" style="486" customWidth="1"/>
    <col min="4" max="4" width="9.796875" style="486" customWidth="1"/>
    <col min="5" max="5" width="8.796875" style="486" customWidth="1"/>
    <col min="6" max="6" width="12.796875" style="486" customWidth="1"/>
    <col min="7" max="7" width="14" style="486" customWidth="1"/>
    <col min="8" max="13" width="9.796875" style="486" customWidth="1"/>
    <col min="14" max="16384" width="8.8984375" style="486" customWidth="1"/>
  </cols>
  <sheetData>
    <row r="1" spans="2:13" ht="14.25">
      <c r="B1" s="417" t="str">
        <f>inputPrYr!$C$2</f>
        <v>Wyandotte County</v>
      </c>
      <c r="C1" s="418"/>
      <c r="D1" s="418"/>
      <c r="E1" s="418"/>
      <c r="F1" s="418"/>
      <c r="G1" s="418"/>
      <c r="H1" s="418"/>
      <c r="I1" s="418"/>
      <c r="J1" s="418"/>
      <c r="K1" s="418"/>
      <c r="L1" s="418"/>
      <c r="M1" s="485">
        <f>inputPrYr!$C$4</f>
        <v>2013</v>
      </c>
    </row>
    <row r="2" spans="2:13" ht="14.25">
      <c r="B2" s="417"/>
      <c r="C2" s="418"/>
      <c r="D2" s="418"/>
      <c r="E2" s="418"/>
      <c r="F2" s="418"/>
      <c r="G2" s="418"/>
      <c r="H2" s="418"/>
      <c r="I2" s="418"/>
      <c r="J2" s="418"/>
      <c r="K2" s="418"/>
      <c r="L2" s="418"/>
      <c r="M2" s="421"/>
    </row>
    <row r="3" spans="2:13" ht="15">
      <c r="B3" s="687" t="s">
        <v>208</v>
      </c>
      <c r="C3" s="688"/>
      <c r="D3" s="688"/>
      <c r="E3" s="688"/>
      <c r="F3" s="688"/>
      <c r="G3" s="688"/>
      <c r="H3" s="688"/>
      <c r="I3" s="688"/>
      <c r="J3" s="688"/>
      <c r="K3" s="688"/>
      <c r="L3" s="688"/>
      <c r="M3" s="688"/>
    </row>
    <row r="4" spans="2:13" ht="14.25">
      <c r="B4" s="418"/>
      <c r="C4" s="689"/>
      <c r="D4" s="689"/>
      <c r="E4" s="689"/>
      <c r="F4" s="689"/>
      <c r="G4" s="689"/>
      <c r="H4" s="689"/>
      <c r="I4" s="689"/>
      <c r="J4" s="689"/>
      <c r="K4" s="689"/>
      <c r="L4" s="689"/>
      <c r="M4" s="689"/>
    </row>
    <row r="5" spans="2:13" ht="14.25">
      <c r="B5" s="690" t="s">
        <v>753</v>
      </c>
      <c r="C5" s="690" t="s">
        <v>178</v>
      </c>
      <c r="D5" s="690" t="s">
        <v>178</v>
      </c>
      <c r="E5" s="690" t="s">
        <v>192</v>
      </c>
      <c r="F5" s="690"/>
      <c r="G5" s="690" t="s">
        <v>295</v>
      </c>
      <c r="H5" s="418"/>
      <c r="I5" s="418"/>
      <c r="J5" s="691" t="s">
        <v>179</v>
      </c>
      <c r="K5" s="692"/>
      <c r="L5" s="691" t="s">
        <v>179</v>
      </c>
      <c r="M5" s="692"/>
    </row>
    <row r="6" spans="2:13" ht="14.25">
      <c r="B6" s="693" t="s">
        <v>180</v>
      </c>
      <c r="C6" s="693" t="s">
        <v>180</v>
      </c>
      <c r="D6" s="693" t="s">
        <v>296</v>
      </c>
      <c r="E6" s="693" t="s">
        <v>181</v>
      </c>
      <c r="F6" s="693" t="s">
        <v>136</v>
      </c>
      <c r="G6" s="693" t="s">
        <v>252</v>
      </c>
      <c r="H6" s="862" t="s">
        <v>182</v>
      </c>
      <c r="I6" s="863"/>
      <c r="J6" s="864">
        <f>M1-1</f>
        <v>2012</v>
      </c>
      <c r="K6" s="865"/>
      <c r="L6" s="864">
        <f>M1</f>
        <v>2013</v>
      </c>
      <c r="M6" s="865"/>
    </row>
    <row r="7" spans="2:13" ht="14.25">
      <c r="B7" s="695" t="s">
        <v>754</v>
      </c>
      <c r="C7" s="695" t="s">
        <v>183</v>
      </c>
      <c r="D7" s="695" t="s">
        <v>297</v>
      </c>
      <c r="E7" s="695" t="s">
        <v>156</v>
      </c>
      <c r="F7" s="695" t="s">
        <v>184</v>
      </c>
      <c r="G7" s="694" t="str">
        <f>CONCATENATE("Jan 1,",M1-1,"")</f>
        <v>Jan 1,2012</v>
      </c>
      <c r="H7" s="696" t="s">
        <v>192</v>
      </c>
      <c r="I7" s="696" t="s">
        <v>193</v>
      </c>
      <c r="J7" s="696" t="s">
        <v>192</v>
      </c>
      <c r="K7" s="696" t="s">
        <v>193</v>
      </c>
      <c r="L7" s="696" t="s">
        <v>192</v>
      </c>
      <c r="M7" s="696" t="s">
        <v>193</v>
      </c>
    </row>
    <row r="8" spans="2:13" ht="14.25">
      <c r="B8" s="697" t="s">
        <v>185</v>
      </c>
      <c r="C8" s="511"/>
      <c r="D8" s="511"/>
      <c r="E8" s="698"/>
      <c r="F8" s="434"/>
      <c r="G8" s="434"/>
      <c r="H8" s="511"/>
      <c r="I8" s="511"/>
      <c r="J8" s="434"/>
      <c r="K8" s="434"/>
      <c r="L8" s="434"/>
      <c r="M8" s="434"/>
    </row>
    <row r="9" spans="2:13" ht="14.25">
      <c r="B9" s="778" t="s">
        <v>1009</v>
      </c>
      <c r="C9" s="700">
        <v>40598</v>
      </c>
      <c r="D9" s="700">
        <v>42583</v>
      </c>
      <c r="E9" s="701">
        <v>2.17</v>
      </c>
      <c r="F9" s="702">
        <v>645000</v>
      </c>
      <c r="G9" s="703">
        <v>645000</v>
      </c>
      <c r="H9" s="704" t="s">
        <v>1010</v>
      </c>
      <c r="I9" s="704" t="s">
        <v>1011</v>
      </c>
      <c r="J9" s="703">
        <v>16372</v>
      </c>
      <c r="K9" s="703">
        <v>120000</v>
      </c>
      <c r="L9" s="703">
        <v>10200</v>
      </c>
      <c r="M9" s="703">
        <v>130000</v>
      </c>
    </row>
    <row r="10" spans="2:13" ht="14.25">
      <c r="B10" s="699"/>
      <c r="C10" s="700"/>
      <c r="D10" s="700"/>
      <c r="E10" s="701"/>
      <c r="F10" s="702"/>
      <c r="G10" s="703"/>
      <c r="H10" s="704"/>
      <c r="I10" s="704"/>
      <c r="J10" s="703"/>
      <c r="K10" s="703"/>
      <c r="L10" s="703"/>
      <c r="M10" s="703"/>
    </row>
    <row r="11" spans="2:13" ht="14.25">
      <c r="B11" s="699"/>
      <c r="C11" s="700"/>
      <c r="D11" s="700"/>
      <c r="E11" s="701"/>
      <c r="F11" s="702"/>
      <c r="G11" s="703"/>
      <c r="H11" s="704"/>
      <c r="I11" s="704"/>
      <c r="J11" s="703"/>
      <c r="K11" s="703"/>
      <c r="L11" s="703"/>
      <c r="M11" s="703"/>
    </row>
    <row r="12" spans="2:13" ht="14.25">
      <c r="B12" s="699"/>
      <c r="C12" s="700"/>
      <c r="D12" s="700"/>
      <c r="E12" s="701"/>
      <c r="F12" s="702"/>
      <c r="G12" s="703"/>
      <c r="H12" s="704"/>
      <c r="I12" s="704"/>
      <c r="J12" s="703"/>
      <c r="K12" s="703"/>
      <c r="L12" s="703"/>
      <c r="M12" s="703"/>
    </row>
    <row r="13" spans="2:13" ht="14.25">
      <c r="B13" s="699"/>
      <c r="C13" s="700"/>
      <c r="D13" s="700"/>
      <c r="E13" s="701"/>
      <c r="F13" s="702"/>
      <c r="G13" s="703"/>
      <c r="H13" s="704"/>
      <c r="I13" s="704"/>
      <c r="J13" s="703"/>
      <c r="K13" s="703"/>
      <c r="L13" s="703"/>
      <c r="M13" s="703"/>
    </row>
    <row r="14" spans="2:13" ht="14.25">
      <c r="B14" s="699"/>
      <c r="C14" s="700"/>
      <c r="D14" s="700"/>
      <c r="E14" s="701"/>
      <c r="F14" s="702"/>
      <c r="G14" s="703"/>
      <c r="H14" s="704"/>
      <c r="I14" s="704"/>
      <c r="J14" s="703"/>
      <c r="K14" s="703"/>
      <c r="L14" s="703"/>
      <c r="M14" s="703"/>
    </row>
    <row r="15" spans="2:13" ht="14.25">
      <c r="B15" s="699"/>
      <c r="C15" s="700"/>
      <c r="D15" s="700"/>
      <c r="E15" s="701"/>
      <c r="F15" s="702"/>
      <c r="G15" s="703"/>
      <c r="H15" s="704"/>
      <c r="I15" s="704"/>
      <c r="J15" s="703"/>
      <c r="K15" s="703"/>
      <c r="L15" s="703"/>
      <c r="M15" s="703"/>
    </row>
    <row r="16" spans="2:13" ht="14.25">
      <c r="B16" s="699"/>
      <c r="C16" s="700"/>
      <c r="D16" s="700"/>
      <c r="E16" s="701"/>
      <c r="F16" s="702"/>
      <c r="G16" s="703"/>
      <c r="H16" s="704"/>
      <c r="I16" s="704"/>
      <c r="J16" s="703"/>
      <c r="K16" s="703"/>
      <c r="L16" s="703"/>
      <c r="M16" s="703"/>
    </row>
    <row r="17" spans="2:13" ht="14.25">
      <c r="B17" s="699"/>
      <c r="C17" s="700"/>
      <c r="D17" s="700"/>
      <c r="E17" s="701"/>
      <c r="F17" s="702"/>
      <c r="G17" s="703"/>
      <c r="H17" s="704"/>
      <c r="I17" s="704"/>
      <c r="J17" s="703"/>
      <c r="K17" s="703"/>
      <c r="L17" s="703"/>
      <c r="M17" s="703"/>
    </row>
    <row r="18" spans="2:13" ht="14.25">
      <c r="B18" s="699"/>
      <c r="C18" s="700"/>
      <c r="D18" s="700"/>
      <c r="E18" s="701"/>
      <c r="F18" s="702"/>
      <c r="G18" s="703"/>
      <c r="H18" s="704"/>
      <c r="I18" s="704"/>
      <c r="J18" s="703"/>
      <c r="K18" s="703"/>
      <c r="L18" s="703"/>
      <c r="M18" s="703"/>
    </row>
    <row r="19" spans="2:13" ht="15">
      <c r="B19" s="705" t="s">
        <v>186</v>
      </c>
      <c r="C19" s="706"/>
      <c r="D19" s="706"/>
      <c r="E19" s="707"/>
      <c r="F19" s="708"/>
      <c r="G19" s="709">
        <f>SUM(G9:G18)</f>
        <v>645000</v>
      </c>
      <c r="H19" s="710"/>
      <c r="I19" s="710"/>
      <c r="J19" s="709">
        <f>SUM(J9:J18)</f>
        <v>16372</v>
      </c>
      <c r="K19" s="709">
        <f>SUM(K9:K18)</f>
        <v>120000</v>
      </c>
      <c r="L19" s="709">
        <f>SUM(L9:L18)</f>
        <v>10200</v>
      </c>
      <c r="M19" s="709">
        <f>SUM(M9:M18)</f>
        <v>130000</v>
      </c>
    </row>
    <row r="20" spans="2:13" ht="14.25">
      <c r="B20" s="696" t="s">
        <v>187</v>
      </c>
      <c r="C20" s="711"/>
      <c r="D20" s="711"/>
      <c r="E20" s="712"/>
      <c r="F20" s="459"/>
      <c r="G20" s="459"/>
      <c r="H20" s="713"/>
      <c r="I20" s="713"/>
      <c r="J20" s="459"/>
      <c r="K20" s="459"/>
      <c r="L20" s="459"/>
      <c r="M20" s="459"/>
    </row>
    <row r="21" spans="2:13" ht="14.25">
      <c r="B21" s="699"/>
      <c r="C21" s="700"/>
      <c r="D21" s="700"/>
      <c r="E21" s="701"/>
      <c r="F21" s="702"/>
      <c r="G21" s="703"/>
      <c r="H21" s="704"/>
      <c r="I21" s="704"/>
      <c r="J21" s="703"/>
      <c r="K21" s="703"/>
      <c r="L21" s="703"/>
      <c r="M21" s="703"/>
    </row>
    <row r="22" spans="2:13" ht="14.25">
      <c r="B22" s="699"/>
      <c r="C22" s="700"/>
      <c r="D22" s="700"/>
      <c r="E22" s="701"/>
      <c r="F22" s="702"/>
      <c r="G22" s="703"/>
      <c r="H22" s="704"/>
      <c r="I22" s="704"/>
      <c r="J22" s="703"/>
      <c r="K22" s="703"/>
      <c r="L22" s="703"/>
      <c r="M22" s="703"/>
    </row>
    <row r="23" spans="2:13" ht="14.25">
      <c r="B23" s="699"/>
      <c r="C23" s="700"/>
      <c r="D23" s="700"/>
      <c r="E23" s="701"/>
      <c r="F23" s="702"/>
      <c r="G23" s="703"/>
      <c r="H23" s="704"/>
      <c r="I23" s="704"/>
      <c r="J23" s="703"/>
      <c r="K23" s="703"/>
      <c r="L23" s="703"/>
      <c r="M23" s="703"/>
    </row>
    <row r="24" spans="2:13" ht="14.25">
      <c r="B24" s="699"/>
      <c r="C24" s="700"/>
      <c r="D24" s="700"/>
      <c r="E24" s="701"/>
      <c r="F24" s="702"/>
      <c r="G24" s="703"/>
      <c r="H24" s="704"/>
      <c r="I24" s="704"/>
      <c r="J24" s="703"/>
      <c r="K24" s="703"/>
      <c r="L24" s="703"/>
      <c r="M24" s="703"/>
    </row>
    <row r="25" spans="2:13" ht="14.25">
      <c r="B25" s="699"/>
      <c r="C25" s="700"/>
      <c r="D25" s="700"/>
      <c r="E25" s="701"/>
      <c r="F25" s="702"/>
      <c r="G25" s="703"/>
      <c r="H25" s="704"/>
      <c r="I25" s="704"/>
      <c r="J25" s="703"/>
      <c r="K25" s="703"/>
      <c r="L25" s="703"/>
      <c r="M25" s="703"/>
    </row>
    <row r="26" spans="2:13" ht="14.25">
      <c r="B26" s="699"/>
      <c r="C26" s="700"/>
      <c r="D26" s="700"/>
      <c r="E26" s="701"/>
      <c r="F26" s="702"/>
      <c r="G26" s="703"/>
      <c r="H26" s="704"/>
      <c r="I26" s="704"/>
      <c r="J26" s="703"/>
      <c r="K26" s="703"/>
      <c r="L26" s="703"/>
      <c r="M26" s="703"/>
    </row>
    <row r="27" spans="2:13" ht="15">
      <c r="B27" s="705" t="s">
        <v>188</v>
      </c>
      <c r="C27" s="706"/>
      <c r="D27" s="706"/>
      <c r="E27" s="714"/>
      <c r="F27" s="708"/>
      <c r="G27" s="715">
        <f>SUM(G21:G26)</f>
        <v>0</v>
      </c>
      <c r="H27" s="710"/>
      <c r="I27" s="710"/>
      <c r="J27" s="715">
        <f>SUM(J21:J26)</f>
        <v>0</v>
      </c>
      <c r="K27" s="715">
        <f>SUM(K21:K26)</f>
        <v>0</v>
      </c>
      <c r="L27" s="709">
        <f>SUM(L21:L26)</f>
        <v>0</v>
      </c>
      <c r="M27" s="715">
        <f>SUM(M21:M26)</f>
        <v>0</v>
      </c>
    </row>
    <row r="28" spans="2:13" ht="14.25">
      <c r="B28" s="696" t="s">
        <v>189</v>
      </c>
      <c r="C28" s="711"/>
      <c r="D28" s="711"/>
      <c r="E28" s="712"/>
      <c r="F28" s="459"/>
      <c r="G28" s="716"/>
      <c r="H28" s="713"/>
      <c r="I28" s="713"/>
      <c r="J28" s="459"/>
      <c r="K28" s="459"/>
      <c r="L28" s="459"/>
      <c r="M28" s="459"/>
    </row>
    <row r="29" spans="2:13" ht="14.25">
      <c r="B29" s="699" t="s">
        <v>1012</v>
      </c>
      <c r="C29" s="700">
        <v>40452</v>
      </c>
      <c r="D29" s="700">
        <v>41122</v>
      </c>
      <c r="E29" s="701"/>
      <c r="F29" s="702">
        <v>105000</v>
      </c>
      <c r="G29" s="703">
        <v>55000</v>
      </c>
      <c r="H29" s="704" t="s">
        <v>1011</v>
      </c>
      <c r="I29" s="704" t="s">
        <v>1011</v>
      </c>
      <c r="J29" s="703">
        <v>387</v>
      </c>
      <c r="K29" s="703">
        <v>55000</v>
      </c>
      <c r="L29" s="703">
        <v>0</v>
      </c>
      <c r="M29" s="703">
        <v>0</v>
      </c>
    </row>
    <row r="30" spans="2:13" ht="14.25">
      <c r="B30" s="699"/>
      <c r="C30" s="700"/>
      <c r="D30" s="700"/>
      <c r="E30" s="701"/>
      <c r="F30" s="702"/>
      <c r="G30" s="703"/>
      <c r="H30" s="704"/>
      <c r="I30" s="704"/>
      <c r="J30" s="703"/>
      <c r="K30" s="703"/>
      <c r="L30" s="703"/>
      <c r="M30" s="703"/>
    </row>
    <row r="31" spans="2:13" ht="14.25">
      <c r="B31" s="699"/>
      <c r="C31" s="700"/>
      <c r="D31" s="700"/>
      <c r="E31" s="701"/>
      <c r="F31" s="702"/>
      <c r="G31" s="703"/>
      <c r="H31" s="704"/>
      <c r="I31" s="704"/>
      <c r="J31" s="703"/>
      <c r="K31" s="703"/>
      <c r="L31" s="703"/>
      <c r="M31" s="703"/>
    </row>
    <row r="32" spans="2:13" ht="14.25">
      <c r="B32" s="699"/>
      <c r="C32" s="700"/>
      <c r="D32" s="700"/>
      <c r="E32" s="701"/>
      <c r="F32" s="702"/>
      <c r="G32" s="703"/>
      <c r="H32" s="704"/>
      <c r="I32" s="704"/>
      <c r="J32" s="703"/>
      <c r="K32" s="703"/>
      <c r="L32" s="703"/>
      <c r="M32" s="703"/>
    </row>
    <row r="33" spans="2:13" ht="14.25">
      <c r="B33" s="699"/>
      <c r="C33" s="700"/>
      <c r="D33" s="700"/>
      <c r="E33" s="701"/>
      <c r="F33" s="702"/>
      <c r="G33" s="703"/>
      <c r="H33" s="704"/>
      <c r="I33" s="704"/>
      <c r="J33" s="703"/>
      <c r="K33" s="703"/>
      <c r="L33" s="703"/>
      <c r="M33" s="703"/>
    </row>
    <row r="34" spans="2:13" ht="14.25">
      <c r="B34" s="699"/>
      <c r="C34" s="700"/>
      <c r="D34" s="700"/>
      <c r="E34" s="701"/>
      <c r="F34" s="702"/>
      <c r="G34" s="703"/>
      <c r="H34" s="704"/>
      <c r="I34" s="704"/>
      <c r="J34" s="703"/>
      <c r="K34" s="703"/>
      <c r="L34" s="703"/>
      <c r="M34" s="703"/>
    </row>
    <row r="35" spans="2:29" ht="14.25">
      <c r="B35" s="699"/>
      <c r="C35" s="700"/>
      <c r="D35" s="700"/>
      <c r="E35" s="701"/>
      <c r="F35" s="702"/>
      <c r="G35" s="703"/>
      <c r="H35" s="704"/>
      <c r="I35" s="704"/>
      <c r="J35" s="703"/>
      <c r="K35" s="703"/>
      <c r="L35" s="703"/>
      <c r="M35" s="703"/>
      <c r="N35" s="420"/>
      <c r="O35" s="420"/>
      <c r="P35" s="420"/>
      <c r="Q35" s="420"/>
      <c r="R35" s="420"/>
      <c r="S35" s="420"/>
      <c r="T35" s="420"/>
      <c r="U35" s="420"/>
      <c r="V35" s="420"/>
      <c r="W35" s="420"/>
      <c r="X35" s="420"/>
      <c r="Y35" s="420"/>
      <c r="Z35" s="420"/>
      <c r="AA35" s="420"/>
      <c r="AB35" s="420"/>
      <c r="AC35" s="420"/>
    </row>
    <row r="36" spans="2:13" ht="15">
      <c r="B36" s="705" t="s">
        <v>298</v>
      </c>
      <c r="C36" s="705"/>
      <c r="D36" s="705"/>
      <c r="E36" s="714"/>
      <c r="F36" s="708"/>
      <c r="G36" s="715">
        <f>SUM(G29:G35)</f>
        <v>55000</v>
      </c>
      <c r="H36" s="708"/>
      <c r="I36" s="708"/>
      <c r="J36" s="715">
        <f>SUM(J29:J35)</f>
        <v>387</v>
      </c>
      <c r="K36" s="715">
        <f>SUM(K29:K35)</f>
        <v>55000</v>
      </c>
      <c r="L36" s="715">
        <f>SUM(L29:L35)</f>
        <v>0</v>
      </c>
      <c r="M36" s="715">
        <f>SUM(M29:M35)</f>
        <v>0</v>
      </c>
    </row>
    <row r="37" spans="2:13" ht="15">
      <c r="B37" s="705" t="s">
        <v>190</v>
      </c>
      <c r="C37" s="705"/>
      <c r="D37" s="705"/>
      <c r="E37" s="705"/>
      <c r="F37" s="708"/>
      <c r="G37" s="715">
        <f>SUM(G19+G27+G36)</f>
        <v>700000</v>
      </c>
      <c r="H37" s="708"/>
      <c r="I37" s="708"/>
      <c r="J37" s="715">
        <f>SUM(J19+J27+J36)</f>
        <v>16759</v>
      </c>
      <c r="K37" s="715">
        <f>SUM(K19+K27+K36)</f>
        <v>175000</v>
      </c>
      <c r="L37" s="715">
        <f>SUM(L19+L27+L36)</f>
        <v>10200</v>
      </c>
      <c r="M37" s="715">
        <f>SUM(M19+M27+M36)</f>
        <v>130000</v>
      </c>
    </row>
    <row r="38" spans="2:13" ht="14.25">
      <c r="B38" s="420"/>
      <c r="C38" s="420"/>
      <c r="D38" s="420"/>
      <c r="E38" s="420"/>
      <c r="F38" s="420"/>
      <c r="G38" s="420"/>
      <c r="H38" s="420"/>
      <c r="I38" s="420"/>
      <c r="J38" s="420"/>
      <c r="K38" s="420"/>
      <c r="L38" s="420"/>
      <c r="M38" s="420"/>
    </row>
    <row r="39" spans="6:13" ht="14.25">
      <c r="F39" s="717"/>
      <c r="G39" s="717"/>
      <c r="J39" s="717"/>
      <c r="K39" s="717"/>
      <c r="L39" s="717"/>
      <c r="M39" s="717"/>
    </row>
    <row r="40" spans="6:14" ht="14.25">
      <c r="F40" s="420"/>
      <c r="H40" s="718"/>
      <c r="N40" s="420"/>
    </row>
    <row r="41" spans="2:13" ht="14.25">
      <c r="B41" s="420"/>
      <c r="C41" s="420"/>
      <c r="D41" s="420"/>
      <c r="E41" s="420"/>
      <c r="F41" s="420"/>
      <c r="G41" s="420"/>
      <c r="H41" s="420"/>
      <c r="I41" s="420"/>
      <c r="J41" s="420"/>
      <c r="K41" s="420"/>
      <c r="L41" s="420"/>
      <c r="M41" s="420"/>
    </row>
    <row r="42" spans="2:13" ht="14.25">
      <c r="B42" s="420"/>
      <c r="C42" s="420"/>
      <c r="D42" s="420"/>
      <c r="E42" s="420"/>
      <c r="F42" s="420"/>
      <c r="G42" s="420"/>
      <c r="H42" s="420"/>
      <c r="I42" s="420"/>
      <c r="J42" s="420"/>
      <c r="K42" s="420"/>
      <c r="L42" s="420"/>
      <c r="M42" s="420"/>
    </row>
  </sheetData>
  <sheetProtection/>
  <mergeCells count="3">
    <mergeCell ref="H6:I6"/>
    <mergeCell ref="J6:K6"/>
    <mergeCell ref="L6:M6"/>
  </mergeCells>
  <printOptions/>
  <pageMargins left="0.38" right="0.5" top="0.78" bottom="0.4" header="0.5" footer="0"/>
  <pageSetup blackAndWhite="1" fitToHeight="1" fitToWidth="1" horizontalDpi="120" verticalDpi="120" orientation="landscape" scale="77" r:id="rId1"/>
  <headerFooter alignWithMargins="0">
    <oddHeader>&amp;RState of Kansas
County
</oddHeader>
    <oddFooter>&amp;C&amp;"Arial,Regular"&amp;11WY-&amp;P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J48"/>
  <sheetViews>
    <sheetView zoomScale="75" zoomScaleNormal="75" zoomScalePageLayoutView="0" workbookViewId="0" topLeftCell="A1">
      <selection activeCell="B19" sqref="B19"/>
    </sheetView>
  </sheetViews>
  <sheetFormatPr defaultColWidth="8.796875" defaultRowHeight="15"/>
  <cols>
    <col min="1" max="1" width="4.796875" style="72" customWidth="1"/>
    <col min="2" max="2" width="25.796875" style="72" customWidth="1"/>
    <col min="3" max="5" width="9.796875" style="72" customWidth="1"/>
    <col min="6" max="6" width="17.09765625" style="72" customWidth="1"/>
    <col min="7" max="9" width="15.796875" style="72" customWidth="1"/>
    <col min="10" max="16384" width="8.8984375" style="72" customWidth="1"/>
  </cols>
  <sheetData>
    <row r="1" spans="2:9" ht="15.75">
      <c r="B1" s="417" t="str">
        <f>inputPrYr!$C$2</f>
        <v>Wyandotte County</v>
      </c>
      <c r="C1" s="418"/>
      <c r="D1" s="418"/>
      <c r="E1" s="418"/>
      <c r="F1" s="418"/>
      <c r="G1" s="418"/>
      <c r="H1" s="418"/>
      <c r="I1" s="419">
        <f>inputPrYr!C4</f>
        <v>2013</v>
      </c>
    </row>
    <row r="2" spans="2:9" ht="15.75">
      <c r="B2" s="418"/>
      <c r="C2" s="418"/>
      <c r="D2" s="418"/>
      <c r="E2" s="418"/>
      <c r="F2" s="418"/>
      <c r="G2" s="418"/>
      <c r="H2" s="418"/>
      <c r="I2" s="421"/>
    </row>
    <row r="3" spans="2:9" ht="15.75">
      <c r="B3" s="418"/>
      <c r="C3" s="720"/>
      <c r="D3" s="720"/>
      <c r="E3" s="720"/>
      <c r="F3" s="720"/>
      <c r="G3" s="720"/>
      <c r="H3" s="720"/>
      <c r="I3" s="458"/>
    </row>
    <row r="4" spans="2:9" ht="15.75">
      <c r="B4" s="721" t="s">
        <v>202</v>
      </c>
      <c r="C4" s="720"/>
      <c r="D4" s="720"/>
      <c r="E4" s="720"/>
      <c r="F4" s="720"/>
      <c r="G4" s="720"/>
      <c r="H4" s="720"/>
      <c r="I4" s="720"/>
    </row>
    <row r="5" spans="2:9" ht="15.75">
      <c r="B5" s="449"/>
      <c r="C5" s="722"/>
      <c r="D5" s="722"/>
      <c r="E5" s="722"/>
      <c r="F5" s="722"/>
      <c r="G5" s="722"/>
      <c r="H5" s="722"/>
      <c r="I5" s="722"/>
    </row>
    <row r="6" spans="2:9" ht="15.75">
      <c r="B6" s="572"/>
      <c r="C6" s="723"/>
      <c r="D6" s="723"/>
      <c r="E6" s="723"/>
      <c r="F6" s="724" t="s">
        <v>117</v>
      </c>
      <c r="G6" s="723"/>
      <c r="H6" s="723"/>
      <c r="I6" s="723"/>
    </row>
    <row r="7" spans="2:9" ht="15.75">
      <c r="B7" s="572"/>
      <c r="C7" s="725"/>
      <c r="D7" s="725" t="s">
        <v>191</v>
      </c>
      <c r="E7" s="725" t="s">
        <v>192</v>
      </c>
      <c r="F7" s="725" t="s">
        <v>136</v>
      </c>
      <c r="G7" s="725" t="s">
        <v>193</v>
      </c>
      <c r="H7" s="725" t="s">
        <v>194</v>
      </c>
      <c r="I7" s="725" t="s">
        <v>194</v>
      </c>
    </row>
    <row r="8" spans="2:9" ht="15.75">
      <c r="B8" s="726" t="s">
        <v>756</v>
      </c>
      <c r="C8" s="725" t="s">
        <v>195</v>
      </c>
      <c r="D8" s="725" t="s">
        <v>196</v>
      </c>
      <c r="E8" s="725" t="s">
        <v>181</v>
      </c>
      <c r="F8" s="725" t="s">
        <v>197</v>
      </c>
      <c r="G8" s="725" t="s">
        <v>234</v>
      </c>
      <c r="H8" s="725" t="s">
        <v>198</v>
      </c>
      <c r="I8" s="725" t="s">
        <v>198</v>
      </c>
    </row>
    <row r="9" spans="2:9" ht="15.75">
      <c r="B9" s="727" t="s">
        <v>755</v>
      </c>
      <c r="C9" s="719" t="s">
        <v>178</v>
      </c>
      <c r="D9" s="719" t="s">
        <v>199</v>
      </c>
      <c r="E9" s="719" t="s">
        <v>156</v>
      </c>
      <c r="F9" s="719" t="s">
        <v>253</v>
      </c>
      <c r="G9" s="728" t="str">
        <f>CONCATENATE("Jan 1,",I1-1,"")</f>
        <v>Jan 1,2012</v>
      </c>
      <c r="H9" s="719">
        <f>I1-1</f>
        <v>2012</v>
      </c>
      <c r="I9" s="719">
        <f>I1</f>
        <v>2013</v>
      </c>
    </row>
    <row r="10" spans="2:9" ht="15.75">
      <c r="B10" s="773" t="s">
        <v>1013</v>
      </c>
      <c r="C10" s="774">
        <v>37681</v>
      </c>
      <c r="D10" s="775">
        <v>168</v>
      </c>
      <c r="E10" s="776">
        <v>3.57</v>
      </c>
      <c r="F10" s="777">
        <v>1260000</v>
      </c>
      <c r="G10" s="777">
        <v>362239</v>
      </c>
      <c r="H10" s="777">
        <v>127605</v>
      </c>
      <c r="I10" s="777">
        <v>127605</v>
      </c>
    </row>
    <row r="11" spans="2:9" ht="15.75">
      <c r="B11" s="773" t="s">
        <v>1005</v>
      </c>
      <c r="C11" s="774">
        <v>38439</v>
      </c>
      <c r="D11" s="775">
        <v>84</v>
      </c>
      <c r="E11" s="776">
        <v>3.95</v>
      </c>
      <c r="F11" s="777">
        <v>1580000</v>
      </c>
      <c r="G11" s="777">
        <v>243175</v>
      </c>
      <c r="H11" s="777">
        <v>252785</v>
      </c>
      <c r="I11" s="777">
        <v>0</v>
      </c>
    </row>
    <row r="12" spans="2:9" ht="15.75">
      <c r="B12" s="773" t="s">
        <v>1006</v>
      </c>
      <c r="C12" s="774">
        <v>39182</v>
      </c>
      <c r="D12" s="775">
        <v>84</v>
      </c>
      <c r="E12" s="776">
        <v>3.9</v>
      </c>
      <c r="F12" s="777">
        <v>1133533</v>
      </c>
      <c r="G12" s="777">
        <v>356714</v>
      </c>
      <c r="H12" s="777">
        <v>181097</v>
      </c>
      <c r="I12" s="777">
        <v>181097</v>
      </c>
    </row>
    <row r="13" spans="2:9" ht="15.75">
      <c r="B13" s="773" t="s">
        <v>1007</v>
      </c>
      <c r="C13" s="774">
        <v>39182</v>
      </c>
      <c r="D13" s="775">
        <v>120</v>
      </c>
      <c r="E13" s="776">
        <v>3.9</v>
      </c>
      <c r="F13" s="777">
        <v>2193556</v>
      </c>
      <c r="G13" s="777">
        <v>1162433</v>
      </c>
      <c r="H13" s="777">
        <v>259000</v>
      </c>
      <c r="I13" s="777">
        <v>259000</v>
      </c>
    </row>
    <row r="14" spans="2:9" ht="15.75">
      <c r="B14" s="773" t="s">
        <v>1008</v>
      </c>
      <c r="C14" s="774">
        <v>40445</v>
      </c>
      <c r="D14" s="775">
        <v>180</v>
      </c>
      <c r="E14" s="776">
        <v>4.44</v>
      </c>
      <c r="F14" s="777">
        <v>578956</v>
      </c>
      <c r="G14" s="777">
        <v>548917</v>
      </c>
      <c r="H14" s="777">
        <v>47212</v>
      </c>
      <c r="I14" s="777">
        <v>49450</v>
      </c>
    </row>
    <row r="15" spans="2:9" ht="15.75">
      <c r="B15" s="593"/>
      <c r="C15" s="593"/>
      <c r="D15" s="729"/>
      <c r="E15" s="730"/>
      <c r="F15" s="450"/>
      <c r="G15" s="450"/>
      <c r="H15" s="450"/>
      <c r="I15" s="450"/>
    </row>
    <row r="16" spans="2:9" ht="15.75">
      <c r="B16" s="593"/>
      <c r="C16" s="593"/>
      <c r="D16" s="729"/>
      <c r="E16" s="730"/>
      <c r="F16" s="450"/>
      <c r="G16" s="450"/>
      <c r="H16" s="450"/>
      <c r="I16" s="450"/>
    </row>
    <row r="17" spans="2:9" ht="15.75">
      <c r="B17" s="593"/>
      <c r="C17" s="593"/>
      <c r="D17" s="729"/>
      <c r="E17" s="730"/>
      <c r="F17" s="450"/>
      <c r="G17" s="450"/>
      <c r="H17" s="450"/>
      <c r="I17" s="450"/>
    </row>
    <row r="18" spans="2:9" ht="15.75">
      <c r="B18" s="593"/>
      <c r="C18" s="593"/>
      <c r="D18" s="729"/>
      <c r="E18" s="730"/>
      <c r="F18" s="450"/>
      <c r="G18" s="450"/>
      <c r="H18" s="450"/>
      <c r="I18" s="450"/>
    </row>
    <row r="19" spans="2:9" ht="15.75">
      <c r="B19" s="593"/>
      <c r="C19" s="593"/>
      <c r="D19" s="729"/>
      <c r="E19" s="730"/>
      <c r="F19" s="450"/>
      <c r="G19" s="450"/>
      <c r="H19" s="450"/>
      <c r="I19" s="450"/>
    </row>
    <row r="20" spans="2:9" ht="15.75">
      <c r="B20" s="593"/>
      <c r="C20" s="593"/>
      <c r="D20" s="729"/>
      <c r="E20" s="730"/>
      <c r="F20" s="450"/>
      <c r="G20" s="450"/>
      <c r="H20" s="450"/>
      <c r="I20" s="450"/>
    </row>
    <row r="21" spans="2:9" ht="15.75">
      <c r="B21" s="593"/>
      <c r="C21" s="593"/>
      <c r="D21" s="729"/>
      <c r="E21" s="730"/>
      <c r="F21" s="450"/>
      <c r="G21" s="450"/>
      <c r="H21" s="450"/>
      <c r="I21" s="450"/>
    </row>
    <row r="22" spans="2:9" ht="15.75">
      <c r="B22" s="593"/>
      <c r="C22" s="593"/>
      <c r="D22" s="729"/>
      <c r="E22" s="730"/>
      <c r="F22" s="450"/>
      <c r="G22" s="450"/>
      <c r="H22" s="450"/>
      <c r="I22" s="450"/>
    </row>
    <row r="23" spans="2:9" ht="15.75">
      <c r="B23" s="593"/>
      <c r="C23" s="593"/>
      <c r="D23" s="729"/>
      <c r="E23" s="730"/>
      <c r="F23" s="450"/>
      <c r="G23" s="450"/>
      <c r="H23" s="450"/>
      <c r="I23" s="450"/>
    </row>
    <row r="24" spans="2:9" ht="15.75">
      <c r="B24" s="593"/>
      <c r="C24" s="593"/>
      <c r="D24" s="729"/>
      <c r="E24" s="730"/>
      <c r="F24" s="450"/>
      <c r="G24" s="450"/>
      <c r="H24" s="450"/>
      <c r="I24" s="450"/>
    </row>
    <row r="25" spans="2:9" ht="15.75">
      <c r="B25" s="593"/>
      <c r="C25" s="593"/>
      <c r="D25" s="729"/>
      <c r="E25" s="730"/>
      <c r="F25" s="450"/>
      <c r="G25" s="450"/>
      <c r="H25" s="450"/>
      <c r="I25" s="450"/>
    </row>
    <row r="26" spans="2:9" ht="15.75">
      <c r="B26" s="593"/>
      <c r="C26" s="593"/>
      <c r="D26" s="729"/>
      <c r="E26" s="730"/>
      <c r="F26" s="450"/>
      <c r="G26" s="450"/>
      <c r="H26" s="450"/>
      <c r="I26" s="450"/>
    </row>
    <row r="27" spans="2:9" ht="15.75">
      <c r="B27" s="593"/>
      <c r="C27" s="593"/>
      <c r="D27" s="729"/>
      <c r="E27" s="730"/>
      <c r="F27" s="450"/>
      <c r="G27" s="450"/>
      <c r="H27" s="450"/>
      <c r="I27" s="450"/>
    </row>
    <row r="28" spans="2:9" ht="15.75">
      <c r="B28" s="593"/>
      <c r="C28" s="593"/>
      <c r="D28" s="729"/>
      <c r="E28" s="730"/>
      <c r="F28" s="450"/>
      <c r="G28" s="450"/>
      <c r="H28" s="450"/>
      <c r="I28" s="450"/>
    </row>
    <row r="29" spans="2:9" ht="15.75">
      <c r="B29" s="593"/>
      <c r="C29" s="593"/>
      <c r="D29" s="729"/>
      <c r="E29" s="730"/>
      <c r="F29" s="450"/>
      <c r="G29" s="450"/>
      <c r="H29" s="450"/>
      <c r="I29" s="450"/>
    </row>
    <row r="30" spans="2:9" ht="15.75">
      <c r="B30" s="593"/>
      <c r="C30" s="593"/>
      <c r="D30" s="729"/>
      <c r="E30" s="730"/>
      <c r="F30" s="450"/>
      <c r="G30" s="450"/>
      <c r="H30" s="450"/>
      <c r="I30" s="450"/>
    </row>
    <row r="31" spans="2:9" ht="15.75">
      <c r="B31" s="593"/>
      <c r="C31" s="593"/>
      <c r="D31" s="729"/>
      <c r="E31" s="730"/>
      <c r="F31" s="450"/>
      <c r="G31" s="450"/>
      <c r="H31" s="450"/>
      <c r="I31" s="450"/>
    </row>
    <row r="32" spans="2:9" ht="15.75">
      <c r="B32" s="593"/>
      <c r="C32" s="593"/>
      <c r="D32" s="729"/>
      <c r="E32" s="730"/>
      <c r="F32" s="450"/>
      <c r="G32" s="450"/>
      <c r="H32" s="450"/>
      <c r="I32" s="450"/>
    </row>
    <row r="33" spans="2:9" ht="15.75">
      <c r="B33" s="593"/>
      <c r="C33" s="593"/>
      <c r="D33" s="729"/>
      <c r="E33" s="730"/>
      <c r="F33" s="450"/>
      <c r="G33" s="450"/>
      <c r="H33" s="450"/>
      <c r="I33" s="450"/>
    </row>
    <row r="34" spans="2:9" ht="15.75">
      <c r="B34" s="593"/>
      <c r="C34" s="593"/>
      <c r="D34" s="729"/>
      <c r="E34" s="730"/>
      <c r="F34" s="450"/>
      <c r="G34" s="450"/>
      <c r="H34" s="450"/>
      <c r="I34" s="450"/>
    </row>
    <row r="35" spans="2:9" ht="15.75">
      <c r="B35" s="593"/>
      <c r="C35" s="593"/>
      <c r="D35" s="729"/>
      <c r="E35" s="730"/>
      <c r="F35" s="450"/>
      <c r="G35" s="450"/>
      <c r="H35" s="450"/>
      <c r="I35" s="450"/>
    </row>
    <row r="36" spans="2:9" ht="15.75">
      <c r="B36" s="593"/>
      <c r="C36" s="593"/>
      <c r="D36" s="729"/>
      <c r="E36" s="730"/>
      <c r="F36" s="450"/>
      <c r="G36" s="450"/>
      <c r="H36" s="450"/>
      <c r="I36" s="450"/>
    </row>
    <row r="37" spans="2:10" ht="16.5" thickBot="1">
      <c r="B37" s="474"/>
      <c r="C37" s="418"/>
      <c r="D37" s="418"/>
      <c r="E37" s="418"/>
      <c r="F37" s="731" t="s">
        <v>143</v>
      </c>
      <c r="G37" s="732">
        <f>SUM(G10:G36)</f>
        <v>2673478</v>
      </c>
      <c r="H37" s="732">
        <f>SUM(H10:H36)</f>
        <v>867699</v>
      </c>
      <c r="I37" s="732">
        <f>SUM(I10:I36)</f>
        <v>617152</v>
      </c>
      <c r="J37" s="126"/>
    </row>
    <row r="38" spans="2:9" ht="16.5" thickTop="1">
      <c r="B38" s="418"/>
      <c r="C38" s="418"/>
      <c r="D38" s="418"/>
      <c r="E38" s="418"/>
      <c r="F38" s="418"/>
      <c r="G38" s="418"/>
      <c r="H38" s="417"/>
      <c r="I38" s="417"/>
    </row>
    <row r="39" spans="2:9" ht="15.75">
      <c r="B39" s="127" t="s">
        <v>74</v>
      </c>
      <c r="C39" s="128"/>
      <c r="D39" s="128"/>
      <c r="E39" s="128"/>
      <c r="F39" s="128"/>
      <c r="G39" s="128"/>
      <c r="H39" s="121"/>
      <c r="I39" s="121"/>
    </row>
    <row r="40" spans="2:9" ht="15.75">
      <c r="B40" s="100"/>
      <c r="C40" s="100"/>
      <c r="D40" s="124"/>
      <c r="E40" s="100"/>
      <c r="F40" s="100"/>
      <c r="G40" s="100"/>
      <c r="H40" s="123"/>
      <c r="I40" s="123"/>
    </row>
    <row r="41" spans="2:9" ht="15.75">
      <c r="B41" s="100"/>
      <c r="C41" s="100"/>
      <c r="D41" s="100"/>
      <c r="E41" s="100"/>
      <c r="F41" s="100"/>
      <c r="G41" s="100"/>
      <c r="H41" s="100"/>
      <c r="I41" s="100"/>
    </row>
    <row r="42" spans="2:9" ht="15.75">
      <c r="B42" s="100"/>
      <c r="C42" s="100"/>
      <c r="D42" s="100"/>
      <c r="E42" s="100"/>
      <c r="F42" s="100"/>
      <c r="G42" s="100"/>
      <c r="H42" s="100"/>
      <c r="I42" s="100"/>
    </row>
    <row r="43" spans="2:9" ht="15.75">
      <c r="B43" s="100"/>
      <c r="C43" s="100"/>
      <c r="D43" s="100"/>
      <c r="E43" s="100"/>
      <c r="F43" s="100"/>
      <c r="G43" s="100"/>
      <c r="H43" s="100"/>
      <c r="I43" s="100"/>
    </row>
    <row r="44" spans="2:9" ht="15.75">
      <c r="B44" s="100"/>
      <c r="C44" s="100"/>
      <c r="D44" s="100"/>
      <c r="E44" s="100"/>
      <c r="F44" s="100"/>
      <c r="G44" s="100"/>
      <c r="H44" s="100"/>
      <c r="I44" s="100"/>
    </row>
    <row r="45" spans="2:9" ht="15.75">
      <c r="B45" s="100"/>
      <c r="C45" s="100"/>
      <c r="D45" s="100"/>
      <c r="E45" s="100"/>
      <c r="F45" s="100"/>
      <c r="G45" s="100"/>
      <c r="H45" s="100"/>
      <c r="I45" s="100"/>
    </row>
    <row r="46" spans="2:9" ht="15.75">
      <c r="B46" s="100"/>
      <c r="C46" s="100"/>
      <c r="D46" s="100"/>
      <c r="E46" s="100"/>
      <c r="F46" s="100"/>
      <c r="G46" s="100"/>
      <c r="H46" s="100"/>
      <c r="I46" s="100"/>
    </row>
    <row r="47" spans="2:9" ht="15.75">
      <c r="B47" s="100"/>
      <c r="C47" s="100"/>
      <c r="D47" s="100"/>
      <c r="E47" s="100"/>
      <c r="F47" s="100"/>
      <c r="G47" s="100"/>
      <c r="H47" s="100"/>
      <c r="I47" s="100"/>
    </row>
    <row r="48" spans="2:9" ht="15.75">
      <c r="B48" s="100"/>
      <c r="C48" s="100"/>
      <c r="D48" s="100"/>
      <c r="E48" s="100"/>
      <c r="F48" s="100"/>
      <c r="G48" s="100"/>
      <c r="H48" s="100"/>
      <c r="I48" s="100"/>
    </row>
  </sheetData>
  <sheetProtection/>
  <printOptions/>
  <pageMargins left="0.17" right="0.5" top="0.78" bottom="0.4" header="0.5" footer="0"/>
  <pageSetup blackAndWhite="1" fitToHeight="1" fitToWidth="1" horizontalDpi="120" verticalDpi="120" orientation="landscape" scale="88" r:id="rId1"/>
  <headerFooter alignWithMargins="0">
    <oddHeader>&amp;RState of Kansas
County
</oddHeader>
    <oddFooter>&amp;C&amp;"Arial,Regular"&amp;11WY-&amp;P</oddFooter>
  </headerFooter>
</worksheet>
</file>

<file path=xl/worksheets/sheet7.xml><?xml version="1.0" encoding="utf-8"?>
<worksheet xmlns="http://schemas.openxmlformats.org/spreadsheetml/2006/main" xmlns:r="http://schemas.openxmlformats.org/officeDocument/2006/relationships">
  <sheetPr>
    <tabColor theme="9" tint="-0.24997000396251678"/>
  </sheetPr>
  <dimension ref="B1:L111"/>
  <sheetViews>
    <sheetView zoomScale="91" zoomScaleNormal="91" zoomScalePageLayoutView="0" workbookViewId="0" topLeftCell="A1">
      <selection activeCell="C49" sqref="C49"/>
    </sheetView>
  </sheetViews>
  <sheetFormatPr defaultColWidth="8.796875" defaultRowHeight="15"/>
  <cols>
    <col min="1" max="1" width="2.3984375" style="420" customWidth="1"/>
    <col min="2" max="2" width="38.19921875" style="420" customWidth="1"/>
    <col min="3" max="5" width="15.796875" style="420" customWidth="1"/>
    <col min="6" max="6" width="16.19921875" style="420" customWidth="1"/>
    <col min="7" max="7" width="32.8984375" style="420" customWidth="1"/>
    <col min="8" max="8" width="10.19921875" style="757" customWidth="1"/>
    <col min="9" max="9" width="8.8984375" style="420" customWidth="1"/>
    <col min="10" max="10" width="5" style="420" customWidth="1"/>
    <col min="11" max="11" width="10" style="420" customWidth="1"/>
    <col min="12" max="16384" width="8.8984375" style="420" customWidth="1"/>
  </cols>
  <sheetData>
    <row r="1" spans="2:6" ht="14.25">
      <c r="B1" s="417" t="str">
        <f>inputPrYr!C2</f>
        <v>Wyandotte County</v>
      </c>
      <c r="C1" s="418"/>
      <c r="D1" s="418"/>
      <c r="E1" s="418"/>
      <c r="F1" s="419">
        <f>inputPrYr!C4</f>
        <v>2013</v>
      </c>
    </row>
    <row r="2" spans="2:6" ht="14.25">
      <c r="B2" s="418"/>
      <c r="C2" s="418"/>
      <c r="D2" s="418"/>
      <c r="E2" s="418"/>
      <c r="F2" s="421"/>
    </row>
    <row r="3" spans="2:6" ht="15">
      <c r="B3" s="422" t="s">
        <v>206</v>
      </c>
      <c r="C3" s="418"/>
      <c r="D3" s="418"/>
      <c r="E3" s="418"/>
      <c r="F3" s="423"/>
    </row>
    <row r="4" spans="2:6" ht="14.25">
      <c r="B4" s="424" t="s">
        <v>144</v>
      </c>
      <c r="C4" s="425" t="s">
        <v>783</v>
      </c>
      <c r="D4" s="425">
        <v>2012</v>
      </c>
      <c r="E4" s="426" t="s">
        <v>784</v>
      </c>
      <c r="F4" s="427" t="s">
        <v>785</v>
      </c>
    </row>
    <row r="5" spans="2:6" ht="15">
      <c r="B5" s="428" t="str">
        <f>inputPrYr!B16</f>
        <v>General</v>
      </c>
      <c r="C5" s="429" t="str">
        <f>CONCATENATE("Actual ",F1-2,"")</f>
        <v>Actual 2011</v>
      </c>
      <c r="D5" s="429" t="s">
        <v>840</v>
      </c>
      <c r="E5" s="429" t="str">
        <f>CONCATENATE("Amended ",F1-1,"")</f>
        <v>Amended 2012</v>
      </c>
      <c r="F5" s="430" t="str">
        <f>CONCATENATE("Year ",F1,"")</f>
        <v>Year 2013</v>
      </c>
    </row>
    <row r="6" spans="2:6" ht="14.25">
      <c r="B6" s="431" t="s">
        <v>246</v>
      </c>
      <c r="C6" s="432">
        <v>722710</v>
      </c>
      <c r="D6" s="432">
        <v>278221</v>
      </c>
      <c r="E6" s="433">
        <f>C92</f>
        <v>1150549.8899999931</v>
      </c>
      <c r="F6" s="434">
        <f>E92</f>
        <v>814027.8899999931</v>
      </c>
    </row>
    <row r="7" spans="2:6" ht="14.25">
      <c r="B7" s="435" t="s">
        <v>248</v>
      </c>
      <c r="C7" s="436"/>
      <c r="D7" s="436"/>
      <c r="E7" s="436"/>
      <c r="F7" s="437"/>
    </row>
    <row r="8" spans="2:6" ht="14.25">
      <c r="B8" s="343" t="s">
        <v>145</v>
      </c>
      <c r="C8" s="432">
        <v>27932577</v>
      </c>
      <c r="D8" s="432">
        <v>29815387</v>
      </c>
      <c r="E8" s="433">
        <v>29941100</v>
      </c>
      <c r="F8" s="496" t="s">
        <v>132</v>
      </c>
    </row>
    <row r="9" spans="2:6" ht="14.25">
      <c r="B9" s="343" t="s">
        <v>146</v>
      </c>
      <c r="C9" s="432">
        <v>1404645</v>
      </c>
      <c r="D9" s="432">
        <v>1144000</v>
      </c>
      <c r="E9" s="432">
        <v>1266300</v>
      </c>
      <c r="F9" s="439">
        <v>1183500</v>
      </c>
    </row>
    <row r="10" spans="2:6" ht="14.25">
      <c r="B10" s="343" t="s">
        <v>147</v>
      </c>
      <c r="C10" s="432">
        <v>2753386</v>
      </c>
      <c r="D10" s="432">
        <v>3191627</v>
      </c>
      <c r="E10" s="432">
        <v>3036600</v>
      </c>
      <c r="F10" s="434">
        <f>mvalloc!E7</f>
        <v>3725061</v>
      </c>
    </row>
    <row r="11" spans="2:6" ht="14.25">
      <c r="B11" s="343" t="s">
        <v>148</v>
      </c>
      <c r="C11" s="432">
        <v>12342</v>
      </c>
      <c r="D11" s="432">
        <v>15510</v>
      </c>
      <c r="E11" s="432">
        <v>11340</v>
      </c>
      <c r="F11" s="434">
        <f>mvalloc!F7</f>
        <v>13829</v>
      </c>
    </row>
    <row r="12" spans="2:6" ht="14.25">
      <c r="B12" s="344" t="s">
        <v>230</v>
      </c>
      <c r="C12" s="432">
        <v>21020</v>
      </c>
      <c r="D12" s="432">
        <v>28370</v>
      </c>
      <c r="E12" s="432">
        <v>22180</v>
      </c>
      <c r="F12" s="434">
        <f>mvalloc!G7</f>
        <v>27379</v>
      </c>
    </row>
    <row r="13" spans="2:6" ht="14.25">
      <c r="B13" s="343" t="s">
        <v>285</v>
      </c>
      <c r="C13" s="432">
        <v>0</v>
      </c>
      <c r="D13" s="432">
        <v>0</v>
      </c>
      <c r="E13" s="432">
        <v>0</v>
      </c>
      <c r="F13" s="434">
        <f>inputOth!E11</f>
        <v>0</v>
      </c>
    </row>
    <row r="14" spans="2:6" ht="14.25">
      <c r="B14" s="344" t="s">
        <v>841</v>
      </c>
      <c r="C14" s="432">
        <v>0</v>
      </c>
      <c r="D14" s="432">
        <v>0</v>
      </c>
      <c r="E14" s="432">
        <v>0</v>
      </c>
      <c r="F14" s="434">
        <f>inputOth!E18</f>
        <v>0</v>
      </c>
    </row>
    <row r="15" spans="2:6" ht="14.25">
      <c r="B15" s="344" t="s">
        <v>842</v>
      </c>
      <c r="C15" s="432">
        <v>648093</v>
      </c>
      <c r="D15" s="432">
        <v>500550</v>
      </c>
      <c r="E15" s="432">
        <v>707500</v>
      </c>
      <c r="F15" s="434">
        <v>511140</v>
      </c>
    </row>
    <row r="16" spans="2:6" ht="14.25">
      <c r="B16" s="344" t="s">
        <v>843</v>
      </c>
      <c r="C16" s="432">
        <v>14308</v>
      </c>
      <c r="D16" s="432">
        <v>14910</v>
      </c>
      <c r="E16" s="432">
        <v>16420</v>
      </c>
      <c r="F16" s="439">
        <v>17310</v>
      </c>
    </row>
    <row r="17" spans="2:6" ht="14.25">
      <c r="B17" s="344" t="s">
        <v>844</v>
      </c>
      <c r="C17" s="432">
        <v>3222001</v>
      </c>
      <c r="D17" s="432">
        <v>3029000</v>
      </c>
      <c r="E17" s="432">
        <v>3200000</v>
      </c>
      <c r="F17" s="439">
        <v>3264000</v>
      </c>
    </row>
    <row r="18" spans="2:6" ht="14.25">
      <c r="B18" s="344" t="s">
        <v>845</v>
      </c>
      <c r="C18" s="432">
        <v>814579</v>
      </c>
      <c r="D18" s="432">
        <v>683400</v>
      </c>
      <c r="E18" s="432">
        <v>825000</v>
      </c>
      <c r="F18" s="439">
        <v>841500</v>
      </c>
    </row>
    <row r="19" spans="2:6" ht="14.25">
      <c r="B19" s="344" t="s">
        <v>997</v>
      </c>
      <c r="C19" s="432">
        <v>148770</v>
      </c>
      <c r="D19" s="432"/>
      <c r="E19" s="432">
        <v>140000</v>
      </c>
      <c r="F19" s="439">
        <v>140000</v>
      </c>
    </row>
    <row r="20" spans="2:6" ht="14.25">
      <c r="B20" s="344" t="s">
        <v>846</v>
      </c>
      <c r="C20" s="432">
        <v>0</v>
      </c>
      <c r="D20" s="432">
        <v>60000</v>
      </c>
      <c r="E20" s="432"/>
      <c r="F20" s="439"/>
    </row>
    <row r="21" spans="2:6" ht="14.25">
      <c r="B21" s="344" t="s">
        <v>847</v>
      </c>
      <c r="C21" s="432">
        <v>13598</v>
      </c>
      <c r="D21" s="432">
        <v>13000</v>
      </c>
      <c r="E21" s="432">
        <v>15000</v>
      </c>
      <c r="F21" s="439">
        <v>15000</v>
      </c>
    </row>
    <row r="22" spans="2:6" ht="14.25">
      <c r="B22" s="344" t="s">
        <v>848</v>
      </c>
      <c r="C22" s="432">
        <v>1335484</v>
      </c>
      <c r="D22" s="432">
        <v>1430000</v>
      </c>
      <c r="E22" s="432">
        <v>1150000</v>
      </c>
      <c r="F22" s="439">
        <v>1173000</v>
      </c>
    </row>
    <row r="23" spans="2:6" ht="14.25">
      <c r="B23" s="344" t="s">
        <v>849</v>
      </c>
      <c r="C23" s="432">
        <v>0</v>
      </c>
      <c r="D23" s="432">
        <v>2266500</v>
      </c>
      <c r="E23" s="432">
        <v>1700000</v>
      </c>
      <c r="F23" s="439">
        <v>2142000</v>
      </c>
    </row>
    <row r="24" spans="2:6" ht="14.25">
      <c r="B24" s="344" t="s">
        <v>850</v>
      </c>
      <c r="C24" s="432">
        <v>4710</v>
      </c>
      <c r="D24" s="432">
        <v>4500</v>
      </c>
      <c r="E24" s="432">
        <v>4500</v>
      </c>
      <c r="F24" s="439">
        <v>4500</v>
      </c>
    </row>
    <row r="25" spans="2:6" ht="14.25">
      <c r="B25" s="344" t="s">
        <v>851</v>
      </c>
      <c r="C25" s="432">
        <v>979904</v>
      </c>
      <c r="D25" s="432">
        <v>980000</v>
      </c>
      <c r="E25" s="432">
        <v>980000</v>
      </c>
      <c r="F25" s="439">
        <v>980000</v>
      </c>
    </row>
    <row r="26" spans="2:6" ht="14.25">
      <c r="B26" s="344" t="s">
        <v>852</v>
      </c>
      <c r="C26" s="432">
        <v>250</v>
      </c>
      <c r="D26" s="432">
        <v>29517</v>
      </c>
      <c r="E26" s="432">
        <v>0</v>
      </c>
      <c r="F26" s="439">
        <v>0</v>
      </c>
    </row>
    <row r="27" spans="2:6" ht="14.25">
      <c r="B27" s="344" t="s">
        <v>1015</v>
      </c>
      <c r="C27" s="432">
        <v>700000</v>
      </c>
      <c r="D27" s="432">
        <v>0</v>
      </c>
      <c r="E27" s="432">
        <v>1000000</v>
      </c>
      <c r="F27" s="439">
        <v>750000</v>
      </c>
    </row>
    <row r="28" spans="2:6" ht="14.25">
      <c r="B28" s="344" t="s">
        <v>1014</v>
      </c>
      <c r="C28" s="432">
        <v>0</v>
      </c>
      <c r="D28" s="432">
        <v>0</v>
      </c>
      <c r="E28" s="439">
        <v>0</v>
      </c>
      <c r="F28" s="439">
        <v>50000</v>
      </c>
    </row>
    <row r="29" spans="2:6" ht="14.25">
      <c r="B29" s="344" t="s">
        <v>853</v>
      </c>
      <c r="C29" s="432">
        <v>4040.75</v>
      </c>
      <c r="D29" s="432">
        <v>5000</v>
      </c>
      <c r="E29" s="432">
        <v>4000</v>
      </c>
      <c r="F29" s="439">
        <v>4000</v>
      </c>
    </row>
    <row r="30" spans="2:6" ht="14.25">
      <c r="B30" s="344" t="s">
        <v>854</v>
      </c>
      <c r="C30" s="432">
        <v>54652.5</v>
      </c>
      <c r="D30" s="432">
        <v>45000</v>
      </c>
      <c r="E30" s="432">
        <v>88000</v>
      </c>
      <c r="F30" s="439">
        <v>88000</v>
      </c>
    </row>
    <row r="31" spans="2:6" ht="14.25">
      <c r="B31" s="344" t="s">
        <v>855</v>
      </c>
      <c r="C31" s="432">
        <v>93524</v>
      </c>
      <c r="D31" s="432">
        <v>85000</v>
      </c>
      <c r="E31" s="432">
        <v>110000</v>
      </c>
      <c r="F31" s="439">
        <v>110000</v>
      </c>
    </row>
    <row r="32" spans="2:6" ht="14.25">
      <c r="B32" s="344" t="s">
        <v>856</v>
      </c>
      <c r="C32" s="432">
        <v>2612363</v>
      </c>
      <c r="D32" s="432">
        <v>3000000</v>
      </c>
      <c r="E32" s="432">
        <f>2300000+350000</f>
        <v>2650000</v>
      </c>
      <c r="F32" s="439">
        <f>2300000+350000</f>
        <v>2650000</v>
      </c>
    </row>
    <row r="33" spans="2:6" ht="14.25">
      <c r="B33" s="344" t="s">
        <v>857</v>
      </c>
      <c r="C33" s="432">
        <v>3581</v>
      </c>
      <c r="D33" s="432">
        <v>15000</v>
      </c>
      <c r="E33" s="432">
        <v>6000</v>
      </c>
      <c r="F33" s="439">
        <v>6000</v>
      </c>
    </row>
    <row r="34" spans="2:6" ht="14.25">
      <c r="B34" s="344" t="s">
        <v>858</v>
      </c>
      <c r="C34" s="432">
        <v>26</v>
      </c>
      <c r="D34" s="432">
        <v>400</v>
      </c>
      <c r="E34" s="432">
        <v>100</v>
      </c>
      <c r="F34" s="439">
        <v>100</v>
      </c>
    </row>
    <row r="35" spans="2:6" ht="14.25">
      <c r="B35" s="344" t="s">
        <v>859</v>
      </c>
      <c r="C35" s="432">
        <v>83422</v>
      </c>
      <c r="D35" s="432">
        <v>95000</v>
      </c>
      <c r="E35" s="432">
        <v>92000</v>
      </c>
      <c r="F35" s="439">
        <v>92000</v>
      </c>
    </row>
    <row r="36" spans="2:6" ht="14.25">
      <c r="B36" s="344" t="s">
        <v>860</v>
      </c>
      <c r="C36" s="432">
        <v>58078</v>
      </c>
      <c r="D36" s="432">
        <v>70000</v>
      </c>
      <c r="E36" s="432">
        <v>55000</v>
      </c>
      <c r="F36" s="439">
        <v>55000</v>
      </c>
    </row>
    <row r="37" spans="2:6" ht="14.25">
      <c r="B37" s="344" t="s">
        <v>861</v>
      </c>
      <c r="C37" s="432">
        <v>82175</v>
      </c>
      <c r="D37" s="432">
        <v>85000</v>
      </c>
      <c r="E37" s="432">
        <v>75000</v>
      </c>
      <c r="F37" s="439">
        <v>75000</v>
      </c>
    </row>
    <row r="38" spans="2:6" ht="14.25">
      <c r="B38" s="344" t="s">
        <v>862</v>
      </c>
      <c r="C38" s="432">
        <v>3644</v>
      </c>
      <c r="D38" s="432">
        <v>2000</v>
      </c>
      <c r="E38" s="432">
        <v>4500</v>
      </c>
      <c r="F38" s="439">
        <v>4500</v>
      </c>
    </row>
    <row r="39" spans="2:6" ht="14.25">
      <c r="B39" s="344" t="s">
        <v>863</v>
      </c>
      <c r="C39" s="432">
        <v>269067</v>
      </c>
      <c r="D39" s="432">
        <v>276150</v>
      </c>
      <c r="E39" s="432">
        <v>275000</v>
      </c>
      <c r="F39" s="439">
        <v>280500</v>
      </c>
    </row>
    <row r="40" spans="2:6" ht="14.25">
      <c r="B40" s="344" t="s">
        <v>864</v>
      </c>
      <c r="C40" s="432">
        <v>159543</v>
      </c>
      <c r="D40" s="432">
        <v>140000</v>
      </c>
      <c r="E40" s="432">
        <v>140000</v>
      </c>
      <c r="F40" s="439">
        <v>140000</v>
      </c>
    </row>
    <row r="41" spans="2:6" ht="14.25">
      <c r="B41" s="344" t="s">
        <v>865</v>
      </c>
      <c r="C41" s="432">
        <v>74614.16</v>
      </c>
      <c r="D41" s="432">
        <v>80000</v>
      </c>
      <c r="E41" s="432">
        <v>70000</v>
      </c>
      <c r="F41" s="439">
        <v>70000</v>
      </c>
    </row>
    <row r="42" spans="2:6" ht="14.25">
      <c r="B42" s="344" t="s">
        <v>866</v>
      </c>
      <c r="C42" s="432">
        <v>150059.41999999998</v>
      </c>
      <c r="D42" s="432">
        <v>155000</v>
      </c>
      <c r="E42" s="432">
        <v>170000</v>
      </c>
      <c r="F42" s="439">
        <f>30000+140000</f>
        <v>170000</v>
      </c>
    </row>
    <row r="43" spans="2:6" ht="14.25">
      <c r="B43" s="344" t="s">
        <v>851</v>
      </c>
      <c r="C43" s="432">
        <v>51301</v>
      </c>
      <c r="D43" s="432">
        <v>70000</v>
      </c>
      <c r="E43" s="432">
        <v>50000</v>
      </c>
      <c r="F43" s="439">
        <v>50000</v>
      </c>
    </row>
    <row r="44" spans="2:6" ht="14.25">
      <c r="B44" s="344" t="s">
        <v>867</v>
      </c>
      <c r="C44" s="432">
        <v>3200</v>
      </c>
      <c r="D44" s="432">
        <v>0</v>
      </c>
      <c r="E44" s="432">
        <v>5000</v>
      </c>
      <c r="F44" s="439">
        <v>5000</v>
      </c>
    </row>
    <row r="45" spans="2:6" ht="14.25">
      <c r="B45" s="344" t="s">
        <v>868</v>
      </c>
      <c r="C45" s="432">
        <v>178703</v>
      </c>
      <c r="D45" s="432">
        <v>160000</v>
      </c>
      <c r="E45" s="432">
        <v>170000</v>
      </c>
      <c r="F45" s="439">
        <v>170000</v>
      </c>
    </row>
    <row r="46" spans="2:6" ht="14.25">
      <c r="B46" s="344" t="s">
        <v>869</v>
      </c>
      <c r="C46" s="432">
        <v>363997</v>
      </c>
      <c r="D46" s="432">
        <v>365600</v>
      </c>
      <c r="E46" s="432">
        <v>200000</v>
      </c>
      <c r="F46" s="439">
        <v>200000</v>
      </c>
    </row>
    <row r="47" spans="2:6" ht="14.25">
      <c r="B47" s="344" t="s">
        <v>870</v>
      </c>
      <c r="C47" s="432">
        <v>1403553</v>
      </c>
      <c r="D47" s="432">
        <v>1100000</v>
      </c>
      <c r="E47" s="432">
        <v>1400000</v>
      </c>
      <c r="F47" s="439">
        <v>1400000</v>
      </c>
    </row>
    <row r="48" spans="2:6" ht="14.25">
      <c r="B48" s="344" t="s">
        <v>871</v>
      </c>
      <c r="C48" s="432">
        <v>4027</v>
      </c>
      <c r="D48" s="432">
        <v>6000</v>
      </c>
      <c r="E48" s="432">
        <v>4000</v>
      </c>
      <c r="F48" s="439">
        <v>4000</v>
      </c>
    </row>
    <row r="49" spans="2:6" ht="14.25">
      <c r="B49" s="344" t="s">
        <v>872</v>
      </c>
      <c r="C49" s="432">
        <v>0</v>
      </c>
      <c r="D49" s="432">
        <v>0</v>
      </c>
      <c r="E49" s="432">
        <v>0</v>
      </c>
      <c r="F49" s="439">
        <v>0</v>
      </c>
    </row>
    <row r="50" spans="2:6" ht="14.25">
      <c r="B50" s="344" t="s">
        <v>873</v>
      </c>
      <c r="C50" s="432">
        <v>41390</v>
      </c>
      <c r="D50" s="432">
        <v>55000</v>
      </c>
      <c r="E50" s="432">
        <v>35000</v>
      </c>
      <c r="F50" s="439">
        <v>35000</v>
      </c>
    </row>
    <row r="51" spans="2:6" ht="14.25">
      <c r="B51" s="344" t="s">
        <v>874</v>
      </c>
      <c r="C51" s="432">
        <v>54382</v>
      </c>
      <c r="D51" s="432">
        <v>10000</v>
      </c>
      <c r="E51" s="432">
        <v>10000</v>
      </c>
      <c r="F51" s="439">
        <v>10000</v>
      </c>
    </row>
    <row r="52" spans="2:6" ht="14.25">
      <c r="B52" s="344" t="s">
        <v>875</v>
      </c>
      <c r="C52" s="432">
        <v>614435</v>
      </c>
      <c r="D52" s="432">
        <v>665972</v>
      </c>
      <c r="E52" s="432">
        <v>514435</v>
      </c>
      <c r="F52" s="439">
        <v>514435</v>
      </c>
    </row>
    <row r="53" spans="2:6" ht="14.25">
      <c r="B53" s="344" t="s">
        <v>876</v>
      </c>
      <c r="C53" s="432">
        <v>11682</v>
      </c>
      <c r="D53" s="432">
        <v>7000</v>
      </c>
      <c r="E53" s="432">
        <v>15000</v>
      </c>
      <c r="F53" s="439">
        <v>15000</v>
      </c>
    </row>
    <row r="54" spans="2:6" ht="14.25">
      <c r="B54" s="344" t="s">
        <v>877</v>
      </c>
      <c r="C54" s="432">
        <f>SUM(3690.42+20249.5+30+377+50+1597.82+22.5+3824.5+111.04+13412.23+125)</f>
        <v>43490.009999999995</v>
      </c>
      <c r="D54" s="432">
        <v>25000</v>
      </c>
      <c r="E54" s="432">
        <v>20000</v>
      </c>
      <c r="F54" s="439">
        <v>20000</v>
      </c>
    </row>
    <row r="55" spans="2:6" ht="14.25">
      <c r="B55" s="344" t="s">
        <v>878</v>
      </c>
      <c r="C55" s="432">
        <v>3294</v>
      </c>
      <c r="D55" s="432">
        <v>5000</v>
      </c>
      <c r="E55" s="432">
        <v>2000</v>
      </c>
      <c r="F55" s="439">
        <v>2000</v>
      </c>
    </row>
    <row r="56" spans="2:6" ht="14.25">
      <c r="B56" s="344" t="s">
        <v>879</v>
      </c>
      <c r="C56" s="432">
        <v>0</v>
      </c>
      <c r="D56" s="432">
        <v>0</v>
      </c>
      <c r="E56" s="432">
        <v>0</v>
      </c>
      <c r="F56" s="439">
        <v>0</v>
      </c>
    </row>
    <row r="57" spans="2:6" ht="14.25">
      <c r="B57" s="344" t="s">
        <v>880</v>
      </c>
      <c r="C57" s="432">
        <v>3818</v>
      </c>
      <c r="D57" s="432">
        <v>9000</v>
      </c>
      <c r="E57" s="432">
        <v>9000</v>
      </c>
      <c r="F57" s="439">
        <v>9000</v>
      </c>
    </row>
    <row r="58" spans="2:6" ht="14.25">
      <c r="B58" s="344" t="s">
        <v>881</v>
      </c>
      <c r="C58" s="432">
        <v>22704.05</v>
      </c>
      <c r="D58" s="432">
        <v>25000</v>
      </c>
      <c r="E58" s="432">
        <v>20000</v>
      </c>
      <c r="F58" s="439">
        <v>20000</v>
      </c>
    </row>
    <row r="59" spans="2:6" ht="14.25">
      <c r="B59" s="344" t="s">
        <v>882</v>
      </c>
      <c r="C59" s="432">
        <v>10091</v>
      </c>
      <c r="D59" s="432">
        <v>12000</v>
      </c>
      <c r="E59" s="432">
        <v>10200</v>
      </c>
      <c r="F59" s="439">
        <v>10200</v>
      </c>
    </row>
    <row r="60" spans="2:6" ht="14.25">
      <c r="B60" s="344" t="s">
        <v>883</v>
      </c>
      <c r="C60" s="432">
        <v>0</v>
      </c>
      <c r="D60" s="432">
        <v>0</v>
      </c>
      <c r="E60" s="432">
        <v>0</v>
      </c>
      <c r="F60" s="439">
        <v>0</v>
      </c>
    </row>
    <row r="61" spans="2:6" ht="14.25">
      <c r="B61" s="344" t="s">
        <v>884</v>
      </c>
      <c r="C61" s="432">
        <v>25146</v>
      </c>
      <c r="D61" s="432">
        <v>20000</v>
      </c>
      <c r="E61" s="432">
        <v>22000</v>
      </c>
      <c r="F61" s="439">
        <v>22000</v>
      </c>
    </row>
    <row r="62" spans="2:6" ht="14.25">
      <c r="B62" s="344" t="s">
        <v>885</v>
      </c>
      <c r="C62" s="432">
        <v>83844</v>
      </c>
      <c r="D62" s="432">
        <v>85000</v>
      </c>
      <c r="E62" s="432">
        <v>85000</v>
      </c>
      <c r="F62" s="439">
        <v>85000</v>
      </c>
    </row>
    <row r="63" spans="2:6" ht="14.25">
      <c r="B63" s="344" t="s">
        <v>886</v>
      </c>
      <c r="C63" s="432">
        <v>101049</v>
      </c>
      <c r="D63" s="432">
        <v>50000</v>
      </c>
      <c r="E63" s="432">
        <v>50000</v>
      </c>
      <c r="F63" s="439">
        <v>50000</v>
      </c>
    </row>
    <row r="64" spans="2:6" ht="14.25">
      <c r="B64" s="344" t="s">
        <v>887</v>
      </c>
      <c r="C64" s="432">
        <v>70500</v>
      </c>
      <c r="D64" s="432">
        <v>0</v>
      </c>
      <c r="E64" s="432">
        <v>55500</v>
      </c>
      <c r="F64" s="439">
        <v>0</v>
      </c>
    </row>
    <row r="65" spans="2:6" ht="14.25">
      <c r="B65" s="344" t="s">
        <v>888</v>
      </c>
      <c r="C65" s="432">
        <v>0</v>
      </c>
      <c r="D65" s="432">
        <v>0</v>
      </c>
      <c r="E65" s="439">
        <v>0</v>
      </c>
      <c r="F65" s="439">
        <v>0</v>
      </c>
    </row>
    <row r="66" spans="2:6" ht="14.25">
      <c r="B66" s="344" t="s">
        <v>889</v>
      </c>
      <c r="C66" s="432">
        <v>250000</v>
      </c>
      <c r="D66" s="432">
        <v>0</v>
      </c>
      <c r="E66" s="439">
        <v>0</v>
      </c>
      <c r="F66" s="439">
        <v>0</v>
      </c>
    </row>
    <row r="67" spans="2:6" ht="14.25">
      <c r="B67" s="344" t="s">
        <v>890</v>
      </c>
      <c r="C67" s="432">
        <v>25000</v>
      </c>
      <c r="D67" s="432">
        <v>0</v>
      </c>
      <c r="E67" s="439">
        <v>0</v>
      </c>
      <c r="F67" s="439">
        <v>0</v>
      </c>
    </row>
    <row r="68" spans="2:6" ht="14.25">
      <c r="B68" s="344" t="s">
        <v>891</v>
      </c>
      <c r="C68" s="432">
        <v>12262</v>
      </c>
      <c r="D68" s="432">
        <v>0</v>
      </c>
      <c r="E68" s="439">
        <v>31449</v>
      </c>
      <c r="F68" s="439">
        <v>0</v>
      </c>
    </row>
    <row r="69" spans="2:6" ht="14.25">
      <c r="B69" s="344" t="s">
        <v>892</v>
      </c>
      <c r="C69" s="432">
        <v>0</v>
      </c>
      <c r="D69" s="432">
        <v>200000</v>
      </c>
      <c r="E69" s="439">
        <v>450000</v>
      </c>
      <c r="F69" s="439">
        <v>350000</v>
      </c>
    </row>
    <row r="70" spans="2:6" ht="14.25">
      <c r="B70" s="440" t="s">
        <v>61</v>
      </c>
      <c r="C70" s="432">
        <v>0</v>
      </c>
      <c r="D70" s="432">
        <v>0</v>
      </c>
      <c r="E70" s="439">
        <v>0</v>
      </c>
      <c r="F70" s="439">
        <v>0</v>
      </c>
    </row>
    <row r="71" spans="2:6" ht="14.25">
      <c r="B71" s="441" t="s">
        <v>629</v>
      </c>
      <c r="C71" s="442">
        <f>IF(C72*0.1&lt;C70,"Exceed 10% Rule","")</f>
      </c>
      <c r="D71" s="442"/>
      <c r="E71" s="442">
        <f>IF(E72*0.1&lt;E70,"Exceed 10% Rule","")</f>
      </c>
      <c r="F71" s="443">
        <f>IF(F72*0.1+F98&lt;F70,"Exceed 10% Rule","")</f>
      </c>
    </row>
    <row r="72" spans="2:6" ht="15">
      <c r="B72" s="444" t="s">
        <v>149</v>
      </c>
      <c r="C72" s="445">
        <f>SUM(C8:C70)</f>
        <v>47032324.88999999</v>
      </c>
      <c r="D72" s="445">
        <f>SUM(D8:D70)</f>
        <v>50130393</v>
      </c>
      <c r="E72" s="445">
        <f>SUM(E8:E70)</f>
        <v>50914124</v>
      </c>
      <c r="F72" s="446">
        <f>SUM(F8:F70)</f>
        <v>21554954</v>
      </c>
    </row>
    <row r="73" spans="2:6" ht="15">
      <c r="B73" s="444" t="s">
        <v>150</v>
      </c>
      <c r="C73" s="445">
        <f>C6+C72</f>
        <v>47755034.88999999</v>
      </c>
      <c r="D73" s="445">
        <f>D6+D72</f>
        <v>50408614</v>
      </c>
      <c r="E73" s="445">
        <f>E6+E72</f>
        <v>52064673.88999999</v>
      </c>
      <c r="F73" s="446">
        <f>F6+F72</f>
        <v>22368981.889999993</v>
      </c>
    </row>
    <row r="74" spans="2:6" ht="14.25">
      <c r="B74" s="418"/>
      <c r="C74" s="417"/>
      <c r="D74" s="417"/>
      <c r="E74" s="417"/>
      <c r="F74" s="417"/>
    </row>
    <row r="75" spans="2:6" ht="14.25">
      <c r="B75" s="849"/>
      <c r="C75" s="849"/>
      <c r="D75" s="849"/>
      <c r="E75" s="849"/>
      <c r="F75" s="849"/>
    </row>
    <row r="76" spans="2:6" ht="14.25">
      <c r="B76" s="417" t="str">
        <f>inputPrYr!C2</f>
        <v>Wyandotte County</v>
      </c>
      <c r="C76" s="417"/>
      <c r="D76" s="417"/>
      <c r="E76" s="417"/>
      <c r="F76" s="419">
        <f>inputPrYr!C4</f>
        <v>2013</v>
      </c>
    </row>
    <row r="77" spans="2:6" ht="14.25">
      <c r="B77" s="418"/>
      <c r="C77" s="417"/>
      <c r="D77" s="417"/>
      <c r="E77" s="417"/>
      <c r="F77" s="421"/>
    </row>
    <row r="78" spans="2:6" ht="15">
      <c r="B78" s="447" t="s">
        <v>205</v>
      </c>
      <c r="C78" s="448"/>
      <c r="D78" s="448"/>
      <c r="E78" s="448"/>
      <c r="F78" s="448"/>
    </row>
    <row r="79" spans="2:6" ht="14.25">
      <c r="B79" s="418" t="s">
        <v>144</v>
      </c>
      <c r="C79" s="425" t="s">
        <v>783</v>
      </c>
      <c r="D79" s="425">
        <v>2012</v>
      </c>
      <c r="E79" s="426" t="s">
        <v>784</v>
      </c>
      <c r="F79" s="427" t="s">
        <v>785</v>
      </c>
    </row>
    <row r="80" spans="2:6" ht="14.25">
      <c r="B80" s="449" t="s">
        <v>152</v>
      </c>
      <c r="C80" s="429" t="str">
        <f>CONCATENATE("Actual ",F76-2,"")</f>
        <v>Actual 2011</v>
      </c>
      <c r="D80" s="429" t="s">
        <v>840</v>
      </c>
      <c r="E80" s="429" t="str">
        <f>CONCATENATE("Amended ",F76-1,"")</f>
        <v>Amended 2012</v>
      </c>
      <c r="F80" s="430" t="str">
        <f>CONCATENATE("Year ",F76,"")</f>
        <v>Year 2013</v>
      </c>
    </row>
    <row r="81" spans="2:6" ht="15">
      <c r="B81" s="444" t="s">
        <v>150</v>
      </c>
      <c r="C81" s="433">
        <f>C73</f>
        <v>47755034.88999999</v>
      </c>
      <c r="D81" s="433"/>
      <c r="E81" s="433">
        <f>E73</f>
        <v>52064673.88999999</v>
      </c>
      <c r="F81" s="434">
        <f>F73</f>
        <v>22368981.889999993</v>
      </c>
    </row>
    <row r="82" spans="2:6" ht="14.25">
      <c r="B82" s="431" t="s">
        <v>153</v>
      </c>
      <c r="C82" s="433"/>
      <c r="D82" s="433"/>
      <c r="E82" s="433"/>
      <c r="F82" s="434"/>
    </row>
    <row r="83" spans="2:6" ht="14.25">
      <c r="B83" s="344" t="s">
        <v>893</v>
      </c>
      <c r="C83" s="433">
        <v>31392191</v>
      </c>
      <c r="D83" s="433">
        <v>32943890</v>
      </c>
      <c r="E83" s="433">
        <v>34681154</v>
      </c>
      <c r="F83" s="468">
        <v>36032276</v>
      </c>
    </row>
    <row r="84" spans="2:6" ht="14.25">
      <c r="B84" s="344" t="s">
        <v>894</v>
      </c>
      <c r="C84" s="433">
        <v>11856354</v>
      </c>
      <c r="D84" s="433">
        <v>12803918</v>
      </c>
      <c r="E84" s="433">
        <v>12843210</v>
      </c>
      <c r="F84" s="434">
        <v>12306398</v>
      </c>
    </row>
    <row r="85" spans="2:6" ht="14.25">
      <c r="B85" s="344" t="s">
        <v>895</v>
      </c>
      <c r="C85" s="433">
        <v>2193580</v>
      </c>
      <c r="D85" s="433">
        <v>1401711</v>
      </c>
      <c r="E85" s="433">
        <v>1260473</v>
      </c>
      <c r="F85" s="434">
        <v>1314812</v>
      </c>
    </row>
    <row r="86" spans="2:6" ht="14.25">
      <c r="B86" s="344" t="s">
        <v>896</v>
      </c>
      <c r="C86" s="433">
        <v>414990</v>
      </c>
      <c r="D86" s="433">
        <v>612428</v>
      </c>
      <c r="E86" s="433">
        <v>915374</v>
      </c>
      <c r="F86" s="434">
        <v>807399</v>
      </c>
    </row>
    <row r="87" spans="2:6" ht="14.25">
      <c r="B87" s="344" t="s">
        <v>897</v>
      </c>
      <c r="C87" s="433">
        <v>738718</v>
      </c>
      <c r="D87" s="433">
        <v>1109000</v>
      </c>
      <c r="E87" s="433">
        <f>498250+377000</f>
        <v>875250</v>
      </c>
      <c r="F87" s="434">
        <f>889250+442100</f>
        <v>1331350</v>
      </c>
    </row>
    <row r="88" spans="2:6" ht="14.25">
      <c r="B88" s="344" t="s">
        <v>157</v>
      </c>
      <c r="C88" s="433">
        <v>0</v>
      </c>
      <c r="D88" s="433">
        <v>0</v>
      </c>
      <c r="E88" s="433">
        <v>0</v>
      </c>
      <c r="F88" s="434">
        <v>0</v>
      </c>
    </row>
    <row r="89" spans="2:6" ht="14.25">
      <c r="B89" s="440" t="s">
        <v>61</v>
      </c>
      <c r="C89" s="432">
        <v>8652</v>
      </c>
      <c r="D89" s="432">
        <v>671000</v>
      </c>
      <c r="E89" s="432">
        <v>675185</v>
      </c>
      <c r="F89" s="450">
        <v>675185</v>
      </c>
    </row>
    <row r="90" spans="2:11" ht="15">
      <c r="B90" s="441" t="s">
        <v>628</v>
      </c>
      <c r="C90" s="442">
        <f>IF(C91*0.1&lt;C89,"Exceed 10% Rule","")</f>
      </c>
      <c r="D90" s="442"/>
      <c r="E90" s="442">
        <f>IF(E91*0.1&lt;E89,"Exceed 10% Rule","")</f>
      </c>
      <c r="F90" s="443">
        <f>IF(F91*0.1&lt;F89,"Exceed 10% Rule","")</f>
      </c>
      <c r="H90" s="870" t="str">
        <f>CONCATENATE("Projected Carryover Into ",F1+1,"")</f>
        <v>Projected Carryover Into 2014</v>
      </c>
      <c r="I90" s="871"/>
      <c r="J90" s="871"/>
      <c r="K90" s="872"/>
    </row>
    <row r="91" spans="2:11" ht="15">
      <c r="B91" s="444" t="s">
        <v>154</v>
      </c>
      <c r="C91" s="445">
        <f>SUM(C83:C89)</f>
        <v>46604485</v>
      </c>
      <c r="D91" s="445">
        <f>SUM(D83:D89)</f>
        <v>49541947</v>
      </c>
      <c r="E91" s="445">
        <f>SUM(E83:E89)</f>
        <v>51250646</v>
      </c>
      <c r="F91" s="451">
        <f>SUM(F83:F89)</f>
        <v>52467420</v>
      </c>
      <c r="H91" s="758"/>
      <c r="I91" s="453"/>
      <c r="J91" s="453"/>
      <c r="K91" s="454"/>
    </row>
    <row r="92" spans="2:11" ht="14.25">
      <c r="B92" s="455" t="s">
        <v>247</v>
      </c>
      <c r="C92" s="433">
        <f>C73-C91</f>
        <v>1150549.8899999931</v>
      </c>
      <c r="D92" s="433">
        <f>D73-D91</f>
        <v>866667</v>
      </c>
      <c r="E92" s="433">
        <f>E73-E91</f>
        <v>814027.8899999931</v>
      </c>
      <c r="F92" s="438" t="s">
        <v>132</v>
      </c>
      <c r="H92" s="456">
        <f>E92</f>
        <v>814027.8899999931</v>
      </c>
      <c r="I92" s="457" t="str">
        <f>CONCATENATE("",F1-1," Ending Cash Balance (est.)")</f>
        <v>2012 Ending Cash Balance (est.)</v>
      </c>
      <c r="J92" s="454"/>
      <c r="K92" s="454"/>
    </row>
    <row r="93" spans="2:11" ht="14.25">
      <c r="B93" s="458" t="str">
        <f>CONCATENATE("",F$1-2,"/",F$1-1," Budget Authority Amount:")</f>
        <v>2011/2012 Budget Authority Amount:</v>
      </c>
      <c r="C93" s="459">
        <f>inputOth!$B30</f>
        <v>47922001</v>
      </c>
      <c r="D93" s="459"/>
      <c r="E93" s="459">
        <f>inputPrYr!$D16</f>
        <v>51250646</v>
      </c>
      <c r="F93" s="438" t="s">
        <v>132</v>
      </c>
      <c r="G93" s="460"/>
      <c r="H93" s="456">
        <f>F72</f>
        <v>21554954</v>
      </c>
      <c r="I93" s="453" t="str">
        <f>CONCATENATE("",F1," Non-AV Receipts (est.)")</f>
        <v>2013 Non-AV Receipts (est.)</v>
      </c>
      <c r="J93" s="454"/>
      <c r="K93" s="454"/>
    </row>
    <row r="94" spans="2:12" ht="14.25">
      <c r="B94" s="458"/>
      <c r="C94" s="866" t="s">
        <v>630</v>
      </c>
      <c r="D94" s="866"/>
      <c r="E94" s="867"/>
      <c r="F94" s="450">
        <v>193728</v>
      </c>
      <c r="G94" s="460">
        <f>IF(F91/0.95-F91&lt;F94,"Exceeds 5%","")</f>
      </c>
      <c r="H94" s="461">
        <f>IF(F97&gt;0,F96,F98)</f>
        <v>30292166.110000007</v>
      </c>
      <c r="I94" s="453" t="str">
        <f>CONCATENATE("",F1," Ad Valorem Tax (est.)")</f>
        <v>2013 Ad Valorem Tax (est.)</v>
      </c>
      <c r="J94" s="454"/>
      <c r="K94" s="454"/>
      <c r="L94" s="462" t="str">
        <f>IF(H94=F98,"","Note: Does not include Delinquent Taxes")</f>
        <v>Note: Does not include Delinquent Taxes</v>
      </c>
    </row>
    <row r="95" spans="2:11" ht="15">
      <c r="B95" s="463" t="str">
        <f>CONCATENATE(C110,"     ",E110)</f>
        <v>     </v>
      </c>
      <c r="C95" s="868" t="s">
        <v>631</v>
      </c>
      <c r="D95" s="868"/>
      <c r="E95" s="869"/>
      <c r="F95" s="434">
        <f>F91+F94</f>
        <v>52661148</v>
      </c>
      <c r="H95" s="456">
        <f>SUM(H92:H94)</f>
        <v>52661148</v>
      </c>
      <c r="I95" s="453" t="str">
        <f>CONCATENATE("Total ",F1," Resources Available")</f>
        <v>Total 2013 Resources Available</v>
      </c>
      <c r="J95" s="454"/>
      <c r="K95" s="454"/>
    </row>
    <row r="96" spans="2:11" ht="15">
      <c r="B96" s="463" t="str">
        <f>CONCATENATE(C111,"     ",E111)</f>
        <v>     </v>
      </c>
      <c r="C96" s="464"/>
      <c r="D96" s="464"/>
      <c r="E96" s="421" t="s">
        <v>155</v>
      </c>
      <c r="F96" s="434">
        <f>IF(F95-F73&gt;0,F95-F73,0)</f>
        <v>30292166.110000007</v>
      </c>
      <c r="H96" s="456"/>
      <c r="I96" s="453"/>
      <c r="J96" s="453"/>
      <c r="K96" s="454"/>
    </row>
    <row r="97" spans="2:11" ht="14.25">
      <c r="B97" s="458"/>
      <c r="C97" s="466" t="s">
        <v>632</v>
      </c>
      <c r="D97" s="466"/>
      <c r="E97" s="467">
        <f>inputOth!E23</f>
        <v>0.08</v>
      </c>
      <c r="F97" s="434">
        <f>ROUND(IF(E97&gt;0,(F96/((100-(100*E97))*0.01)-F96),0),0)</f>
        <v>2634101</v>
      </c>
      <c r="H97" s="461">
        <f>C91*0.05+C91</f>
        <v>48934709.25</v>
      </c>
      <c r="I97" s="453" t="str">
        <f>CONCATENATE("Less ",F1-2," Expenditures + 5%")</f>
        <v>Less 2011 Expenditures + 5%</v>
      </c>
      <c r="J97" s="454"/>
      <c r="K97" s="454"/>
    </row>
    <row r="98" spans="2:11" ht="15">
      <c r="B98" s="418"/>
      <c r="C98" s="873" t="str">
        <f>CONCATENATE("Amount of  ",$F$1-1," Ad Valorem Tax")</f>
        <v>Amount of  2012 Ad Valorem Tax</v>
      </c>
      <c r="D98" s="873"/>
      <c r="E98" s="874"/>
      <c r="F98" s="468">
        <f>F96+F97</f>
        <v>32926267.110000007</v>
      </c>
      <c r="H98" s="469">
        <f>H95-H97</f>
        <v>3726438.75</v>
      </c>
      <c r="I98" s="470" t="str">
        <f>CONCATENATE("Projected ",F1," Carryover (est.)")</f>
        <v>Projected 2013 Carryover (est.)</v>
      </c>
      <c r="J98" s="471"/>
      <c r="K98" s="471"/>
    </row>
    <row r="99" spans="2:11" ht="14.25">
      <c r="B99" s="418"/>
      <c r="C99" s="418"/>
      <c r="D99" s="418"/>
      <c r="E99" s="418"/>
      <c r="F99" s="418"/>
      <c r="H99" s="759"/>
      <c r="I99" s="472"/>
      <c r="J99" s="472"/>
      <c r="K99" s="472"/>
    </row>
    <row r="100" spans="2:11" ht="15">
      <c r="B100" s="849"/>
      <c r="C100" s="849"/>
      <c r="D100" s="849"/>
      <c r="E100" s="849"/>
      <c r="F100" s="849"/>
      <c r="H100" s="875" t="s">
        <v>782</v>
      </c>
      <c r="I100" s="876"/>
      <c r="J100" s="876"/>
      <c r="K100" s="877"/>
    </row>
    <row r="101" spans="8:11" ht="15">
      <c r="H101" s="473"/>
      <c r="I101" s="474"/>
      <c r="J101" s="475"/>
      <c r="K101" s="476"/>
    </row>
    <row r="102" spans="8:11" ht="15">
      <c r="H102" s="477">
        <f>summ!H16</f>
        <v>30.072</v>
      </c>
      <c r="I102" s="474" t="str">
        <f>CONCATENATE("",F1," Fund Mill Rate")</f>
        <v>2013 Fund Mill Rate</v>
      </c>
      <c r="J102" s="475"/>
      <c r="K102" s="476"/>
    </row>
    <row r="103" spans="8:11" ht="15">
      <c r="H103" s="478">
        <f>summ!E16</f>
        <v>30.072</v>
      </c>
      <c r="I103" s="474" t="str">
        <f>CONCATENATE("",F1-1," Fund Mill Rate")</f>
        <v>2012 Fund Mill Rate</v>
      </c>
      <c r="J103" s="475"/>
      <c r="K103" s="476"/>
    </row>
    <row r="104" spans="8:11" ht="15">
      <c r="H104" s="479">
        <f>summ!H30</f>
        <v>36.399</v>
      </c>
      <c r="I104" s="474" t="str">
        <f>CONCATENATE("Total ",F1," Mill Rate")</f>
        <v>Total 2013 Mill Rate</v>
      </c>
      <c r="J104" s="475"/>
      <c r="K104" s="476"/>
    </row>
    <row r="105" spans="8:11" ht="15">
      <c r="H105" s="478">
        <f>summ!E30</f>
        <v>36.398999999999994</v>
      </c>
      <c r="I105" s="480" t="str">
        <f>CONCATENATE("Total ",F1-1," Mill Rate")</f>
        <v>Total 2012 Mill Rate</v>
      </c>
      <c r="J105" s="481"/>
      <c r="K105" s="482"/>
    </row>
    <row r="106" spans="8:11" ht="15">
      <c r="H106" s="760"/>
      <c r="I106" s="483"/>
      <c r="J106" s="483"/>
      <c r="K106" s="484"/>
    </row>
    <row r="110" spans="3:5" ht="14.25" hidden="1">
      <c r="C110" s="420">
        <f>IF(C91&gt;C93,"See Tab A","")</f>
      </c>
      <c r="E110" s="420">
        <f>IF(E91&gt;E93,"See Tab C","")</f>
      </c>
    </row>
    <row r="111" spans="3:5" ht="14.25" hidden="1">
      <c r="C111" s="420">
        <f>IF(C92&lt;0,"See Tab B","")</f>
      </c>
      <c r="E111" s="420">
        <f>IF(E92&lt;0,"See Tab D","")</f>
      </c>
    </row>
  </sheetData>
  <sheetProtection/>
  <mergeCells count="7">
    <mergeCell ref="C94:E94"/>
    <mergeCell ref="C95:E95"/>
    <mergeCell ref="H90:K90"/>
    <mergeCell ref="B75:F75"/>
    <mergeCell ref="B100:F100"/>
    <mergeCell ref="C98:E98"/>
    <mergeCell ref="H100:K100"/>
  </mergeCells>
  <conditionalFormatting sqref="F89">
    <cfRule type="cellIs" priority="2" dxfId="42" operator="greaterThan" stopIfTrue="1">
      <formula>$F$91*0.1</formula>
    </cfRule>
  </conditionalFormatting>
  <conditionalFormatting sqref="F94">
    <cfRule type="cellIs" priority="3" dxfId="42" operator="greaterThan" stopIfTrue="1">
      <formula>$F$91/0.95-$F$91</formula>
    </cfRule>
  </conditionalFormatting>
  <printOptions/>
  <pageMargins left="1" right="0.5" top="0.68" bottom="0.43" header="0.48" footer="0"/>
  <pageSetup blackAndWhite="1" fitToHeight="2" horizontalDpi="120" verticalDpi="120" orientation="portrait" scale="65" r:id="rId1"/>
  <headerFooter alignWithMargins="0">
    <oddHeader>&amp;RState of Kansas
County
</oddHeader>
    <oddFooter>&amp;C&amp;"Arial,Regular"&amp;10WY - &amp;P</oddFooter>
  </headerFooter>
  <colBreaks count="1" manualBreakCount="1">
    <brk id="6" max="65535" man="1"/>
  </colBreaks>
</worksheet>
</file>

<file path=xl/worksheets/sheet8.xml><?xml version="1.0" encoding="utf-8"?>
<worksheet xmlns="http://schemas.openxmlformats.org/spreadsheetml/2006/main" xmlns:r="http://schemas.openxmlformats.org/officeDocument/2006/relationships">
  <sheetPr>
    <tabColor theme="9" tint="-0.24997000396251678"/>
    <pageSetUpPr fitToPage="1"/>
  </sheetPr>
  <dimension ref="B1:L56"/>
  <sheetViews>
    <sheetView zoomScale="80" zoomScaleNormal="80" zoomScalePageLayoutView="0" workbookViewId="0" topLeftCell="A1">
      <selection activeCell="F42" sqref="F42"/>
    </sheetView>
  </sheetViews>
  <sheetFormatPr defaultColWidth="8.796875" defaultRowHeight="15"/>
  <cols>
    <col min="1" max="1" width="2.3984375" style="486" customWidth="1"/>
    <col min="2" max="2" width="31.09765625" style="486" customWidth="1"/>
    <col min="3" max="5" width="16.19921875" style="486" customWidth="1"/>
    <col min="6" max="6" width="16.296875" style="486" customWidth="1"/>
    <col min="7" max="7" width="31.69921875" style="486" customWidth="1"/>
    <col min="8" max="8" width="10.19921875" style="486" customWidth="1"/>
    <col min="9" max="9" width="8.8984375" style="486" customWidth="1"/>
    <col min="10" max="10" width="5" style="486" customWidth="1"/>
    <col min="11" max="11" width="10" style="486" customWidth="1"/>
    <col min="12" max="16384" width="8.8984375" style="486" customWidth="1"/>
  </cols>
  <sheetData>
    <row r="1" spans="2:6" ht="14.25">
      <c r="B1" s="417" t="str">
        <f>inputPrYr!C2</f>
        <v>Wyandotte County</v>
      </c>
      <c r="C1" s="418"/>
      <c r="D1" s="418"/>
      <c r="E1" s="418"/>
      <c r="F1" s="485">
        <f>inputPrYr!$C$4</f>
        <v>2013</v>
      </c>
    </row>
    <row r="2" spans="2:6" ht="14.25">
      <c r="B2" s="418"/>
      <c r="C2" s="418"/>
      <c r="D2" s="418"/>
      <c r="E2" s="418"/>
      <c r="F2" s="421"/>
    </row>
    <row r="3" spans="2:6" ht="15">
      <c r="B3" s="422" t="s">
        <v>206</v>
      </c>
      <c r="C3" s="487"/>
      <c r="D3" s="487"/>
      <c r="E3" s="487"/>
      <c r="F3" s="488"/>
    </row>
    <row r="4" spans="2:6" ht="14.25">
      <c r="B4" s="418"/>
      <c r="C4" s="489"/>
      <c r="D4" s="489"/>
      <c r="E4" s="489"/>
      <c r="F4" s="489"/>
    </row>
    <row r="5" spans="2:6" ht="14.25">
      <c r="B5" s="490" t="s">
        <v>144</v>
      </c>
      <c r="C5" s="425" t="s">
        <v>783</v>
      </c>
      <c r="D5" s="425">
        <v>2012</v>
      </c>
      <c r="E5" s="426" t="s">
        <v>784</v>
      </c>
      <c r="F5" s="427" t="s">
        <v>785</v>
      </c>
    </row>
    <row r="6" spans="2:6" ht="15">
      <c r="B6" s="428" t="str">
        <f>inputPrYr!B17</f>
        <v>Bond and Interest</v>
      </c>
      <c r="C6" s="429" t="s">
        <v>902</v>
      </c>
      <c r="D6" s="429" t="s">
        <v>840</v>
      </c>
      <c r="E6" s="429" t="s">
        <v>903</v>
      </c>
      <c r="F6" s="430" t="s">
        <v>904</v>
      </c>
    </row>
    <row r="7" spans="2:6" ht="14.25">
      <c r="B7" s="455" t="s">
        <v>246</v>
      </c>
      <c r="C7" s="491">
        <v>341879</v>
      </c>
      <c r="D7" s="491">
        <v>188439</v>
      </c>
      <c r="E7" s="492">
        <f>C36</f>
        <v>248505</v>
      </c>
      <c r="F7" s="493">
        <f>E36</f>
        <v>213771</v>
      </c>
    </row>
    <row r="8" spans="2:6" ht="14.25">
      <c r="B8" s="494" t="s">
        <v>248</v>
      </c>
      <c r="C8" s="495"/>
      <c r="D8" s="495"/>
      <c r="E8" s="492"/>
      <c r="F8" s="493"/>
    </row>
    <row r="9" spans="2:6" ht="14.25">
      <c r="B9" s="346" t="s">
        <v>145</v>
      </c>
      <c r="C9" s="432">
        <v>816779</v>
      </c>
      <c r="D9" s="432">
        <v>813426</v>
      </c>
      <c r="E9" s="491">
        <v>814900</v>
      </c>
      <c r="F9" s="496" t="s">
        <v>132</v>
      </c>
    </row>
    <row r="10" spans="2:7" ht="15">
      <c r="B10" s="346" t="s">
        <v>146</v>
      </c>
      <c r="C10" s="432">
        <v>52063</v>
      </c>
      <c r="D10" s="761">
        <v>30600</v>
      </c>
      <c r="E10" s="432">
        <v>41400</v>
      </c>
      <c r="F10" s="761">
        <v>31100</v>
      </c>
      <c r="G10" s="346" t="s">
        <v>146</v>
      </c>
    </row>
    <row r="11" spans="2:7" ht="15">
      <c r="B11" s="346" t="s">
        <v>147</v>
      </c>
      <c r="C11" s="432">
        <v>115382</v>
      </c>
      <c r="D11" s="762">
        <v>93599</v>
      </c>
      <c r="E11" s="432">
        <v>105000</v>
      </c>
      <c r="F11" s="762">
        <f>mvalloc!E8</f>
        <v>101627</v>
      </c>
      <c r="G11" s="346" t="s">
        <v>147</v>
      </c>
    </row>
    <row r="12" spans="2:7" ht="15">
      <c r="B12" s="346" t="s">
        <v>148</v>
      </c>
      <c r="C12" s="432">
        <v>517</v>
      </c>
      <c r="D12" s="762">
        <v>455</v>
      </c>
      <c r="E12" s="432">
        <v>390</v>
      </c>
      <c r="F12" s="762">
        <f>mvalloc!F8</f>
        <v>377</v>
      </c>
      <c r="G12" s="346" t="s">
        <v>148</v>
      </c>
    </row>
    <row r="13" spans="2:7" ht="15">
      <c r="B13" s="346" t="s">
        <v>230</v>
      </c>
      <c r="C13" s="432">
        <v>915</v>
      </c>
      <c r="D13" s="762">
        <v>832</v>
      </c>
      <c r="E13" s="432">
        <v>910</v>
      </c>
      <c r="F13" s="762">
        <f>mvalloc!G8</f>
        <v>747</v>
      </c>
      <c r="G13" s="346" t="s">
        <v>230</v>
      </c>
    </row>
    <row r="14" spans="2:7" ht="15">
      <c r="B14" s="346" t="s">
        <v>898</v>
      </c>
      <c r="C14" s="432">
        <v>0</v>
      </c>
      <c r="D14" s="762">
        <v>0</v>
      </c>
      <c r="E14" s="432">
        <v>0</v>
      </c>
      <c r="F14" s="762">
        <v>0</v>
      </c>
      <c r="G14" s="346" t="s">
        <v>898</v>
      </c>
    </row>
    <row r="15" spans="2:7" ht="15">
      <c r="B15" s="346" t="s">
        <v>842</v>
      </c>
      <c r="C15" s="432">
        <v>19276</v>
      </c>
      <c r="D15" s="762">
        <v>14890</v>
      </c>
      <c r="E15" s="432">
        <v>19200</v>
      </c>
      <c r="F15" s="762">
        <v>14020</v>
      </c>
      <c r="G15" s="346" t="s">
        <v>842</v>
      </c>
    </row>
    <row r="16" spans="2:7" ht="15">
      <c r="B16" s="346" t="s">
        <v>843</v>
      </c>
      <c r="C16" s="432">
        <v>612</v>
      </c>
      <c r="D16" s="762">
        <v>440</v>
      </c>
      <c r="E16" s="432">
        <v>680</v>
      </c>
      <c r="F16" s="762">
        <v>410</v>
      </c>
      <c r="G16" s="346" t="s">
        <v>843</v>
      </c>
    </row>
    <row r="17" spans="2:7" ht="15">
      <c r="B17" s="346" t="s">
        <v>899</v>
      </c>
      <c r="C17" s="432">
        <v>0</v>
      </c>
      <c r="D17" s="761">
        <v>0</v>
      </c>
      <c r="E17" s="432">
        <v>0</v>
      </c>
      <c r="F17" s="761">
        <v>0</v>
      </c>
      <c r="G17" s="346" t="s">
        <v>899</v>
      </c>
    </row>
    <row r="18" spans="2:7" ht="15">
      <c r="B18" s="346" t="s">
        <v>869</v>
      </c>
      <c r="C18" s="432">
        <v>5426</v>
      </c>
      <c r="D18" s="761">
        <v>13700</v>
      </c>
      <c r="E18" s="432">
        <v>5000</v>
      </c>
      <c r="F18" s="761">
        <v>5000</v>
      </c>
      <c r="G18" s="346" t="s">
        <v>869</v>
      </c>
    </row>
    <row r="19" spans="2:7" ht="15">
      <c r="B19" s="346" t="s">
        <v>900</v>
      </c>
      <c r="C19" s="432">
        <v>0</v>
      </c>
      <c r="D19" s="763">
        <v>0</v>
      </c>
      <c r="E19" s="432">
        <v>124736</v>
      </c>
      <c r="F19" s="763">
        <v>0</v>
      </c>
      <c r="G19" s="346" t="s">
        <v>900</v>
      </c>
    </row>
    <row r="20" spans="2:7" ht="15">
      <c r="B20" s="440" t="s">
        <v>61</v>
      </c>
      <c r="C20" s="432">
        <v>0</v>
      </c>
      <c r="D20" s="763">
        <v>0</v>
      </c>
      <c r="E20" s="432">
        <v>0</v>
      </c>
      <c r="F20" s="763">
        <v>0</v>
      </c>
      <c r="G20" s="756" t="s">
        <v>61</v>
      </c>
    </row>
    <row r="21" spans="2:6" ht="14.25">
      <c r="B21" s="440" t="s">
        <v>62</v>
      </c>
      <c r="C21" s="442">
        <f>IF(C22*0.1&lt;C20,"Exceed 10% Rule","")</f>
      </c>
      <c r="D21" s="442"/>
      <c r="E21" s="442">
        <f>IF(E22*0.1&lt;E20,"Exceed 10% Rule","")</f>
      </c>
      <c r="F21" s="443">
        <f>IF(F22*0.1&lt;F20,"Exceed 10% Rule","")</f>
      </c>
    </row>
    <row r="22" spans="2:6" ht="15">
      <c r="B22" s="444" t="s">
        <v>149</v>
      </c>
      <c r="C22" s="498">
        <f>SUM(C9:C20)</f>
        <v>1010970</v>
      </c>
      <c r="D22" s="498">
        <f>SUM(D9:D20)</f>
        <v>967942</v>
      </c>
      <c r="E22" s="499">
        <f>SUM(E9:E20)</f>
        <v>1112216</v>
      </c>
      <c r="F22" s="497">
        <f>SUM(F9:F20)</f>
        <v>153281</v>
      </c>
    </row>
    <row r="23" spans="2:6" ht="15">
      <c r="B23" s="444" t="s">
        <v>150</v>
      </c>
      <c r="C23" s="499">
        <f>C7+C22</f>
        <v>1352849</v>
      </c>
      <c r="D23" s="499">
        <f>D7+D22</f>
        <v>1156381</v>
      </c>
      <c r="E23" s="499">
        <f>E7+E22</f>
        <v>1360721</v>
      </c>
      <c r="F23" s="497">
        <f>F7+F22</f>
        <v>367052</v>
      </c>
    </row>
    <row r="24" spans="2:6" ht="14.25">
      <c r="B24" s="494" t="s">
        <v>153</v>
      </c>
      <c r="C24" s="432"/>
      <c r="D24" s="432"/>
      <c r="E24" s="432"/>
      <c r="F24" s="497"/>
    </row>
    <row r="25" spans="2:7" ht="14.25">
      <c r="B25" s="346" t="s">
        <v>893</v>
      </c>
      <c r="C25" s="432">
        <v>0</v>
      </c>
      <c r="D25" s="432">
        <v>0</v>
      </c>
      <c r="E25" s="432"/>
      <c r="F25" s="770"/>
      <c r="G25" s="346" t="s">
        <v>893</v>
      </c>
    </row>
    <row r="26" spans="2:7" ht="14.25">
      <c r="B26" s="346" t="s">
        <v>894</v>
      </c>
      <c r="C26" s="432">
        <v>0</v>
      </c>
      <c r="D26" s="432">
        <v>0</v>
      </c>
      <c r="E26" s="432"/>
      <c r="F26" s="497">
        <v>0</v>
      </c>
      <c r="G26" s="346" t="s">
        <v>894</v>
      </c>
    </row>
    <row r="27" spans="2:7" ht="14.25">
      <c r="B27" s="346" t="s">
        <v>895</v>
      </c>
      <c r="C27" s="432">
        <v>0</v>
      </c>
      <c r="D27" s="432">
        <v>0</v>
      </c>
      <c r="E27" s="432"/>
      <c r="F27" s="497">
        <v>0</v>
      </c>
      <c r="G27" s="346" t="s">
        <v>895</v>
      </c>
    </row>
    <row r="28" spans="2:7" ht="14.25">
      <c r="B28" s="346" t="s">
        <v>896</v>
      </c>
      <c r="C28" s="432">
        <v>0</v>
      </c>
      <c r="D28" s="432">
        <v>0</v>
      </c>
      <c r="E28" s="432"/>
      <c r="F28" s="497">
        <v>0</v>
      </c>
      <c r="G28" s="346" t="s">
        <v>896</v>
      </c>
    </row>
    <row r="29" spans="2:7" ht="14.25">
      <c r="B29" s="346" t="s">
        <v>901</v>
      </c>
      <c r="C29" s="432">
        <v>0</v>
      </c>
      <c r="D29" s="432">
        <v>0</v>
      </c>
      <c r="E29" s="432"/>
      <c r="F29" s="497">
        <v>0</v>
      </c>
      <c r="G29" s="346" t="s">
        <v>901</v>
      </c>
    </row>
    <row r="30" spans="2:7" ht="14.25">
      <c r="B30" s="346" t="s">
        <v>897</v>
      </c>
      <c r="C30" s="432">
        <v>1054193</v>
      </c>
      <c r="D30" s="432">
        <v>905191</v>
      </c>
      <c r="E30" s="432">
        <v>905191</v>
      </c>
      <c r="F30" s="497">
        <v>955105</v>
      </c>
      <c r="G30" s="346" t="s">
        <v>897</v>
      </c>
    </row>
    <row r="31" spans="2:7" ht="14.25">
      <c r="B31" s="346" t="s">
        <v>157</v>
      </c>
      <c r="C31" s="432">
        <v>50151</v>
      </c>
      <c r="D31" s="432">
        <v>191759</v>
      </c>
      <c r="E31" s="432">
        <v>191759</v>
      </c>
      <c r="F31" s="497">
        <v>140200</v>
      </c>
      <c r="G31" s="346" t="s">
        <v>157</v>
      </c>
    </row>
    <row r="32" spans="2:7" ht="14.25">
      <c r="B32" s="346" t="s">
        <v>63</v>
      </c>
      <c r="C32" s="432">
        <v>0</v>
      </c>
      <c r="D32" s="432">
        <v>0</v>
      </c>
      <c r="E32" s="432"/>
      <c r="F32" s="497">
        <v>0</v>
      </c>
      <c r="G32" s="346" t="s">
        <v>63</v>
      </c>
    </row>
    <row r="33" spans="2:7" ht="15">
      <c r="B33" s="440" t="s">
        <v>61</v>
      </c>
      <c r="C33" s="432">
        <v>0</v>
      </c>
      <c r="D33" s="432">
        <v>20000</v>
      </c>
      <c r="E33" s="432">
        <v>50000</v>
      </c>
      <c r="F33" s="497">
        <v>25000</v>
      </c>
      <c r="G33" s="756" t="s">
        <v>61</v>
      </c>
    </row>
    <row r="34" spans="2:11" ht="15">
      <c r="B34" s="440" t="s">
        <v>64</v>
      </c>
      <c r="C34" s="442">
        <f>IF(C35*0.1&lt;C33,"Exceed 10% Rule","")</f>
      </c>
      <c r="D34" s="442"/>
      <c r="E34" s="442">
        <f>IF(E35*0.1&lt;E33,"Exceed 10% Rule","")</f>
      </c>
      <c r="F34" s="443">
        <f>IF(F35*0.1&lt;F33,"Exceed 10% Rule","")</f>
      </c>
      <c r="H34" s="870" t="str">
        <f>CONCATENATE("Projected Carryover Into ",F1+1,"")</f>
        <v>Projected Carryover Into 2014</v>
      </c>
      <c r="I34" s="878"/>
      <c r="J34" s="878"/>
      <c r="K34" s="879"/>
    </row>
    <row r="35" spans="2:11" ht="15">
      <c r="B35" s="444" t="s">
        <v>154</v>
      </c>
      <c r="C35" s="498">
        <f>SUM(C24:C33)</f>
        <v>1104344</v>
      </c>
      <c r="D35" s="498">
        <f>SUM(D24:D33)</f>
        <v>1116950</v>
      </c>
      <c r="E35" s="499">
        <f>SUM(E24:E33)</f>
        <v>1146950</v>
      </c>
      <c r="F35" s="500">
        <f>SUM(F24:F33)</f>
        <v>1120305</v>
      </c>
      <c r="H35" s="452"/>
      <c r="I35" s="453"/>
      <c r="J35" s="453"/>
      <c r="K35" s="476"/>
    </row>
    <row r="36" spans="2:11" ht="14.25">
      <c r="B36" s="455" t="s">
        <v>247</v>
      </c>
      <c r="C36" s="495">
        <f>C23-C35</f>
        <v>248505</v>
      </c>
      <c r="D36" s="495">
        <f>D23-D35</f>
        <v>39431</v>
      </c>
      <c r="E36" s="495">
        <f>E23-E35</f>
        <v>213771</v>
      </c>
      <c r="F36" s="496" t="s">
        <v>132</v>
      </c>
      <c r="H36" s="456">
        <f>E36</f>
        <v>213771</v>
      </c>
      <c r="I36" s="457" t="str">
        <f>CONCATENATE("",F1-1," Ending Cash Balance (est.)")</f>
        <v>2012 Ending Cash Balance (est.)</v>
      </c>
      <c r="J36" s="454"/>
      <c r="K36" s="501"/>
    </row>
    <row r="37" spans="2:11" ht="14.25">
      <c r="B37" s="458" t="str">
        <f>CONCATENATE("",F$1-2,"/",F$1-1," Budget Authority Amount:")</f>
        <v>2011/2012 Budget Authority Amount:</v>
      </c>
      <c r="C37" s="459">
        <f>inputOth!B31</f>
        <v>1161820</v>
      </c>
      <c r="D37" s="459"/>
      <c r="E37" s="459">
        <f>inputPrYr!D17</f>
        <v>1146950</v>
      </c>
      <c r="F37" s="496" t="s">
        <v>132</v>
      </c>
      <c r="G37" s="502"/>
      <c r="H37" s="456">
        <f>F22</f>
        <v>153281</v>
      </c>
      <c r="I37" s="453" t="str">
        <f>CONCATENATE("",F1," Non-AV Receipts (est.)")</f>
        <v>2013 Non-AV Receipts (est.)</v>
      </c>
      <c r="J37" s="453"/>
      <c r="K37" s="476"/>
    </row>
    <row r="38" spans="2:12" ht="14.25">
      <c r="B38" s="458"/>
      <c r="C38" s="866" t="s">
        <v>630</v>
      </c>
      <c r="D38" s="866"/>
      <c r="E38" s="867"/>
      <c r="F38" s="450">
        <v>47690.04307692307</v>
      </c>
      <c r="G38" s="502">
        <f>IF(F35/0.95-F35&lt;F38,"Exceeds 5%","")</f>
      </c>
      <c r="H38" s="461">
        <f>IF(F41&gt;0,F40,F42)</f>
        <v>800943.0430769231</v>
      </c>
      <c r="I38" s="453" t="str">
        <f>CONCATENATE("",F1," Ad Valorem Tax (est.)")</f>
        <v>2013 Ad Valorem Tax (est.)</v>
      </c>
      <c r="J38" s="453"/>
      <c r="K38" s="476"/>
      <c r="L38" s="462" t="str">
        <f>IF(H38=F42,"","Note: Does not include Delinquent Taxes")</f>
        <v>Note: Does not include Delinquent Taxes</v>
      </c>
    </row>
    <row r="39" spans="2:11" ht="15">
      <c r="B39" s="463" t="str">
        <f>CONCATENATE(C55,"     ",E55)</f>
        <v>     </v>
      </c>
      <c r="C39" s="868" t="s">
        <v>631</v>
      </c>
      <c r="D39" s="868"/>
      <c r="E39" s="869"/>
      <c r="F39" s="434">
        <f>F35+F38</f>
        <v>1167995.0430769231</v>
      </c>
      <c r="H39" s="456">
        <f>SUM(H36:H38)</f>
        <v>1167995.0430769231</v>
      </c>
      <c r="I39" s="453" t="str">
        <f>CONCATENATE("Total ",F1," Resources Available")</f>
        <v>Total 2013 Resources Available</v>
      </c>
      <c r="J39" s="454"/>
      <c r="K39" s="501"/>
    </row>
    <row r="40" spans="2:11" ht="15">
      <c r="B40" s="463" t="str">
        <f>CONCATENATE(C56,"     ",E56)</f>
        <v>     </v>
      </c>
      <c r="C40" s="464"/>
      <c r="D40" s="464"/>
      <c r="E40" s="421" t="s">
        <v>155</v>
      </c>
      <c r="F40" s="434">
        <f>IF(F39-F23&gt;0,F39-F23,0)</f>
        <v>800943.0430769231</v>
      </c>
      <c r="H40" s="465"/>
      <c r="I40" s="453"/>
      <c r="J40" s="453"/>
      <c r="K40" s="476"/>
    </row>
    <row r="41" spans="2:11" ht="14.25">
      <c r="B41" s="421"/>
      <c r="C41" s="466" t="s">
        <v>632</v>
      </c>
      <c r="D41" s="466"/>
      <c r="E41" s="467">
        <f>inputOth!$E$23</f>
        <v>0.08</v>
      </c>
      <c r="F41" s="434">
        <f>ROUND(IF(E41&gt;0,(F40/((100-(100*E41))*0.01)-F40),0),0)</f>
        <v>69647</v>
      </c>
      <c r="H41" s="461">
        <f>C35</f>
        <v>1104344</v>
      </c>
      <c r="I41" s="453" t="str">
        <f>CONCATENATE("Less ",F1-2," Expenditures")</f>
        <v>Less 2011 Expenditures</v>
      </c>
      <c r="J41" s="453"/>
      <c r="K41" s="476"/>
    </row>
    <row r="42" spans="2:11" ht="14.25">
      <c r="B42" s="418"/>
      <c r="C42" s="873" t="str">
        <f>CONCATENATE("Amount of  ",$F$1-1," Ad Valorem Tax")</f>
        <v>Amount of  2012 Ad Valorem Tax</v>
      </c>
      <c r="D42" s="873"/>
      <c r="E42" s="874"/>
      <c r="F42" s="468">
        <f>F40+F41</f>
        <v>870590.0430769231</v>
      </c>
      <c r="H42" s="503">
        <f>H39-H41</f>
        <v>63651.04307692312</v>
      </c>
      <c r="I42" s="504" t="str">
        <f>CONCATENATE("Projected ",F1+1," carryover (est.)")</f>
        <v>Projected 2014 carryover (est.)</v>
      </c>
      <c r="J42" s="471"/>
      <c r="K42" s="505"/>
    </row>
    <row r="43" spans="2:6" ht="14.25">
      <c r="B43" s="506"/>
      <c r="C43" s="507"/>
      <c r="D43" s="507"/>
      <c r="E43" s="507"/>
      <c r="F43" s="507"/>
    </row>
    <row r="44" spans="2:11" ht="15">
      <c r="B44" s="508"/>
      <c r="C44" s="509"/>
      <c r="D44" s="509"/>
      <c r="E44" s="507"/>
      <c r="F44" s="507"/>
      <c r="H44" s="875" t="s">
        <v>782</v>
      </c>
      <c r="I44" s="876"/>
      <c r="J44" s="876"/>
      <c r="K44" s="877"/>
    </row>
    <row r="45" spans="8:11" ht="15">
      <c r="H45" s="473"/>
      <c r="I45" s="474"/>
      <c r="J45" s="475"/>
      <c r="K45" s="476"/>
    </row>
    <row r="46" spans="8:11" ht="15">
      <c r="H46" s="477">
        <f>summ!H17</f>
        <v>0.795</v>
      </c>
      <c r="I46" s="474" t="str">
        <f>CONCATENATE("",F1," Fund Mill Rate")</f>
        <v>2013 Fund Mill Rate</v>
      </c>
      <c r="J46" s="475"/>
      <c r="K46" s="476"/>
    </row>
    <row r="47" spans="8:11" ht="15">
      <c r="H47" s="478">
        <f>summ!E17</f>
        <v>0.82</v>
      </c>
      <c r="I47" s="474" t="str">
        <f>CONCATENATE("",F1-1," Fund Mill Rate")</f>
        <v>2012 Fund Mill Rate</v>
      </c>
      <c r="J47" s="475"/>
      <c r="K47" s="476"/>
    </row>
    <row r="48" spans="8:11" ht="15">
      <c r="H48" s="479">
        <f>summ!H30</f>
        <v>36.399</v>
      </c>
      <c r="I48" s="474" t="str">
        <f>CONCATENATE("Total ",F1," Mill Rate")</f>
        <v>Total 2013 Mill Rate</v>
      </c>
      <c r="J48" s="475"/>
      <c r="K48" s="476"/>
    </row>
    <row r="49" spans="8:11" ht="15">
      <c r="H49" s="478">
        <f>summ!E30</f>
        <v>36.398999999999994</v>
      </c>
      <c r="I49" s="480" t="str">
        <f>CONCATENATE("Total ",F1-1," Mill Rate")</f>
        <v>Total 2012 Mill Rate</v>
      </c>
      <c r="J49" s="481"/>
      <c r="K49" s="482"/>
    </row>
    <row r="55" spans="3:5" ht="14.25" hidden="1">
      <c r="C55" s="486">
        <f>IF(C35&gt;C37,"SeeTab A","")</f>
      </c>
      <c r="E55" s="486">
        <f>IF(E35&gt;E37,"See Tab C","")</f>
      </c>
    </row>
    <row r="56" spans="3:5" ht="14.25" hidden="1">
      <c r="C56" s="486">
        <f>IF(C36&lt;0,"See Tab B","")</f>
      </c>
      <c r="E56" s="486">
        <f>IF(E36&lt;0,"See Tab D","")</f>
      </c>
    </row>
  </sheetData>
  <sheetProtection/>
  <mergeCells count="5">
    <mergeCell ref="H44:K44"/>
    <mergeCell ref="C38:E38"/>
    <mergeCell ref="C39:E39"/>
    <mergeCell ref="C42:E42"/>
    <mergeCell ref="H34:K34"/>
  </mergeCells>
  <conditionalFormatting sqref="F33">
    <cfRule type="cellIs" priority="3" dxfId="42" operator="greaterThan" stopIfTrue="1">
      <formula>$F$35*0.1</formula>
    </cfRule>
  </conditionalFormatting>
  <conditionalFormatting sqref="F38">
    <cfRule type="cellIs" priority="4" dxfId="42" operator="greaterThan" stopIfTrue="1">
      <formula>$F$35/0.95-$F$35</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County</oddHeader>
    <oddFooter>&amp;C&amp;"Arial,Regular"&amp;11WY-&amp;P</oddFooter>
  </headerFooter>
</worksheet>
</file>

<file path=xl/worksheets/sheet9.xml><?xml version="1.0" encoding="utf-8"?>
<worksheet xmlns="http://schemas.openxmlformats.org/spreadsheetml/2006/main" xmlns:r="http://schemas.openxmlformats.org/officeDocument/2006/relationships">
  <sheetPr>
    <tabColor theme="9" tint="-0.24997000396251678"/>
    <pageSetUpPr fitToPage="1"/>
  </sheetPr>
  <dimension ref="B1:L48"/>
  <sheetViews>
    <sheetView zoomScale="80" zoomScaleNormal="80" zoomScalePageLayoutView="0" workbookViewId="0" topLeftCell="C19">
      <selection activeCell="L35" sqref="L35"/>
    </sheetView>
  </sheetViews>
  <sheetFormatPr defaultColWidth="8.796875" defaultRowHeight="15"/>
  <cols>
    <col min="1" max="1" width="2.3984375" style="510" customWidth="1"/>
    <col min="2" max="2" width="31.09765625" style="510" customWidth="1"/>
    <col min="3" max="5" width="15.796875" style="510" customWidth="1"/>
    <col min="6" max="6" width="16.09765625" style="510" customWidth="1"/>
    <col min="7" max="7" width="27.8984375" style="510" customWidth="1"/>
    <col min="8" max="8" width="10.19921875" style="510" customWidth="1"/>
    <col min="9" max="9" width="8.8984375" style="510" customWidth="1"/>
    <col min="10" max="10" width="5" style="510" customWidth="1"/>
    <col min="11" max="11" width="10" style="510" customWidth="1"/>
    <col min="12" max="16384" width="8.8984375" style="510" customWidth="1"/>
  </cols>
  <sheetData>
    <row r="1" spans="2:6" ht="15">
      <c r="B1" s="417" t="str">
        <f>(inputPrYr!C2)</f>
        <v>Wyandotte County</v>
      </c>
      <c r="C1" s="418"/>
      <c r="D1" s="418"/>
      <c r="E1" s="418"/>
      <c r="F1" s="419">
        <f>inputPrYr!C4</f>
        <v>2013</v>
      </c>
    </row>
    <row r="2" spans="2:6" ht="15">
      <c r="B2" s="418"/>
      <c r="C2" s="418"/>
      <c r="D2" s="418"/>
      <c r="E2" s="418"/>
      <c r="F2" s="421"/>
    </row>
    <row r="3" spans="2:6" ht="15">
      <c r="B3" s="422" t="s">
        <v>206</v>
      </c>
      <c r="C3" s="487"/>
      <c r="D3" s="487"/>
      <c r="E3" s="487"/>
      <c r="F3" s="488"/>
    </row>
    <row r="4" spans="2:6" ht="15">
      <c r="B4" s="490" t="s">
        <v>144</v>
      </c>
      <c r="C4" s="425" t="s">
        <v>783</v>
      </c>
      <c r="D4" s="425">
        <v>2012</v>
      </c>
      <c r="E4" s="426" t="s">
        <v>784</v>
      </c>
      <c r="F4" s="427" t="s">
        <v>785</v>
      </c>
    </row>
    <row r="5" spans="2:6" ht="15">
      <c r="B5" s="428" t="str">
        <f>inputPrYr!B18</f>
        <v>County Elections</v>
      </c>
      <c r="C5" s="429" t="s">
        <v>902</v>
      </c>
      <c r="D5" s="429" t="s">
        <v>840</v>
      </c>
      <c r="E5" s="429" t="s">
        <v>903</v>
      </c>
      <c r="F5" s="430" t="s">
        <v>904</v>
      </c>
    </row>
    <row r="6" spans="2:6" ht="15">
      <c r="B6" s="455" t="s">
        <v>246</v>
      </c>
      <c r="C6" s="432">
        <v>655651</v>
      </c>
      <c r="D6" s="432">
        <v>480801</v>
      </c>
      <c r="E6" s="433">
        <f>C34</f>
        <v>713816</v>
      </c>
      <c r="F6" s="434">
        <f>E34</f>
        <v>314622</v>
      </c>
    </row>
    <row r="7" spans="2:6" ht="15">
      <c r="B7" s="435" t="s">
        <v>248</v>
      </c>
      <c r="C7" s="436"/>
      <c r="D7" s="436"/>
      <c r="E7" s="436"/>
      <c r="F7" s="437"/>
    </row>
    <row r="8" spans="2:7" ht="15">
      <c r="B8" s="415" t="s">
        <v>145</v>
      </c>
      <c r="C8" s="432">
        <v>856728</v>
      </c>
      <c r="D8" s="432">
        <v>851937</v>
      </c>
      <c r="E8" s="433">
        <v>854600</v>
      </c>
      <c r="F8" s="496" t="s">
        <v>132</v>
      </c>
      <c r="G8" s="415" t="s">
        <v>145</v>
      </c>
    </row>
    <row r="9" spans="2:7" ht="15">
      <c r="B9" s="415" t="s">
        <v>146</v>
      </c>
      <c r="C9" s="432">
        <v>50001</v>
      </c>
      <c r="D9" s="432">
        <v>32100</v>
      </c>
      <c r="E9" s="432">
        <v>42400</v>
      </c>
      <c r="F9" s="450">
        <v>32600</v>
      </c>
      <c r="G9" s="415" t="s">
        <v>146</v>
      </c>
    </row>
    <row r="10" spans="2:7" ht="15">
      <c r="B10" s="415" t="s">
        <v>147</v>
      </c>
      <c r="C10" s="432">
        <v>97100</v>
      </c>
      <c r="D10" s="432">
        <v>98111</v>
      </c>
      <c r="E10" s="432">
        <v>98900</v>
      </c>
      <c r="F10" s="434">
        <f>mvalloc!E9</f>
        <v>106439</v>
      </c>
      <c r="G10" s="415" t="s">
        <v>147</v>
      </c>
    </row>
    <row r="11" spans="2:7" ht="15">
      <c r="B11" s="415" t="s">
        <v>148</v>
      </c>
      <c r="C11" s="432">
        <v>435</v>
      </c>
      <c r="D11" s="432">
        <v>477</v>
      </c>
      <c r="E11" s="432">
        <v>370</v>
      </c>
      <c r="F11" s="434">
        <f>mvalloc!F9</f>
        <v>395</v>
      </c>
      <c r="G11" s="415" t="s">
        <v>148</v>
      </c>
    </row>
    <row r="12" spans="2:7" ht="15">
      <c r="B12" s="415" t="s">
        <v>230</v>
      </c>
      <c r="C12" s="432">
        <v>771</v>
      </c>
      <c r="D12" s="432">
        <v>872</v>
      </c>
      <c r="E12" s="432">
        <v>780</v>
      </c>
      <c r="F12" s="434">
        <f>mvalloc!G9</f>
        <v>782</v>
      </c>
      <c r="G12" s="415" t="s">
        <v>230</v>
      </c>
    </row>
    <row r="13" spans="2:7" ht="15">
      <c r="B13" s="415" t="s">
        <v>898</v>
      </c>
      <c r="C13" s="432">
        <v>0</v>
      </c>
      <c r="D13" s="432">
        <v>0</v>
      </c>
      <c r="E13" s="432">
        <v>0</v>
      </c>
      <c r="F13" s="450">
        <v>0</v>
      </c>
      <c r="G13" s="415" t="s">
        <v>898</v>
      </c>
    </row>
    <row r="14" spans="2:7" ht="15">
      <c r="B14" s="415" t="s">
        <v>842</v>
      </c>
      <c r="C14" s="432">
        <v>20013</v>
      </c>
      <c r="D14" s="432">
        <v>15450</v>
      </c>
      <c r="E14" s="432">
        <v>20100</v>
      </c>
      <c r="F14" s="450">
        <v>14680</v>
      </c>
      <c r="G14" s="415" t="s">
        <v>842</v>
      </c>
    </row>
    <row r="15" spans="2:7" ht="15">
      <c r="B15" s="415" t="s">
        <v>843</v>
      </c>
      <c r="C15" s="432">
        <v>512</v>
      </c>
      <c r="D15" s="432">
        <v>460</v>
      </c>
      <c r="E15" s="432">
        <v>580</v>
      </c>
      <c r="F15" s="450">
        <v>490</v>
      </c>
      <c r="G15" s="415" t="s">
        <v>843</v>
      </c>
    </row>
    <row r="16" spans="2:7" ht="15">
      <c r="B16" s="415" t="s">
        <v>853</v>
      </c>
      <c r="C16" s="432">
        <v>3311</v>
      </c>
      <c r="D16" s="432">
        <v>6000</v>
      </c>
      <c r="E16" s="432">
        <v>3000</v>
      </c>
      <c r="F16" s="450">
        <v>3000</v>
      </c>
      <c r="G16" s="415" t="s">
        <v>853</v>
      </c>
    </row>
    <row r="17" spans="2:7" ht="15">
      <c r="B17" s="415" t="s">
        <v>886</v>
      </c>
      <c r="C17" s="432">
        <v>1308</v>
      </c>
      <c r="D17" s="432">
        <v>0</v>
      </c>
      <c r="E17" s="432">
        <v>0</v>
      </c>
      <c r="F17" s="432">
        <v>0</v>
      </c>
      <c r="G17" s="415" t="s">
        <v>886</v>
      </c>
    </row>
    <row r="18" spans="2:7" ht="15">
      <c r="B18" s="415" t="s">
        <v>877</v>
      </c>
      <c r="C18" s="432">
        <v>0</v>
      </c>
      <c r="D18" s="432">
        <v>0</v>
      </c>
      <c r="E18" s="432">
        <v>0</v>
      </c>
      <c r="F18" s="432">
        <v>0</v>
      </c>
      <c r="G18" s="415" t="s">
        <v>877</v>
      </c>
    </row>
    <row r="19" spans="2:7" ht="15">
      <c r="B19" s="440" t="s">
        <v>61</v>
      </c>
      <c r="C19" s="432">
        <v>0</v>
      </c>
      <c r="D19" s="432">
        <v>0</v>
      </c>
      <c r="E19" s="432">
        <v>0</v>
      </c>
      <c r="F19" s="432">
        <v>0</v>
      </c>
      <c r="G19" s="440" t="s">
        <v>61</v>
      </c>
    </row>
    <row r="20" spans="2:6" ht="15">
      <c r="B20" s="441" t="s">
        <v>629</v>
      </c>
      <c r="C20" s="442">
        <f>IF(C21*0.1&lt;C19,"Exceed 10% Rule","")</f>
      </c>
      <c r="D20" s="442"/>
      <c r="E20" s="442">
        <f>IF(E21*0.1&lt;E19,"Exceed 10% Rule","")</f>
      </c>
      <c r="F20" s="443">
        <f>IF(F21*0.1+F40&lt;F19,"Exceed 10% Rule","")</f>
      </c>
    </row>
    <row r="21" spans="2:6" ht="15">
      <c r="B21" s="444" t="s">
        <v>149</v>
      </c>
      <c r="C21" s="445">
        <f>SUM(C8:C19)</f>
        <v>1030179</v>
      </c>
      <c r="D21" s="445">
        <f>SUM(D8:D19)</f>
        <v>1005407</v>
      </c>
      <c r="E21" s="445">
        <f>SUM(E8:E19)</f>
        <v>1020730</v>
      </c>
      <c r="F21" s="446">
        <f>SUM(F8:F19)</f>
        <v>158386</v>
      </c>
    </row>
    <row r="22" spans="2:6" ht="15">
      <c r="B22" s="444" t="s">
        <v>150</v>
      </c>
      <c r="C22" s="445">
        <f>C6+C21</f>
        <v>1685830</v>
      </c>
      <c r="D22" s="445">
        <f>D6+D21</f>
        <v>1486208</v>
      </c>
      <c r="E22" s="445">
        <f>E6+E21</f>
        <v>1734546</v>
      </c>
      <c r="F22" s="446">
        <f>F6+F21</f>
        <v>473008</v>
      </c>
    </row>
    <row r="23" spans="2:7" ht="15">
      <c r="B23" s="455" t="s">
        <v>153</v>
      </c>
      <c r="C23" s="440"/>
      <c r="D23" s="440"/>
      <c r="E23" s="440"/>
      <c r="F23" s="511"/>
      <c r="G23" s="455" t="s">
        <v>153</v>
      </c>
    </row>
    <row r="24" spans="2:7" ht="15">
      <c r="B24" s="344" t="s">
        <v>893</v>
      </c>
      <c r="C24" s="432">
        <v>560960</v>
      </c>
      <c r="D24" s="450">
        <v>725000</v>
      </c>
      <c r="E24" s="432">
        <v>689981</v>
      </c>
      <c r="F24" s="432">
        <v>625365</v>
      </c>
      <c r="G24" s="344" t="s">
        <v>893</v>
      </c>
    </row>
    <row r="25" spans="2:11" ht="15">
      <c r="B25" s="344" t="s">
        <v>894</v>
      </c>
      <c r="C25" s="432">
        <v>213223</v>
      </c>
      <c r="D25" s="450">
        <v>478000</v>
      </c>
      <c r="E25" s="432">
        <v>513439</v>
      </c>
      <c r="F25" s="450">
        <v>473439</v>
      </c>
      <c r="G25" s="344" t="s">
        <v>894</v>
      </c>
      <c r="H25" s="880" t="str">
        <f>CONCATENATE("Desired Carryover Into ",F1+1,"")</f>
        <v>Desired Carryover Into 2014</v>
      </c>
      <c r="I25" s="881"/>
      <c r="J25" s="881"/>
      <c r="K25" s="882"/>
    </row>
    <row r="26" spans="2:11" ht="15">
      <c r="B26" s="344" t="s">
        <v>895</v>
      </c>
      <c r="C26" s="432">
        <v>88625</v>
      </c>
      <c r="D26" s="450">
        <v>145000</v>
      </c>
      <c r="E26" s="432">
        <v>161504</v>
      </c>
      <c r="F26" s="450">
        <v>146504</v>
      </c>
      <c r="G26" s="344" t="s">
        <v>895</v>
      </c>
      <c r="H26" s="512"/>
      <c r="I26" s="513"/>
      <c r="J26" s="513"/>
      <c r="K26" s="514"/>
    </row>
    <row r="27" spans="2:11" ht="15">
      <c r="B27" s="344" t="s">
        <v>896</v>
      </c>
      <c r="C27" s="432">
        <v>100000</v>
      </c>
      <c r="D27" s="764">
        <v>0</v>
      </c>
      <c r="E27" s="432">
        <v>0</v>
      </c>
      <c r="F27" s="450">
        <v>0</v>
      </c>
      <c r="G27" s="344" t="s">
        <v>896</v>
      </c>
      <c r="H27" s="515" t="s">
        <v>633</v>
      </c>
      <c r="I27" s="513"/>
      <c r="J27" s="513"/>
      <c r="K27" s="516">
        <v>0</v>
      </c>
    </row>
    <row r="28" spans="2:11" ht="15">
      <c r="B28" s="344" t="s">
        <v>930</v>
      </c>
      <c r="C28" s="432">
        <v>0</v>
      </c>
      <c r="D28" s="764">
        <v>0</v>
      </c>
      <c r="E28" s="432">
        <v>0</v>
      </c>
      <c r="F28" s="450">
        <v>0</v>
      </c>
      <c r="G28" s="344" t="s">
        <v>930</v>
      </c>
      <c r="H28" s="512" t="s">
        <v>634</v>
      </c>
      <c r="I28" s="513"/>
      <c r="J28" s="513"/>
      <c r="K28" s="517">
        <f>IF(K27=0,"",ROUND((K27+F40-H39)/inputOth!E6*1000,3)-#REF!)</f>
      </c>
    </row>
    <row r="29" spans="2:11" ht="15">
      <c r="B29" s="344" t="s">
        <v>897</v>
      </c>
      <c r="C29" s="432">
        <v>9206</v>
      </c>
      <c r="D29" s="764">
        <v>10000</v>
      </c>
      <c r="E29" s="432">
        <v>10000</v>
      </c>
      <c r="F29" s="450">
        <v>10000</v>
      </c>
      <c r="G29" s="344" t="s">
        <v>897</v>
      </c>
      <c r="H29" s="518" t="str">
        <f>CONCATENATE("",F1," Tot Exp/Non-Appr Must Be:")</f>
        <v>2013 Tot Exp/Non-Appr Must Be:</v>
      </c>
      <c r="I29" s="519"/>
      <c r="J29" s="519"/>
      <c r="K29" s="520">
        <f>IF(K27&gt;0,IF(F37&lt;F22,IF(K27=H39,F37,((K27-H39)*(1-E39))+F22),F37+(K27-H39)),0)</f>
        <v>0</v>
      </c>
    </row>
    <row r="30" spans="2:11" ht="15">
      <c r="B30" s="344" t="s">
        <v>157</v>
      </c>
      <c r="C30" s="432">
        <v>0</v>
      </c>
      <c r="D30" s="764">
        <v>0</v>
      </c>
      <c r="E30" s="432">
        <v>0</v>
      </c>
      <c r="F30" s="450">
        <v>0</v>
      </c>
      <c r="G30" s="344" t="s">
        <v>157</v>
      </c>
      <c r="H30" s="521" t="s">
        <v>781</v>
      </c>
      <c r="I30" s="522"/>
      <c r="J30" s="522"/>
      <c r="K30" s="523">
        <f>IF(K27&gt;0,K29-F37,0)</f>
        <v>0</v>
      </c>
    </row>
    <row r="31" spans="2:11" ht="15">
      <c r="B31" s="440" t="s">
        <v>61</v>
      </c>
      <c r="C31" s="432">
        <v>0</v>
      </c>
      <c r="D31" s="450">
        <v>55000</v>
      </c>
      <c r="E31" s="432">
        <v>45000</v>
      </c>
      <c r="F31" s="450">
        <v>40000</v>
      </c>
      <c r="G31" s="440" t="s">
        <v>61</v>
      </c>
      <c r="H31" s="880" t="str">
        <f>CONCATENATE("Projected Carryover Into ",F1+1,"")</f>
        <v>Projected Carryover Into 2014</v>
      </c>
      <c r="I31" s="883"/>
      <c r="J31" s="883"/>
      <c r="K31" s="884"/>
    </row>
    <row r="32" spans="2:11" ht="15">
      <c r="B32" s="441" t="s">
        <v>628</v>
      </c>
      <c r="C32" s="442">
        <f>IF(C33*0.1&lt;C31,"Exceed 10% Rule","")</f>
      </c>
      <c r="D32" s="442"/>
      <c r="E32" s="442">
        <f>IF(E33*0.1&lt;E31,"Exceed 10% Rule","")</f>
      </c>
      <c r="F32" s="443">
        <f>IF(F33*0.1&lt;F31,"Exceed 10% Rule","")</f>
      </c>
      <c r="H32" s="512"/>
      <c r="I32" s="513"/>
      <c r="J32" s="513"/>
      <c r="K32" s="524"/>
    </row>
    <row r="33" spans="2:11" ht="15">
      <c r="B33" s="444" t="s">
        <v>154</v>
      </c>
      <c r="C33" s="445">
        <f>SUM(C24:C31)</f>
        <v>972014</v>
      </c>
      <c r="D33" s="445">
        <f>SUM(D24:D31)</f>
        <v>1413000</v>
      </c>
      <c r="E33" s="445">
        <f>SUM(E24:E31)</f>
        <v>1419924</v>
      </c>
      <c r="F33" s="446">
        <f>SUM(F24:F31)</f>
        <v>1295308</v>
      </c>
      <c r="H33" s="525">
        <f>E34</f>
        <v>314622</v>
      </c>
      <c r="I33" s="526" t="str">
        <f>CONCATENATE("",F1-1," Ending Cash Balance (est.)")</f>
        <v>2012 Ending Cash Balance (est.)</v>
      </c>
      <c r="J33" s="527"/>
      <c r="K33" s="524"/>
    </row>
    <row r="34" spans="2:11" ht="15">
      <c r="B34" s="455" t="s">
        <v>247</v>
      </c>
      <c r="C34" s="433">
        <f>C22-C33</f>
        <v>713816</v>
      </c>
      <c r="D34" s="433">
        <f>D22-D33</f>
        <v>73208</v>
      </c>
      <c r="E34" s="433">
        <f>E22-E33</f>
        <v>314622</v>
      </c>
      <c r="F34" s="496" t="s">
        <v>132</v>
      </c>
      <c r="H34" s="525">
        <f>F21</f>
        <v>158386</v>
      </c>
      <c r="I34" s="513" t="str">
        <f>CONCATENATE("",F1," Non-AV Receipts (est.)")</f>
        <v>2013 Non-AV Receipts (est.)</v>
      </c>
      <c r="J34" s="527"/>
      <c r="K34" s="524"/>
    </row>
    <row r="35" spans="2:12" ht="15">
      <c r="B35" s="458" t="str">
        <f>CONCATENATE("",F$1-2,"/",F$1-1," Budget Authority Amount:")</f>
        <v>2011/2012 Budget Authority Amount:</v>
      </c>
      <c r="C35" s="459" t="e">
        <f>inputOth!#REF!</f>
        <v>#REF!</v>
      </c>
      <c r="D35" s="459"/>
      <c r="E35" s="459">
        <f>inputPrYr!D18</f>
        <v>1419924</v>
      </c>
      <c r="F35" s="496" t="s">
        <v>132</v>
      </c>
      <c r="G35" s="528"/>
      <c r="H35" s="529">
        <f>IF(F39&gt;0,F38,F40)</f>
        <v>865289</v>
      </c>
      <c r="I35" s="513" t="str">
        <f>CONCATENATE("",F1," Ad Valorem Tax (est.)")</f>
        <v>2013 Ad Valorem Tax (est.)</v>
      </c>
      <c r="J35" s="527"/>
      <c r="K35" s="524"/>
      <c r="L35" s="530" t="str">
        <f>IF(H35=F40,"","Note: Does not include Delinquent Taxes")</f>
        <v>Note: Does not include Delinquent Taxes</v>
      </c>
    </row>
    <row r="36" spans="2:11" ht="15">
      <c r="B36" s="458"/>
      <c r="C36" s="866" t="s">
        <v>630</v>
      </c>
      <c r="D36" s="866"/>
      <c r="E36" s="867"/>
      <c r="F36" s="450">
        <v>42989</v>
      </c>
      <c r="G36" s="528">
        <f>IF(F33/0.95-F33&lt;F36,"Exceeds 5%","")</f>
      </c>
      <c r="H36" s="525">
        <f>SUM(H33:H35)</f>
        <v>1338297</v>
      </c>
      <c r="I36" s="513" t="str">
        <f>CONCATENATE("Total ",F1," Resources Available")</f>
        <v>Total 2013 Resources Available</v>
      </c>
      <c r="J36" s="527"/>
      <c r="K36" s="524"/>
    </row>
    <row r="37" spans="2:11" ht="15">
      <c r="B37" s="463"/>
      <c r="C37" s="868" t="s">
        <v>631</v>
      </c>
      <c r="D37" s="868"/>
      <c r="E37" s="869"/>
      <c r="F37" s="434">
        <f>F33+F36</f>
        <v>1338297</v>
      </c>
      <c r="H37" s="531"/>
      <c r="I37" s="513"/>
      <c r="J37" s="513"/>
      <c r="K37" s="524"/>
    </row>
    <row r="38" spans="2:11" ht="15">
      <c r="B38" s="463" t="str">
        <f>CONCATENATE(C46,"     ",E46)</f>
        <v>     </v>
      </c>
      <c r="C38" s="464"/>
      <c r="D38" s="464"/>
      <c r="E38" s="421" t="s">
        <v>155</v>
      </c>
      <c r="F38" s="434">
        <f>IF(F37-F22&gt;0,F37-F22,0)</f>
        <v>865289</v>
      </c>
      <c r="H38" s="529">
        <f>ROUND(C33*0.05+C33,0)</f>
        <v>1020615</v>
      </c>
      <c r="I38" s="513" t="str">
        <f>CONCATENATE("Less ",F1-2," Expenditures + 5%")</f>
        <v>Less 2011 Expenditures + 5%</v>
      </c>
      <c r="J38" s="527"/>
      <c r="K38" s="532"/>
    </row>
    <row r="39" spans="2:11" ht="15">
      <c r="B39" s="421"/>
      <c r="C39" s="466" t="s">
        <v>632</v>
      </c>
      <c r="D39" s="466"/>
      <c r="E39" s="467">
        <f>inputOth!$E$23</f>
        <v>0.08</v>
      </c>
      <c r="F39" s="434">
        <f>ROUND(IF(E39&gt;0,(F38/((100-(100*E39))*0.01)-F38),0),0)</f>
        <v>75243</v>
      </c>
      <c r="H39" s="533">
        <f>H36-H38</f>
        <v>317682</v>
      </c>
      <c r="I39" s="534" t="str">
        <f>CONCATENATE("Projected ",F1+1," carryover (est.)")</f>
        <v>Projected 2014 carryover (est.)</v>
      </c>
      <c r="J39" s="535"/>
      <c r="K39" s="536"/>
    </row>
    <row r="40" spans="2:11" ht="15">
      <c r="B40" s="418"/>
      <c r="C40" s="873" t="str">
        <f>CONCATENATE("Amount of  ",$F$1-1," Ad Valorem Tax")</f>
        <v>Amount of  2012 Ad Valorem Tax</v>
      </c>
      <c r="D40" s="873"/>
      <c r="E40" s="874"/>
      <c r="F40" s="468">
        <f>F38+F39</f>
        <v>940532</v>
      </c>
      <c r="H40" s="537"/>
      <c r="I40" s="537"/>
      <c r="J40" s="537"/>
      <c r="K40" s="537"/>
    </row>
    <row r="45" spans="3:5" ht="15" hidden="1">
      <c r="C45" s="510" t="e">
        <f>IF(C33&gt;C35,"See Tab A","")</f>
        <v>#REF!</v>
      </c>
      <c r="E45" s="510">
        <f>IF(E33&gt;E35,"See Tab C","")</f>
      </c>
    </row>
    <row r="46" spans="3:5" ht="15" hidden="1">
      <c r="C46" s="510">
        <f>IF(C34&lt;0,"See Tab B","")</f>
      </c>
      <c r="E46" s="510">
        <f>IF(E34&lt;0,"See Tab D","")</f>
      </c>
    </row>
    <row r="47" spans="3:5" ht="15" hidden="1">
      <c r="C47" s="510" t="e">
        <f>IF(#REF!&gt;#REF!,"See Tab A","")</f>
        <v>#REF!</v>
      </c>
      <c r="E47" s="510" t="e">
        <f>IF(#REF!&gt;#REF!,"See Tab C","")</f>
        <v>#REF!</v>
      </c>
    </row>
    <row r="48" spans="3:5" ht="15" hidden="1">
      <c r="C48" s="510" t="e">
        <f>IF(#REF!&lt;0,"See Tab B","")</f>
        <v>#REF!</v>
      </c>
      <c r="E48" s="510" t="e">
        <f>IF(#REF!&lt;0,"See Tab D","")</f>
        <v>#REF!</v>
      </c>
    </row>
  </sheetData>
  <sheetProtection/>
  <mergeCells count="5">
    <mergeCell ref="H25:K25"/>
    <mergeCell ref="H31:K31"/>
    <mergeCell ref="C36:E36"/>
    <mergeCell ref="C37:E37"/>
    <mergeCell ref="C40:E40"/>
  </mergeCells>
  <conditionalFormatting sqref="F36">
    <cfRule type="cellIs" priority="6" dxfId="42" operator="greaterThan" stopIfTrue="1">
      <formula>$F$33/0.95-$F$33</formula>
    </cfRule>
  </conditionalFormatting>
  <conditionalFormatting sqref="F31">
    <cfRule type="cellIs" priority="7" dxfId="42" operator="greaterThan" stopIfTrue="1">
      <formula>$F$33*0.1</formula>
    </cfRule>
  </conditionalFormatting>
  <conditionalFormatting sqref="D31">
    <cfRule type="cellIs" priority="1" dxfId="42" operator="greaterThan" stopIfTrue="1">
      <formula>$F$34*0.1</formula>
    </cfRule>
  </conditionalFormatting>
  <printOptions/>
  <pageMargins left="1.12" right="0.5" top="0.74" bottom="0.34" header="0.5" footer="0"/>
  <pageSetup blackAndWhite="1" fitToHeight="1" fitToWidth="1" horizontalDpi="120" verticalDpi="120" orientation="portrait" scale="77" r:id="rId1"/>
  <headerFooter alignWithMargins="0">
    <oddHeader>&amp;RState of Kansas
County
</oddHeader>
    <oddFooter>&amp;C&amp;"Arial,Regular"&amp;11WY-&amp;P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rbrazier</cp:lastModifiedBy>
  <cp:lastPrinted>2012-08-22T16:16:10Z</cp:lastPrinted>
  <dcterms:created xsi:type="dcterms:W3CDTF">1998-08-26T13:26:11Z</dcterms:created>
  <dcterms:modified xsi:type="dcterms:W3CDTF">2013-02-28T19:28:15Z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